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B5B089F4-6DF1-4FD1-9A7A-D1FA76ACA91C}" xr6:coauthVersionLast="47" xr6:coauthVersionMax="47" xr10:uidLastSave="{00000000-0000-0000-0000-000000000000}"/>
  <bookViews>
    <workbookView xWindow="2595" yWindow="2595" windowWidth="15375" windowHeight="7875" xr2:uid="{00000000-000D-0000-FFFF-FFFF00000000}"/>
  </bookViews>
  <sheets>
    <sheet name="Índice anual" sheetId="1" r:id="rId1"/>
    <sheet name="Fuentes y criterio" sheetId="2" r:id="rId2"/>
  </sheets>
  <calcPr calcId="0"/>
  <fileRecoveryPr repairLoad="1"/>
</workbook>
</file>

<file path=xl/calcChain.xml><?xml version="1.0" encoding="utf-8"?>
<calcChain xmlns="http://schemas.openxmlformats.org/spreadsheetml/2006/main">
  <c r="E119" i="2" l="1"/>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<sst xmlns="http://schemas.openxmlformats.org/spreadsheetml/2006/main" count="50734" uniqueCount="14601">
  <si>
    <t>Índice onomástico anual · Gazeta de Madrid</t>
  </si>
  <si>
    <t>Números 1 a 105 · 1 de enero–31 de diciembre de 1805</t>
  </si>
  <si>
    <t>Registros: 6.274</t>
  </si>
  <si>
    <t>Ordenación aproximada por apellidos; cada fila enlaza con la página del facsímil oficial.</t>
  </si>
  <si>
    <t>Aviso: la fuente histórica se procesó con OCR. Las filas marcadas «Cotejar OCR» deben verificarse antes de una cita formal.</t>
  </si>
  <si>
    <t>Apellidos y nombre (orden estimado)</t>
  </si>
  <si>
    <t>Nombre leído</t>
  </si>
  <si>
    <t>Motivo de aparición</t>
  </si>
  <si>
    <t>Organismo o sección</t>
  </si>
  <si>
    <t>Fecha</t>
  </si>
  <si>
    <t>Nº Gazeta</t>
  </si>
  <si>
    <t>Página</t>
  </si>
  <si>
    <t>Observaciones</t>
  </si>
  <si>
    <t>Extracto original OCR</t>
  </si>
  <si>
    <t>Facsímil (página)</t>
  </si>
  <si>
    <t>Estado de lectura</t>
  </si>
  <si>
    <t>Abad Berauit-Bercastel</t>
  </si>
  <si>
    <t>Mencionado en una noticia, disposición o aviso de España.</t>
  </si>
  <si>
    <t>Noticias de España</t>
  </si>
  <si>
    <t>25 de octubre de 1805</t>
  </si>
  <si>
    <t>Transcripción del OCR histórico; compruebe la grafía en el facsímil.</t>
  </si>
  <si>
    <t>ecimiento de la Iglesia hasta lofc tiempos presentes, escrita en Francés por el Abad Berauit-Bercastel, Canónigo de la Iglesia de Noyon, traducida al castellano,é ilustrada con notas por lo perteneciente á España: tomo 9, que comprehende desde el principio del cisma de los Griegos en el año</t>
  </si>
  <si>
    <t>Cotejar OCR</t>
  </si>
  <si>
    <t>Abad Berault-Bcrcastel</t>
  </si>
  <si>
    <t>5 de febrero de 1805</t>
  </si>
  <si>
    <t>cimiento de la Iglesia hasta el presente Pontificado, escrita en francés por el Abad Berault-Bcrcastel, Canónigo de la Iglesia de Noyon, traducida al castellano, é ilustrada con notas por lo perteneciente á España: tomo 5.°,.que comprehende desde la decadencia del Imperio de Occidente en el</t>
  </si>
  <si>
    <t>Abad Berault-Bercastel</t>
  </si>
  <si>
    <t>7 de mayo de 1805</t>
  </si>
  <si>
    <t>lecimiento de la Iglesia hasta los tiempo» presentes, escrita en francés por el Abad Berault-Bercastel, Canónigo de la Iglesia* de Noyon, traducida al castellano, e ilustrada con1 notas por lo perteneciente a España: tomo 6.°, que comprehende desde la conversión de los Francos en el año 496</t>
  </si>
  <si>
    <t>Mencionado en un anuncio bibliográfico, artístico o editorial.</t>
  </si>
  <si>
    <t>Libros, estampas y avisos culturales</t>
  </si>
  <si>
    <t>13 de agosto de 1805</t>
  </si>
  <si>
    <t>lecimiento de la Iglesia hasta los tiempos presentes, escrita en francés por el Abad Berault-Bercastel, Canónigo de Noyon, traducida al castellano, é ilustrada con notas por lo perteneciente á España. El plan y disposición de esta obra, el desinterés é imparcialidad con que procede el autor</t>
  </si>
  <si>
    <t>Abad de Alcalá, Obispo</t>
  </si>
  <si>
    <t>Obispo Abad de Alcalá</t>
  </si>
  <si>
    <t>Mencionado en un nombramiento, ascenso, concesión o disposición oficial.</t>
  </si>
  <si>
    <t>Nombramientos y disposiciones</t>
  </si>
  <si>
    <t>5 de julio de 1805</t>
  </si>
  <si>
    <t>el Ilmb. Sr. ’D. Fr. Diego Meló de Portugal, Obispo de aquella ciudad: asistentes los limos. Sres. Obispo Abad de Alcalá, y Obisó pp de Almería: padrinos á nombre de la Provincia de Agustinos Calzados ae Andalucía los.RR, PP. MM. Fr. Josef,de Jesqs Muñoz , y Fr. Josef de Requena, Priores de los Conv</t>
  </si>
  <si>
    <t>Abad de Berault-Bercastd</t>
  </si>
  <si>
    <t>23 de julio de 1805</t>
  </si>
  <si>
    <t>iento hasta los tiempos presentes , escrita en francés por el célebre y piadoso Abad de Berault-Bercastd, Canónigo de Noyon, traducida al castellano é ilustrada con notas por lo perteneciente á España. El plan y disposición de esta obra, el desinterés é imparcialidad con que proceded autor en</t>
  </si>
  <si>
    <t>Abad Pancracio, Príncipe</t>
  </si>
  <si>
    <t>Príncipe Abad Pancracio</t>
  </si>
  <si>
    <t>9 de abril de 1805</t>
  </si>
  <si>
    <t>de Inglaterra é Italia noticias varias: de Suiza la proclama del gobierno de St. Gall contra el ex-Príncipe Abad Pancracio y sus partidarios: de Francia la comunicación hecha por el Mfnivtro de Relaciones exteriores al Senado, sobre la carta que escribió .el Emperador de los Franceses al Rey de Inglater</t>
  </si>
  <si>
    <t>Abadía, Ignacio</t>
  </si>
  <si>
    <t>Ignacio Abadía</t>
  </si>
  <si>
    <t>30 de abril de 1805</t>
  </si>
  <si>
    <t>ue se hizo en el año de 1793 de arneses ■antiguos, armas blancas y de fuego de la Real Armería, por D. Ignacio Abadía: en 8.°, á 8 rs. en pasta. . Disertación ,déf Abate Andrés, á 3 rs. Noticia sobre el establecimiento y uso del cementerio del Real Sitio de S. Ildefonso : papel en 4..0, á'-g rs.</t>
  </si>
  <si>
    <t>Abadía, Vicente</t>
  </si>
  <si>
    <t>Vicente Abadía</t>
  </si>
  <si>
    <t>Mencionado en una relación militar de individuos, procedencia, parentesco o haberes.</t>
  </si>
  <si>
    <t>Relaciones militares y haberes</t>
  </si>
  <si>
    <t>10 de diciembre de 1805</t>
  </si>
  <si>
    <t>Supl., p. 4</t>
  </si>
  <si>
    <t>Vicente Abadía. Hijo del mismo, nat. de la villa de Albayda-)</t>
  </si>
  <si>
    <t>Abalcal, Francisco</t>
  </si>
  <si>
    <t>Francisco Abalcal</t>
  </si>
  <si>
    <t>12 de marzo de 1805</t>
  </si>
  <si>
    <t>Eustaquio de Lazcano: en el segundo Batallón de Voluntarios de Aragón á Capitán segundo al Teniente D. Francisco Abalcal; y á Subteniente de bandera en el primero de Cataluña al Cadete D. Francisco Antonio López. ^ En los Regimientos de caballería de línea se ha servido el Rey conceder en el de Mont</t>
  </si>
  <si>
    <t>Abarca y Guerra, Pedro</t>
  </si>
  <si>
    <t>Pedro Abarca y Guerra</t>
  </si>
  <si>
    <t>17 de diciembre de 1805</t>
  </si>
  <si>
    <t>ía mayor áD. Nicolás Macedo; Compañía de granaderos á D. Francisco Josef Gratnbel, y de fusileros á D. Pedro Abarca y Guerra, D. Fermín Béjar, D. Josef Hermosilla y Aguirre, D. Pedro Laureano del Prado, Don Jacinto Aréstegui, D. Tomas Miguel Salazar, D. Miguel Mariano Ramiro y D. Pedro Salcedo; Ayudantí</t>
  </si>
  <si>
    <t>Abarca, Diego</t>
  </si>
  <si>
    <t>Diego Abarca</t>
  </si>
  <si>
    <t>6 de diciembre de 1805</t>
  </si>
  <si>
    <t>ier y D. Bernardino Pini; y á Subtenientes de bandera á D. Josef Joaquín Ramonet, D. Isidro Puente, D. Diego Abarca y D. Josef Anastasio Borbon, vecinos de la jurisdicción del mismo Regimiento.</t>
  </si>
  <si>
    <t>AbasCal, Alexandro</t>
  </si>
  <si>
    <t>Alexandro AbasCal</t>
  </si>
  <si>
    <t>23 de abril de 1805</t>
  </si>
  <si>
    <t>n el de infantería de Aragón de Jauja á D. Pedro Josef González ; de fusileros á D¿ Isidro Galarza, D. Alexandro AbasCal, D. Mariano Patino, D. Miguel Fuñol, Don Manuel del Ribero Alonsoy D. Tiburcio Vivanco, D. Manuel Eusebio y*D. Ignacio de los Rios; Ayudantía mayor á D. Domingo Apodaca; Tenencia</t>
  </si>
  <si>
    <t>Abbad, Manuel</t>
  </si>
  <si>
    <t>Manuel Abbad</t>
  </si>
  <si>
    <t>los Gefes de trozo D. Manuel Fernandez, D. Josef Fernandez y D. Josef Martínez; y los Seminaristas D. Manuel Abbad, el Cadete de Reales Guardias Walonas D. Josef de Castro, D. Eugenio de Zuloaga y D. Félix Gilman, Cadete del dicho Real Cuerpo. Madrid 12 de Marzo. Antes de ayer se vistió la Cor</t>
  </si>
  <si>
    <t>16 de agosto de 1805</t>
  </si>
  <si>
    <t>D. Manuel Ferrando ; y los Seminaristas Don J.osef de .Castro, Cadete de Reales. Guardias Walonas, D. Manuel Abbad, ;D. Juan de Zarate , D. Gerónimo Maza , D¿ Juan Maza , y D¡ Juan Lecumberri. El premio extraordinario de instrucción religiosa no se había adjudicado hasta ahora , porque para ga</t>
  </si>
  <si>
    <t>Abbot, Capitán</t>
  </si>
  <si>
    <t>Capitán Abbot</t>
  </si>
  <si>
    <t>Mencionado en una noticia extranjera.</t>
  </si>
  <si>
    <t>Noticias extranjeras</t>
  </si>
  <si>
    <t>26 de marzo de 1805</t>
  </si>
  <si>
    <t>TA DE MADRID DEL MARTES 26 DE MARZO DE 180J. ESTADOS-UNIDOS DE AMERICA. Nueva-Yorck 15 de Enero. El Capitán Abbot, que hace 15 dias salió de la isla de S. Martin,asegura que poco antes de hacerse á la vela se recibiéron noticias auténticas de haber llegado á la Guadalupe y á la Martinica un r</t>
  </si>
  <si>
    <t>Abraham Jacinto Anquetil-Duperron</t>
  </si>
  <si>
    <t>Citado en un aviso sobre fallecimiento, parentesco, haberes o derechos de herederos.</t>
  </si>
  <si>
    <t>Avisos y anuncios</t>
  </si>
  <si>
    <t>15 de febrero de 1805</t>
  </si>
  <si>
    <t>s sublimes que ha traído al trono de Francia. El 18 del corriente ha fallecido, de 73 años de edad, Mr. Abraham Jacinto Anquetil-Duperron. En una de las últimas juntas particulares ha adjudicado la clase de la lengua y literatura Francesa el premio del elogio de Dumarsais, ¿ un discurso escrito por Mr. de Gerando. E</t>
  </si>
  <si>
    <t>Abrtu y del Moral, Rafael</t>
  </si>
  <si>
    <t>Rafael Abrtu y del Moral</t>
  </si>
  <si>
    <t>5 de abril de 1805</t>
  </si>
  <si>
    <t>e la villa del Corral de Almaguer á D. Jacobo Vázquez García; y para la de la villa de los Santos á D. Rafael Abrtu y del Moral, todas tres en el territorio de la Orden de Santiago, y de primera clase ó entrada.. En América. En el Regimiento de Milicias disciplinadas de caballería de la I-Iavána se ha serv</t>
  </si>
  <si>
    <t>Acebal, Juan</t>
  </si>
  <si>
    <t>Juan Acebal</t>
  </si>
  <si>
    <t>12 de febrero de 1805</t>
  </si>
  <si>
    <t>por haber extraído de entrañas de pez-gata ó lixa 23 arrobas de saín: 100 rs. á Juan Acebal, natural de Cereceda, Concejo de Pilona , por haber acreditado , con certificación del Sr. Director de las Reales fábricas de armas de esta ciudad, sus adelantamientos en el arte de caxero</t>
  </si>
  <si>
    <t>Acedo del Olmo, Alonso</t>
  </si>
  <si>
    <t>Alonso Acedo del Olmo</t>
  </si>
  <si>
    <t>15 de octubre de 1805</t>
  </si>
  <si>
    <t>la villa de Ximena, Diócesi de Cádiz, vacante por fallecimiento de D. Miguel Rodríguez y Alvarez, á D. Alonso Acedo del Olmo, Teniente de Cura del lugar de los Barrios. En la Compañía Americana de Reales Guardias de Corps ha promovido el Rey á Alférez al Exento D. Gerónimo de Roxas; á Exento ae número a</t>
  </si>
  <si>
    <t>Acevedo y Muñoz, Ambrosio</t>
  </si>
  <si>
    <t>Ambrosio Acevedo y Muñoz</t>
  </si>
  <si>
    <t>12 de abril de 1805</t>
  </si>
  <si>
    <t>ientes D. Joaquín Gutiérrez y D. Fernando Zurita; y á Subteniente de bandera en el de Ciudad-Real á D. Ambrosio Acevedo y Muñoz. Ordenanza del Real Cuerpo de Ingenieros Cosmógrafos de Esú^o, y del Observatorio de. Madrid , á 4 rs. ^en rústica. . . \ Const ituciones del Real Seminario de Nobles de Madrid ,</t>
  </si>
  <si>
    <t>Adams, Carlos</t>
  </si>
  <si>
    <t>Carlos Adams</t>
  </si>
  <si>
    <t>5 de marzo de 1805</t>
  </si>
  <si>
    <t>smo día 15, propuso Mr. Dillon que se hiciese un discurso de gracias á S. M. Apoyó esta proposición Mr. Carlos Adams. Mr. Fox dixo que no era su intención oponerse ai discurso que acababa de leerse en la Cámara, bien que no aprobaba enteramente su contenido, pues no podía, en efecto, dar su cons</t>
  </si>
  <si>
    <t>Addington</t>
  </si>
  <si>
    <t>GRAN BPvE TANA. Londres g de Enero. Parece cierto que Mr. Addington será nombrado Presidente del Consejo privado. Varias Gazetas ministeriales miran este nombramiento como positivo. La abertura próxima del Parlamento ocasiona ya mucho movimiento e</t>
  </si>
  <si>
    <t>sí áMr. Addington? £1 Ministro que empezó su carrera, rodeándose de la mayoridad de los colegas de Mr. Addington, ¿manifestará su inconstancia, admitiendo en su compañía al gefe de ellos?__ Se ha hecho esta reconciliación baxo los auspicios, y casi de orden del mayor personage del Estado; lo</t>
  </si>
  <si>
    <t>22 de febrero de 1805</t>
  </si>
  <si>
    <t>sido de mayor satisfacción para los amigos del último, que para los del primero. Es cosa sabida que Mr. Addington gozaba del favor personal del Rey, aun en el momento de las mudanzas ocasionadas con motivo del estado de los diversos partidos en el Parlamento. Los sucesos posteriores no han di</t>
  </si>
  <si>
    <t>26 de febrero de 1805</t>
  </si>
  <si>
    <t>su importancia política en un momento en que una oposición sistemática de su parte, seria temible á Mr. Addington y á sus colegas amigos del Rey.— El modo como Mr Addington ha adquirido de nuevo el poder, justifica esta sospecha. Antes de ía última elevación de Mr. Pitt al Ministerio, los miemb</t>
  </si>
  <si>
    <t>rodeado de personas de luces, que hubieran contribuido á salvar la nave del Estado___ Los amigos de Mr. Addington dicen altamente que su poder está mas bien cimentado que nunca, y consideran á Mr. Pitt como completamente vencido. HOLANDA. Haya op de Enero. En el bando que ha publicado el Gobi</t>
  </si>
  <si>
    <t>8 de marzo de 1805</t>
  </si>
  <si>
    <t>Ingleses hacian con las islas,donde exercen una especie de monopolio,que nos será muy perjudicial. Mr. Addington ha sido promovido á la dignidad de Par de la Gran Bretaña con el título de Vizconde de Sidmouth. Ei Marques de Cornwallis ha llegado á Londres para disponer los preparativos de su</t>
  </si>
  <si>
    <t>: seis meses hace no se creía que mereciese este elogio , y durante el ministerio de un noble Lord (Mr. Addington) , que tengo á grande felicidad ver en esta Cámara , se estaba tan lejos de creer que lo mereciese , que las reconvenciones que acerca de este?punto se le hicieron, le forzaron á</t>
  </si>
  <si>
    <t>22 de marzo de 1805</t>
  </si>
  <si>
    <t>á continuar la guerra con valor y energía.”__ Lord Spencer combatió la propuesta; y Lord Sidmouth (Mr. Addington) la apoyó con vehemencia. Se votó la propuesta sin oposición. Igual propuesta se hizo en la Cámara de los Comunes por Mr. Pitt, quien en esta ocasión pronunció un largo y eloqüent</t>
  </si>
  <si>
    <t>10 de mayo de 1805</t>
  </si>
  <si>
    <t>su conducta, respecto del Ministro anterior; y añadió que el fin que se habia propuesto en apoyar á Mr. Addington, habia sido el de impedir que Mr. Pitt entrase en el manejo de los negocios , porque siempre le ha considerado como la mayor calamidad nacional. Concluyó con estas palabras: ,,Si</t>
  </si>
  <si>
    <t>Addington y Lord Hawkesbury</t>
  </si>
  <si>
    <t>ue esté destinado á otro de esta clase. Nadi£ pone en duda, ni aun los del partido de Mr. Pitt, que Mr. Addington y Lord Hawkesbury habían convenido en la neutralida i.de España y en el tratado de. subsidios que tenia con la Francia, solamen-. te con la condición de que no había de hacerse ningún armamento en.</t>
  </si>
  <si>
    <t>Adeli y de Bie, Francisco Xavier</t>
  </si>
  <si>
    <t>Francisco Xavier Adeli y de Bie</t>
  </si>
  <si>
    <t>19 de marzo de 1805</t>
  </si>
  <si>
    <t>ara la última plaza de la referida Secretaría, vacante por la salida de dicho Sr. D. Zenon Alonso,á Don Francisco Xavier Adeli y de Bie, en consideración á su aptitud y circunstancias. En Amírica. El Rey se ha servido conferir á D. Josef Perez de Arroyo el empleo de Contador de Diezmos del Obispado de Popayan, vac</t>
  </si>
  <si>
    <t>Administrador de Sevilla, Arzobispo</t>
  </si>
  <si>
    <t>Arzobispo Administrador de Sevilla</t>
  </si>
  <si>
    <t>4 de enero de 1805</t>
  </si>
  <si>
    <t>o4. = L. de Borbon, Cardenal de Scala , Arzobispo de Toledo. = Excmo. Sr. Príncipe de la Paz.” Como Arzobispo Administrador de Sevilla ha escrito el mismo Señor Emo. otro oficio, concebido en los propios términos, y ofrece por él 25® rs. mensuales. Enterado de los dos ét Excmo. Sr. Generalísimo, ha contestado á s</t>
  </si>
  <si>
    <t>Adrián Mareos Martínez</t>
  </si>
  <si>
    <t>3 de septiembre de 1805</t>
  </si>
  <si>
    <t>jo de Castilla. El Alcalde mayor de dicha villa D. Joaquin de la Escalera, baxo las órdenes del Sr. Don Adrián Mareos Martínez, Ministro de aquel Supremo Tribunal, se ha esmerado en procurar la pronta execucion de esta importante obra; y ha— hiendo merecido por su zeío la aprobación y gracias de este Sr.</t>
  </si>
  <si>
    <t>Adrián Waíker</t>
  </si>
  <si>
    <t>20 de diciembre de 1805</t>
  </si>
  <si>
    <t>nte D. Antonio Ruckstuller: en el de Courten al empleo de Capitán segundo al Teniente de granaderos D. Adrián Waíker; á Teniente al Subteniente de granaderos D. Josef Ignacio Wüla; y í\ Subteniente al Sargento primero D. Josef Forster: en el de Traxler á Subtenientes á los Sargentos primeros D.</t>
  </si>
  <si>
    <t>Afttónlo González Rodríguez</t>
  </si>
  <si>
    <t>11 de octubre de 1805</t>
  </si>
  <si>
    <t>o Agüero; de la villa'de Nava del Rey á £&gt;. Manuel joséf Sánchez Fano; de ia vigila de OliVe ncia á D. Afttónlo González Rodríguez, y dé la villa de Fregenal á D. Juan Bernardo Láporta. En la extracción de la Real lote ría'ejecutada' el lunes 7 del corriente, salieron los números.48, 2i, 63, ,39 y 26 ; y cón</t>
  </si>
  <si>
    <t>Agapito Ruiz</t>
  </si>
  <si>
    <t>22 de octubre de 1805</t>
  </si>
  <si>
    <t>Supl., p. 2</t>
  </si>
  <si>
    <t>Id. id. Agapito Ruiz....... Hijo de Francisco y de Narcisa de Ro­</t>
  </si>
  <si>
    <t>Agmer-Ben-Ab- Dala</t>
  </si>
  <si>
    <t>21 de junio de 1805</t>
  </si>
  <si>
    <t>les de Salam Bir, que comunmente llaman de Sacedon, escrito en lengua árabe por Agmer-Ben-Ab- Dala, Médico de Toledo, en el año de 1054, traducido al idioma castellano, é ilustrado con varias notas para su mayor inteligencia, por el Dr. D. Mariano Pizzi y Frangeschi, Médico en esta Cor</t>
  </si>
  <si>
    <t>Aguado, Juan</t>
  </si>
  <si>
    <t>Juan Aguado</t>
  </si>
  <si>
    <t>a Parroquia de S. Pedro de la misma ciudad: para otra de la referida Iglesia, vacante por muerte de,D. Juan Aguado, á D. Josef Uncibay, Cura Párroco de Cuevas baxas, en ei mismo Obispado; y para la Prestamera, denominada Guadalmazanes de Guadalcazar, en el Obispado de Córdoba , vacante por fal</t>
  </si>
  <si>
    <t>Agüero, Gerónimo</t>
  </si>
  <si>
    <t>Gerónimo Agüero</t>
  </si>
  <si>
    <t>Alcalde, mayor de la. Villa de Nava dei Rey á D. Manuel J.osef Sánchez. Fano : para la de. Rueda á D. Gerónimo Agüero: para, la de Quesada á D. Mariano Rufino. González; y para el Corregimiento de Vivero á D. Josef Ibarlucea.. Mn América./ El Rey se ha servido, nombrar para la Dignidad de- Maestr</t>
  </si>
  <si>
    <t>ado S. M. para Alcaldes mayores de la villa dfe Quesada á D. Mariano Rufino; de la villa de Rueda á D. Gerónimo Agüero; de la villa'de Nava del Rey á £&gt;. Manuel joséf Sánchez Fano; de ia vigila de OliVe ncia á D. Afttónlo González Rodríguez, y dé la villa de Fregenal á D. Juan Bernardo Láporta. En</t>
  </si>
  <si>
    <t>Aguilar, Manuel</t>
  </si>
  <si>
    <t>Manuel Aguilar</t>
  </si>
  <si>
    <t>Supl., p. 3</t>
  </si>
  <si>
    <t>17... Manuel Aguilar....... Hijo de Ramón, nár. de Urrea de Hijar en</t>
  </si>
  <si>
    <t>Aguilar, Miguel</t>
  </si>
  <si>
    <t>Miguel Aguilar</t>
  </si>
  <si>
    <t>24 de septiembre de 1805</t>
  </si>
  <si>
    <t>y conceder Subtenencias de bandera á los Cadetes D. Demetrio de Tejada, D. Fernando Mesía y Aranda, D. Miguel Aguilar y D. Manuel Gual, -este del batallón de Castilla hxo de CampecheEn América. El Rey se ha servido nombrar para la C-anongía Doctoral de la Catedral de Cuba, vacante por muerte de D. Ni</t>
  </si>
  <si>
    <t>Aguirre y Larios, Francisco Xavier</t>
  </si>
  <si>
    <t>Francisco Xavier Aguirre y Larios</t>
  </si>
  <si>
    <t>grariaderos á D. Ramón de Zelaya, y de fusileros á D. Leonardo Josef Jáuregui ,D. Antonio Robles,, D. Francisco Xavier Aguirre y Larios ,* D. Tadeo Pinol y Aycinena y D. Juan Josef Gorriz; Subtenencia de granaderos á D. Juan Manuel Landero, y de fusileros á Don Manuel Modesto Zelaya y D. Manuel de Aguirre y Larios</t>
  </si>
  <si>
    <t>Aguirre, Manuel</t>
  </si>
  <si>
    <t>Manuel Aguirre</t>
  </si>
  <si>
    <t>29 de enero de 1805</t>
  </si>
  <si>
    <t>=:Principios esenciales para la caballería, por el Caballero Boisdeffre, trasladado del francés por D. Manuel Aguirre: un tomo en 8.°, á 10 rs. en pasta.Observaciones de todo género de oraciones, corregidas y aumentadas en esta sexta impresión por D. Francisco Torrecilla Valle: un tomo en 8°, ¿ 3</t>
  </si>
  <si>
    <t>Aguirre, Matías</t>
  </si>
  <si>
    <t>Matías Aguirre</t>
  </si>
  <si>
    <t>e Alférez de granaderos á D. Casimiro Contreras; y sencillos á D. Miguel Riquelme, D. Josef Mendez, D. Matías Aguirre, D. Mariano Llanos, D. Lorenzo Portugal, D. Francisco Gamarra, D. Pedrb Godiel, D. Juan de Dios Va'dés, D. Matías Velazquez, D. Diego Mexía, Don Vicente Bellido y D. Diego Felipe</t>
  </si>
  <si>
    <t>Aguirre, Simón</t>
  </si>
  <si>
    <t>Simón Aguirre</t>
  </si>
  <si>
    <t>Bobadilla, D. Silverio Mogrovejo, D. Paulino Roxas, D. Tomas Herencia, D. Josef Perez del Portillo, D. Simón Aguirre y D. Manuel Oreilana; el empleo de Alférez de granaderos á D. Casimiro Contreras; y sencillos á D. Miguel Riquelme, D. Josef Mendez, D. Matías Aguirre, D. Mariano Llanos, D. Lorenzo P</t>
  </si>
  <si>
    <t>Agusrin Iturve</t>
  </si>
  <si>
    <t>teniente de granaderos al de fusileros D. Pedro Monroy; á Subtenientes de compañía’á los de bandera D. Agusrin Iturve, D. Juan Josef de Lexarza, D. Ruperto Mier y D. Bernardino Pini; y á Subtenientes de bandera á D. Josef Joaquín Ramonet, D. Isidro Puente, D. Diego Abarca y D. Josef Anastasio Bor</t>
  </si>
  <si>
    <t>Agustina y María de las Carreras</t>
  </si>
  <si>
    <t>8 de noviembre de 1805</t>
  </si>
  <si>
    <t>do un hermano, que reside en la ciudad de la Paz, en él Vireynato del Perú, y dos hermanas llamadas Dona Agustina y Doña María de las Carreras, casadas lá primera con D Lúeas de Ostria y la segunda con Don Francisco de Uriosté, vecinos ambos del dicho lugar de Nocedal. Lo que se anuncia al público, á fin de que los que e</t>
  </si>
  <si>
    <t>Agustip Patino</t>
  </si>
  <si>
    <t>Mencionado en un anuncio particular, económico o judicial.</t>
  </si>
  <si>
    <t>ien ;supiete del paradero de 7 vales Reales, creación ,de i.° de Setiembre, renovados á la orden de D. Agustip Patino;, con los nújns., 395)50, 40299, 40456, 40575 y. 45620 de 300 pesos, 154313 y ^60324 de 150, se servirá entregarlos en esta Corte á los Señores D. Pedro Baille y compañía; en la C</t>
  </si>
  <si>
    <t>Aiisoategui, Ramón</t>
  </si>
  <si>
    <t>Ramón Aiisoategui</t>
  </si>
  <si>
    <t>23 de agosto de 1805</t>
  </si>
  <si>
    <t>Juan Roldan, y D. Salvador Buergo ; á Tenientes de -fusileros á los Subtenientes D. Antonio Vela, y D. Ramón Aiisoategui, este de granaderos, y á Subteniente de fusileros al Cadete D. Jo-sef Martínez. - • -‘un ) S. M. se ha -dignado -conceder'en el Regimiento de Milicias provincia*-' les de dragones</t>
  </si>
  <si>
    <t>AIvarez, Francisco</t>
  </si>
  <si>
    <t>Francisco AIvarez</t>
  </si>
  <si>
    <t>31 de diciembre de 1805</t>
  </si>
  <si>
    <t>ión D. Ramón Delgado, y á los Sargentos primeros D. Josef Manuel de Salas, D. Juan de Dios Alvarez, D. Francisco AIvarez y D. Jacinto Roque de Luna: empleo de Alférez de granaderos al Sargento primero DJ Josef Vicente Salas, y sencillos al Cadete D. Josef Dávila, á los Sargentos primeros D. Tomas de Lun</t>
  </si>
  <si>
    <t>Alastuey, Francisco</t>
  </si>
  <si>
    <t>Francisco Alastuey</t>
  </si>
  <si>
    <t>20 de agosto de 1805</t>
  </si>
  <si>
    <t>ni, de Hidráulica; y Don Mariano Calvete, cursante en Leyes , de Hídrostática. Se hace presente que D. Francisco Alastuey ha asistido constantemente con aplicación y aprovechamiento conocido en los 4 años; pero no pudo hacer los exercícios públicos, por haberse ausentado 2 días antes á continuar la f</t>
  </si>
  <si>
    <t>Alava, General</t>
  </si>
  <si>
    <t>General Alava</t>
  </si>
  <si>
    <t>12 de noviembre de 1805</t>
  </si>
  <si>
    <t>apitán General al Xefe de la Esquadra I&gt;. Federico Gravina: ha señalado Ja Gran Cruz de Carlos m al General Alava: á V. E. y deúias Gefes de Esquadra embarcados en ella les ha conferido el grado de Tedíente General: á los Brigadieres el de Ge tes de Esquadra; y finalmente hit resuelto se expi</t>
  </si>
  <si>
    <t>Albelda, Ignacio</t>
  </si>
  <si>
    <t>Ignacio Albelda</t>
  </si>
  <si>
    <t>nceder Tenencia al Subteniente de granaderos D. Julián Anguita; y Subtenencia de bandera ¡al Cadete D. Ignacio Albelda; En el Real Cuerpo de Artillería se ha sérvido S. M. promover á Capitanes segundos á los Tenientes D; Pedro Gutiérrez y D. Josef Ruano; y á' Tenientes á los Subtenientes D. Antoni</t>
  </si>
  <si>
    <t>Alberto, Archiduque</t>
  </si>
  <si>
    <t>Archiduque Alberto</t>
  </si>
  <si>
    <t>20 de septiembre de 1805</t>
  </si>
  <si>
    <t>nducir en calidad de Comisario un cuerpo de tropas Rusas, que debe pasar por Hungría. Dícese que el Archiduque Alberto levantará un puerpo de voluntarios, que mandará &amp; mismo en persona__ -El Embajador de Irán cía ha pasado al Gobierno Austríaco una Nota pidiendo una explicación sobre los preparat</t>
  </si>
  <si>
    <t>5 de noviembre de 1805</t>
  </si>
  <si>
    <t>9í° lianzas en casa de jos Generales, de los Regimientos de Latoúr , Rosemberg, Klenau y del Archiduque Alberto. De infantería. Cazadoras Tiroleses; Collowrath ; Manfredini; Froiich; Archiduque'Cárlos; un destacamento del Regimiento del Emperador. Granaderos, un batallónidel Regimiento de H</t>
  </si>
  <si>
    <t>Alberto, Duque</t>
  </si>
  <si>
    <t>Duque Alberto</t>
  </si>
  <si>
    <t>12 de julio de 1805</t>
  </si>
  <si>
    <t>de Simmering, á una legua de Viena; asistirán la guarnición de aquí, el Regimiento de coraceros del Duque Alberto, y el Regimiento de infantería de Schroedre. ■ \ — De' las orillas del Danubio 4 de Jimio, &gt; Escriben varios negociantes de Trieste, que el Ministro Ingles en Viena, luego que rec</t>
  </si>
  <si>
    <t>29 de octubre de 1805</t>
  </si>
  <si>
    <t>lugar----- Ei Coronel Arrighi acometió con su Regimiento de dragones al Regimiento de coraceros del Duque Alberto. La pelea fué muy viva: al Coronel Arrighi le mataron el caballo en que iba montado : su Regimiento cobró nueva audacia para salvarle. El Coronel Beaumont del io.° de húsares, ani</t>
  </si>
  <si>
    <t>29 de noviembre de 1805</t>
  </si>
  <si>
    <t>arón de Auffemberg con 6&gt; batallones* de-granaderos, 3 de fusileros, 2 escuadrones de coraceros del Duque Alberto, y 2 de;ca-.* ballería ligera de Latour para observar al enemigo, que había pasado el Danubio cerca de Donawerth. Al día siguiente, á medio dia, los batallones de infantería apost</t>
  </si>
  <si>
    <t>do su marcha sin detenerse en Viena. El Príncipe Murat ha sentado su quartel general en La casa del Duque Alberto. Se ha. encontrado en Viena mucha artillería y municiones, como so» 89 cañones de campaña, 276 cañones de sitio de bronce desde el calibré de 12 á 24; 72 obuses de bronce; 232 mor</t>
  </si>
  <si>
    <t>Albés, Antonio</t>
  </si>
  <si>
    <t>Antonio Albés</t>
  </si>
  <si>
    <t>Supl., p. 1</t>
  </si>
  <si>
    <t>Antonio Albés. Hijo de Custodio, nat. de la villa de Extre</t>
  </si>
  <si>
    <t>Albo, Ramón</t>
  </si>
  <si>
    <t>Ramón Albo</t>
  </si>
  <si>
    <t>10 de septiembre de 1805</t>
  </si>
  <si>
    <t>uan Nepomuceno de Gregorio y D. Josef .Xavier Bayona; Don Josef Lita del de caballería del Infante, D. Ramón Albo y D. Bartolomé Amat del de infantería del Rey, D. Manuel Tena del de Zamora, D. Mariano Albo del de Sevilla, D. Salvador Manzanares dei de Africa, y Doo Antonio Lasauca del de Zaragoz</t>
  </si>
  <si>
    <t>Albornoz, Fránciscó</t>
  </si>
  <si>
    <t>Fránciscó Albornoz</t>
  </si>
  <si>
    <t>--■ •• ■ . • ‘ ‘Fó¿ áúfo ’acbrdado fen el día 21 de Setiembre próximo pasado por el M. I. Señor Fr. D. Fránciscó Albornoz, Caballero de la ínclita y sagrada Religión de San Juan de Jerusalen , y Comisionado Regio para la execucion del plan de Beneficios de la Iglesia de S. Juan del Hospital de la ciu</t>
  </si>
  <si>
    <t>Alcalá Galiario, Dionisio</t>
  </si>
  <si>
    <t>Dionisio Alcalá Galiario</t>
  </si>
  <si>
    <t>Cisneros, id. en el Trinidad. Brigadieres. D. Cosme Churruca., Comandante, muerto en el Nepomuceno: D. Dionisio Alcalá Galiario, id., muerto en el Bahama: D. Francisco Uriarte y Borja, id., herido en el Trinidad: D. Felipe Jado Cagigal, id., herido en el S., Agustín: D. Cayetano Valaés, id., herido en el N</t>
  </si>
  <si>
    <t>Alcalde, Ángel</t>
  </si>
  <si>
    <t>Ángel Alcalde</t>
  </si>
  <si>
    <t>Id. Bomb. Angel Alcalde..... Elijo de Andrés y de Juliana Cuesta, na-</t>
  </si>
  <si>
    <t>Alcántara, Francisco</t>
  </si>
  <si>
    <t>Francisco Alcántara</t>
  </si>
  <si>
    <t>o del Postigo; Compañía de granaderos á D. Francisco Caracholi; y sencillas á D. Bernardo Manrique, D. Francisco Alcántara, D. Nicolás Gódiel, D. Manuel Orihuela, D. Vicente Herencia, D.Vicente Portugal,D. Miguel Carrasco y D. Martin Vargas; Ayudantías á D. Jorge Santos García y D. Melchor Olaquibel;</t>
  </si>
  <si>
    <t>Alcantarena y Garayoa, Félix</t>
  </si>
  <si>
    <t>Félix Alcantarena y Garayoa</t>
  </si>
  <si>
    <t>tado ai Subteniente D. Francisco Sánchez Peña; y Subtenencias de bandera en el de Ultonia al Cadete D. Félix Alcantarena y Garayoa, y en el de Voluntarios de la Corona al Sargento primero de granaderos Doft Francisco García. En el Real Cuerpo de Ingenieros del Exército ha promovido S. M. á Capitán primero á D</t>
  </si>
  <si>
    <t>Alcayde, Ignacio</t>
  </si>
  <si>
    <t>Ignacio Alcayde</t>
  </si>
  <si>
    <t>Ignacio Alcayde.... Hijo de Jayme, nat. de la villa deXiz,Rey y</t>
  </si>
  <si>
    <t>Alcedo, Francisco</t>
  </si>
  <si>
    <t>Francisco Alcedo</t>
  </si>
  <si>
    <t>nardo Corral y el Brigadier de Guardias Marinas D. Alexandro Rúa. He sabido que ei Capitán de Navio D. Francisco Alcedo, Comandante del Montañés, fué muerto en la acción , y herido gravemente su segundo el Capitán de Fragata D. Antonio Castaños. Otras muchas pérdidas de excelentes Oficiales debe ha</t>
  </si>
  <si>
    <t>Alcocer, Pedro</t>
  </si>
  <si>
    <t>Pedro Alcocer</t>
  </si>
  <si>
    <t>de Coronel á D. Rafael de Zamudio; la Tenencia Coronela á D. Rufino Vercoime; la Sargentía mayor i D. Pedro Alcocer; Compañía de granaderos á D. Martin Rivarola, y de fusileros á D. Evaristo Franco, D. Diego Aliaga, D. Juan Cáceres, D. Josef Camacho, D. Martin Terroba, D. Gregorio Zuloaga, D. J</t>
  </si>
  <si>
    <t>Alcxandro Fernando Carlos Josef Daniel Soechllng</t>
  </si>
  <si>
    <t>próximo mes de Julio. Por la Cámara de Justicia de S. A. S. el Duque Guillermo de Baviera se cita á D. Alcxandro Fernando Carlos Josef Daniel Soechllng, nacido en el año de 1749, que se halla al servicio de S. M. el Rey de España, y según las últimas noticias suyas de Madrid de 1777 se presume haber pasado á las Américas, á que c</t>
  </si>
  <si>
    <t>Aldini</t>
  </si>
  <si>
    <t>on repetidos vivas lo grato que le era tan plausible dia. El 18 del corriente salió de esta capital Mr. Aldini, Secretario de Estado , quien va á París á residir cerca del Emperador de los Franceses. Las cartas de Ñapóles de 13 del corriente dicen lo siguiente: ,,Después del terrible terre</t>
  </si>
  <si>
    <t>Aldrete, Juan</t>
  </si>
  <si>
    <t>Juan Aldrete</t>
  </si>
  <si>
    <t>ha setvido el Rey promo* ver á Capitán de granaderos al de fusileros, graduado de Teniente Coronel, D. Juan Aldrete; á Gapitaiíe's dé fusilerds-al Ayudante D. Ffancisí co Arosemena, y á tos: Tenientes D. Rafael Zorrilla, D. Manuel Yuste f D. Josef de Fabrega; á Ayudante y* Teniente de granadero</t>
  </si>
  <si>
    <t>Alexandro, Papa</t>
  </si>
  <si>
    <t>Papa Alexandro</t>
  </si>
  <si>
    <t>1 de marzo de 1805</t>
  </si>
  <si>
    <t>los apéndices de los tres tomos impresos se publican los documentos siguientes. TOMO I. I. Bula del Papa Alexandro vil sobre los hábitos canonicales de la Catedral de Valencia, inedita. = 11. Bula de Calixto 111, etique coneede á los Canónigos de S.-Felipe el uso de hábitos corales, que ya ves</t>
  </si>
  <si>
    <t>de Abril de 1499 Para régimen de la Universidad de Valencia.=X. Carta de los Jurados de Valencia al Papa Alexandro vi sobre las peticiones qüe encargaron al Canónigo Miser Juan Vera , cuyas instrucciones se ponen á continuación , ineditas. = XI. Traducción lemosina'de la Carta de Rain Yzich á</t>
  </si>
  <si>
    <t>Mencionado en un suplemento de la Gazeta.</t>
  </si>
  <si>
    <t>Suplementos</t>
  </si>
  <si>
    <t>n el año 1255, inéditos, ss Bula dé la unión de las Iglesias de Segorve y Albarracinexpedida por el Papa Alexandro ív, inédita. = Carta de D. Sancho, Arzobispo electo de Toledo, al Obispo de Segorve , D. Fr. Pedro Garcés, sobre ciertas quejas que contra él tenia el Cabildo de su Iglesia, inedi</t>
  </si>
  <si>
    <t>Alexo Marcos</t>
  </si>
  <si>
    <t>D. Pedro Conesa, Capitán del de infantería de Córdoba: de Teniente de fusileros del de Sigiienza á D. Alexo Marcos de lás! Muelas, Subteniente de granaderos del propio Cuerpo: de Subteniente de granaderos del de León al de fusileros D. Ricardo de Salcedo; y de Subteniente de bandera de los de Bur</t>
  </si>
  <si>
    <t>Alfageme, Francisco</t>
  </si>
  <si>
    <t>Francisco Alfageme</t>
  </si>
  <si>
    <t>de . Santa María de la Cuesta del lugar, de Vezdeinarbah , Diócesi de Zamora, vacante por muerte de Don Francisco Alfageme, á D. Isidro Rodríguez Armenteros: para el Beneficio simple de la Parroquia de Gallegos, en el Obispado de Oviedo, vacante por renuncia de D. Miguel Boltri, á D. Nicolás Trelles,</t>
  </si>
  <si>
    <t>Alférez de Reales Guardias Walonas</t>
  </si>
  <si>
    <t>25 de enero de 1805</t>
  </si>
  <si>
    <t>música, dedicados á la Reyna nuestra Señora por el Cap,tan Don Federico Moreti, Alférez de Reales Guardias Walonas, Académico filarmónico de Bolonia, v de los Reales Conservatorios de Música de Ñapóles.. Esta obra (bien conocida en Europa, y que ya lleva 3 ediciones en italiano) esta dividida en 2 Partes</t>
  </si>
  <si>
    <t>Alfonsa Espada</t>
  </si>
  <si>
    <t>25 de junio de 1805</t>
  </si>
  <si>
    <t>quales D. Francisco Hernández percibe el usufructo miéntras viva, con cuya carga las dexó su muger Doña Alfonsa Espada, se halla hecha postura por el mismo D. Francisco Hernández, vecino de dicha ciudad, en 24© rs. metálicqs, que es el valor de las idos terceras partes. Quien quisiere mtejoíTarla,</t>
  </si>
  <si>
    <t>Alfonso Aguado Xaraba</t>
  </si>
  <si>
    <t>256 la villa de Illana, en el mismo Arzobispado, vacante por promoción del limo. Sr. D. Alfonso Aguado Xaraba al Arcedianato de Calatrava, áDon Atanasio Balgañon, también con carga de residencia personal. El Rey se ha servido conferir Tenencias en el Regimiento de infantería de Soria al S</t>
  </si>
  <si>
    <t>Alfonso Aguado y Jaraba</t>
  </si>
  <si>
    <t>19 de febrero de 1805</t>
  </si>
  <si>
    <t>ombrar para la Dignidad de Capellán mayor de la Iglesia Primada de Toledo, vacante por promoción de D. Alfonso Aguado y Jaraba ¿ la de Arcediano de Calatrava en la propia Iglesia, á D. Pedro Nieto Herrero, Capellán Penitenciario de su Real Monasterio de la Visitación: para una Ración de la misma Iglesia,</t>
  </si>
  <si>
    <t>Alfonso de Cartagena</t>
  </si>
  <si>
    <t>iego lainez, Fr. Gerónimo de Gracian, D. Josef del Campillo, D. Francisco de Mendoza y Bobadilla, y D. Alfonso de Cartagena, dibuxados y grabados por los mejores profesores.Españole*. Véndese á 60 rs. con el epítome y á 50 sin él en el despacho de la Calcografía establecida en la Imprenta Real* Habiénd</t>
  </si>
  <si>
    <t>Alfonso de Pignateli</t>
  </si>
  <si>
    <t>14 de junio de 1805</t>
  </si>
  <si>
    <t>, Secretario de la Embastada; al Excmo. Srv Conde de Lumiares, Grande dé España de primera clase; á D. Alfonso de Pignateli, Coronel de Húsares; á D. Leonardo Teran, Ministro de S. M. C. en Génova ; á D. Gerónimo de la Grúa; á D. Nicolás Orózco, Ministro plenipotenciario en Milán; al Caballero Viérgol,</t>
  </si>
  <si>
    <t>Alfonso Lorente, Vicente</t>
  </si>
  <si>
    <t>Vicente Alfonso Lorente</t>
  </si>
  <si>
    <t>3 de mayo de 1805</t>
  </si>
  <si>
    <t>eros 83 hasta 88 del año 1800, relativo al maní ó cacahuate: su autor el Dr. D. Vicente Alfonso Lorente, Médico de número de los Reales Exércitos, y de varias Academias: su precio 2 rs. = Systema botanicum linnaeano-anomalisticum, sive de anomaliis plantarum, quae in systemate linnaeano obs</t>
  </si>
  <si>
    <t>Alfonso Martínez Barquero</t>
  </si>
  <si>
    <t>15 de enero de 1805</t>
  </si>
  <si>
    <t>n el juzgado del Alcalde mayor de la villa de Yepes, y pof el oficio del número de ella, que exérce D. Alfonso Martínez Barquero para su enagenacion, un prado situado en el término y jurisdicción de la misma villa, entre los caminos que van á su aldea Villa— sequilla y ciudad de Toledo, su cabida 34,873^ es</t>
  </si>
  <si>
    <t>Alfonso Martínez de Quixada</t>
  </si>
  <si>
    <t>29 de marzo de 1805</t>
  </si>
  <si>
    <t>aciones para ofrecer la indulgencia de Quarenta Horas, recopilado de varios libros espirituales por D. Alfonso Martínez de Quixada para instrucción de su familia. Se hallará en la Imprenta y librería de Pacheco encuadernado en varios géneros de pastas, y en tafilete con caxas. En la librería de Claros, calle</t>
  </si>
  <si>
    <t>Alfonso Navarro, Francisco</t>
  </si>
  <si>
    <t>Francisco Alfonso Navarro</t>
  </si>
  <si>
    <t>8 de octubre de 1805</t>
  </si>
  <si>
    <t>ef de la Vega y Bolaño, áquien había nombrado en decreto de 21 de Octubre del año próximo pasado, á D. Francisco Alfonso Navarro; y para el Beneficio simple de Santa María de Lara, de la ciudad de Huete, por fallecimiento de D. Joséf Clemot,á D. Luis Antelo y Mella. El Rey se ha dignado nombrar para una de</t>
  </si>
  <si>
    <t>Alfonso Ruiz Otalo</t>
  </si>
  <si>
    <t>16 de julio de 1805</t>
  </si>
  <si>
    <t>LOS CADAVERES REVNANDO D. CARLOS IV DS BORRON. l8of* —-Füé bendecido el domingo 9 del corriente por D. Alfonso Ruiz Otalo</t>
  </si>
  <si>
    <t>Alfonso Ruiz Ramírez</t>
  </si>
  <si>
    <t>olás Mesía y Caicedo, que lo era Decano de la de Manila en las Islas Filipinas: para esta resulta á D. Alfonso Ruiz Ramírez, Abogado del Colegio de la de Sevilla; y para la Asesoría del Gobierno del Tucuman, vacante por jubilación de D. Nicolás Perez del Viso, á D. Victoriano Rodríguez, Catedrático de</t>
  </si>
  <si>
    <t>Alfonso, Francisco</t>
  </si>
  <si>
    <t>Francisco Alfonso</t>
  </si>
  <si>
    <t>D. Rafael Car bailo; á Sub•tenienre al de bandera D. Joséf María Chaves, y á esta resulta al Cadete D. Francisco Alfonso; y en el Esquadron montado del propio Cuerpo á 7Capitan al Teniente D. Francisco Morejon; á Tenientes ai Subteniente Don Felipe Ximenez, al Portaguión D. Antonio Ximenez, y al Cad</t>
  </si>
  <si>
    <t>Alfonso, Tomás</t>
  </si>
  <si>
    <t>Tomás Alfonso</t>
  </si>
  <si>
    <t>n. el esquadron desmontado del Regimiento de milicias de dragones de Matanzas á Capitán al Teniente D. Tomas Alfonso; á Teniente al Subteniente D. Rafael Car bailo; á Sub•tenienre al de bandera D. Joséf María Chaves, y á esta resulta al Cadete D. Francisco Alfonso; y en el Esquadron montado del</t>
  </si>
  <si>
    <t>Aliaga, Diego</t>
  </si>
  <si>
    <t>Diego Aliaga</t>
  </si>
  <si>
    <t>D. Pedro Alcocer; Compañía de granaderos á D. Martin Rivarola, y de fusileros á D. Evaristo Franco, D. Diego Aliaga, D. Juan Cáceres, D. Josef Camacho, D. Martin Terroba, D. Gregorio Zuloaga, D. Josef García y D. Juan Peralta; Ayudantía á D. Josef Romero; Tenencia de granaderos á D. Juan Esteve</t>
  </si>
  <si>
    <t>Aliza, Antonio</t>
  </si>
  <si>
    <t>Antonio Aliza</t>
  </si>
  <si>
    <t>Antonio Aliza......... Hijo de Pedro, natural de Guadix: muriól</t>
  </si>
  <si>
    <t>Allíer, Miguel</t>
  </si>
  <si>
    <t>Miguel Allíer</t>
  </si>
  <si>
    <t>ón de Voluntarios de Cataluña D. Antonio ChicherI, y D. Francisco López, y ai Cadete del de Ñapóles D. Miguel Allíer. También ha nombrado el Rey Teniente del Regimiento de caballería de la Reyna al Guardia de la Compañía Americana D. Josef Navarro. Por Real decreto de 23 de Enero de este año se</t>
  </si>
  <si>
    <t>Almansa, Francisco</t>
  </si>
  <si>
    <t>Francisco Almansa</t>
  </si>
  <si>
    <t>vido nombrar, para la Dignidad ,de Tesorero de la Catedral de Granada, vacante por fallecimiento de D. Francisco Almansa , á Don Fran cisco de Galvez, Canónigo, elpcto -de la Colegial dé Antequera: para la Dignidad de Maestrescuela de la Catedral , de'Cuenca, vacante por muerte de D. Marcelo López C</t>
  </si>
  <si>
    <t>Almera y Algumola, Francisco Borja</t>
  </si>
  <si>
    <t>Francisco Borja Almera y Algumola</t>
  </si>
  <si>
    <t>1 de febrero de 1805</t>
  </si>
  <si>
    <t>de Sande, D. Blas Sarmiento y Henao, Don Juan Nepomuceno Pineda y Benavente, Subteniente reformado, D. Francisco Borja Almera y Algumola, D. Francisco del Castillo y Melgar, Don Fernando de Contreras, D. Tomas Bernardo López, y D. Hipólito Martin Sánchez. # S. M. se ha servido promover á Subtenientes de bandera en</t>
  </si>
  <si>
    <t>Almonte, Manuel</t>
  </si>
  <si>
    <t>Manuel Almonte</t>
  </si>
  <si>
    <t>sef Alcayde y Monge, D. Miguel Roxas, D. Rafael Arias,D. Juan Bautista Urreta, D. Francisco Chavez, D. Manuel Almonte, D. Genaro Torres, D.Mariano Ponce, D. Juan Jaén, D. Fernando Rosel, D. Vicente Vivanco y D. Anselmo de Arce; j de Portaestandartes á D. Eusebio Goizueta, D. Manuel Muñiz, D. Matí</t>
  </si>
  <si>
    <t>Alois Reding</t>
  </si>
  <si>
    <t>patrulla alguna, no se experimentó ni desorden ni accidente. Ademas de. los dos Gefes del Estado y Mr. Alois Reding se viéron entre los espectadores varios extrangeros de distinción , como el Príncipe de Esterhazy, el Principe de Wirtemberg y el Príncipe de Schoenberg.: El que mas se distinguió</t>
  </si>
  <si>
    <t>Alopeus</t>
  </si>
  <si>
    <t>1 de octubre de 1805</t>
  </si>
  <si>
    <t>luciones y maniobras milirares en Scania no se ha apartado un punto de S. M. Sueca el Ministro Ruso Mr. Alopeus,yes verosímil que en caso de guerra obrarian las tropas Suecas juntamente con las Rusas, según se habrá concertado ya entre S. M. el Rey de Suecia y el Ministro de Rusia. El Prínc</t>
  </si>
  <si>
    <t>Altermath</t>
  </si>
  <si>
    <t>Ministro de España, que comió con el Land-Ammann, y después se fuéron al bayle,que tenia dispuesto Mr. Altermath. Al dia siguiente se fué á Berna, escoltado por ua destacamento de Cazadores de caballería hasta la frontera del Cantón. ITALIA. Trieste 4 de Enero. El cordon se halla enteramente</t>
  </si>
  <si>
    <t>te fue á visitar al Land-Ammán, quien le convidó á comer, y después le acompañó al bayle en casa de Mr. Altermath. Se ha tratado en las conferencias de este Ministro acerca de la capitulación militar entre España y Suiza. Con este motivo ha traído varios regalos para algunos Diputados de la D</t>
  </si>
  <si>
    <t>Alvallas, Pedro</t>
  </si>
  <si>
    <t>Pedro Alvallas</t>
  </si>
  <si>
    <t>14...&lt;j Pedro Alvallas........ Hijo de Josef, natural de Alcuve en Cata-) ~</t>
  </si>
  <si>
    <t>Alvarado, Alonso</t>
  </si>
  <si>
    <t>Alonso Alvarado</t>
  </si>
  <si>
    <t>yor D. Iñigo Órtés de Velasco, los Gefes de sala D. Josef Ortés de Velasco, D. Francisco Barraycua, D. Alonso Alvarado y D. Sebastian Gorvea; los Gefes de trozo D. Manuel Fernandez, D. Josef Fernandez y D. Josef Martínez; y los Seminaristas D. Manuel Abbad, el Cadete de Reales Guardias Walonas D. Jose</t>
  </si>
  <si>
    <t>, á pesarrae-tantos, obstáculos é inútiles esfuerzos para destruirla. Ganaron, también .este premio D. Alonso Alvarado, y D. Manuel Fernandez,</t>
  </si>
  <si>
    <t>Alvarado, Félix</t>
  </si>
  <si>
    <t>Félix Alvarado</t>
  </si>
  <si>
    <t>erosD.Rafael Paez; y una de las de bandera,vacante por ascenso de D. Josef Antonio Yanes, al Cadete D. Félix Alvarado.</t>
  </si>
  <si>
    <t>Álvarez de Loaya, Miguel</t>
  </si>
  <si>
    <t>Miguel Álvarez de Loaya</t>
  </si>
  <si>
    <t>26 de julio de 1805</t>
  </si>
  <si>
    <t>ia. Asimismo se ha servido el Rey nombrar para el Corregimiento de Le*tras de la villa de Linares á D. Miguel Alvarez de Loaya; para el de las Alpujarras, del Reyno de Granada, su capital Uxijar, á D. Josef Guillen de Toledo; y para la Vara de Alcalde mayor de la ciudad de Alcalá la Real á D. Francisco Jo</t>
  </si>
  <si>
    <t>Álvarez de Palma, Blas Joaquín</t>
  </si>
  <si>
    <t>Blas Joaquín Álvarez de Palma</t>
  </si>
  <si>
    <t>8 de febrero de 1805</t>
  </si>
  <si>
    <t>de los pobres, ni á los demas utensilios necesarios. En cuyas críticas circunstancias el limo. Sr. D. Blas Joaquín Alvarez de Palma, del Consejo de S. M. y Obispo de esta ciudad, como padre de pobres, siguiendo los impulsos de su piadoso corazón, y para realizar los saludables efectos de tan útiles y precisos</t>
  </si>
  <si>
    <t>Álvarez de Sotomayor, Ángel</t>
  </si>
  <si>
    <t>Ángel Álvarez de Sotomayor</t>
  </si>
  <si>
    <t>s Provinciales ha promovido el Rey á Capitán de •granaderos en el de Ciudad-Rodrigo al de fusileros D. Angel Alvarez de Sotomayor: á Tenientes de granaderos y fusileros del de Guadix al de esta clase D. Fernando Guillen, y Subtenientes D. Torquato Bonilla y D.Juan de Oñate : á Subtenientes de granaderos de l</t>
  </si>
  <si>
    <t>Álvarez Guerra, Juan</t>
  </si>
  <si>
    <t>Juan Álvarez Guerra</t>
  </si>
  <si>
    <t>1 de enero de 1805</t>
  </si>
  <si>
    <t>scrito en francés por el Abate Rozier, y traducido al Castellano , con aumentos muy importantes por Don Juan Alvarez Guerra , es una de las obras mas aventajadas en su clase, y que puede proporcionar á la agricultura las mayores utilidades. Este concepto, que ha merecido al público dicho escrito, unido</t>
  </si>
  <si>
    <t>8 de enero de 1805</t>
  </si>
  <si>
    <t>rito en francer por el Abate Ro— zier, y traducido al castellano , con aumentos muy importantes por Don Juan Alvarez Guerra, es una de las obras mas aventajadas en su clase» y que puede proporcionar á la agricultura las mayores utilidades, siempre que se haga común en el Reyno su lectura. S. M., que de</t>
  </si>
  <si>
    <t>Álvarez Maldonado Abadelanzana, Joaquín</t>
  </si>
  <si>
    <t>Joaquín Álvarez Maldonado Abadelanzana</t>
  </si>
  <si>
    <t>D. Cipriano Palafox, Marques de Fuente el Sol, D. Josef Povil y Correger, D. Juan Lliñas y Repiso, D. Joaquín Alvarez Maldonado Abadelanzana, D. Romualdo Miranda y Mon, y D. Rodrigo Sánchez de Arjona y Vargas. ,,E1 Comandante general de Marina del Departamento de Cádiz ha dado cuenta á la Superioridad, en 4 de este mes</t>
  </si>
  <si>
    <t>Álvarez Mendieta, Francisco</t>
  </si>
  <si>
    <t>Francisco Álvarez Mendieta</t>
  </si>
  <si>
    <t>r de la Audiencia de México, vacante por promoción de D. Cosme dé Mier á la Regencia de la misma, á D. Francisco Alvarez Mendieta, Alcalde del Crimen mas antiguo de la propia Audiencia; y para el empleo de Contador de Diezmos del Arzobispado de Sta. Fe, vacante por fallecimiento de D. Miguel Romero, á D. Ant</t>
  </si>
  <si>
    <t>Álvarez, Felipe</t>
  </si>
  <si>
    <t>Felipe Álvarez</t>
  </si>
  <si>
    <t>iago Escudero y D. Pedro Pérez ; y Subtenencias de bandera en el de Guadalaxara al Sargento primero D. Felipe Alvarez, y en el expresado de Granada al Teniente reformado del Provincial de Pontevedra D. Josef María Carranque y Freyre. El Rey se ha servido conferir en el Regimiento de infantería de</t>
  </si>
  <si>
    <t>Álvarez, Joaquín Jorge</t>
  </si>
  <si>
    <t>Joaquín Jorge Álvarez</t>
  </si>
  <si>
    <t>núan sus respectivas campañas. ' Vigo // de Abril. El corsario Madrileño, armado en este puerto por D. Joaquín Jorge Alvarez, por cuenta de un sugeto de Madrid, con 2 cañones y 28 hombres de tripulación; salió el diá 8 de Febrero á principiar su campaña de 3 meses, mandado por el Capitán D. Diego Eyriz</t>
  </si>
  <si>
    <t>Álvarez, Juan</t>
  </si>
  <si>
    <t>Juan Álvarez</t>
  </si>
  <si>
    <t>al tiempo de la peste; é ignorándose después su paradero, se suplica al que sepa de él, lo avise á D. Juan Alvarez, vecino de Zamora , quien tiene que comunicarle asuntos interesantes» Manuela de Mendiola y ÍL de Alvarez, hija única de Juana de Subelza, deberán presentarse dentro de 30 dias pr</t>
  </si>
  <si>
    <t>Álvarez, Juan de Dios</t>
  </si>
  <si>
    <t>Juan de Dios Álvarez</t>
  </si>
  <si>
    <t>drés Gallegos, al Portaguión D. Ramón Delgado, y á los Sargentos primeros D. Josef Manuel de Salas, D. Juan de Dios Alvarez, D. Francisco AIvarez y D. Jacinto Roque de Luna: empleo de Alférez de granaderos al Sargento primero DJ Josef Vicente Salas, y sencillos al Cadete D. Josef Dávila, á los Sargento</t>
  </si>
  <si>
    <t>Álvarez, Manuel</t>
  </si>
  <si>
    <t>Manuel Álvarez</t>
  </si>
  <si>
    <t>11 de enero de 1805</t>
  </si>
  <si>
    <t>mover á Sargento mayor al Capitán, graduado de Coronel, D. Agustín de Pinedo: á Capitán al Ayudante D. Manuel Alvarez: á Ayudante al Teniente D. Manuel Garayo: á Tenientes á los Alféreces D. Pedro N Rasco García y D. Cristóbal Minguez: á Alféreces á los Portaguiones D. Francisco Saez y D. Marcos</t>
  </si>
  <si>
    <t>Ayudantía al Teniente D. Gines Sánchez; y en el de León Subtenencia de bandera al Sargento primero D. Manuel Alvarez. En el Regimiento de caballería del Rey se ha servido S. M. promover á Ayudante al Teniente D. Juan López Dolz; y en el de Borbon á Portaestandarte al Cadete D. Luis CardónTambién</t>
  </si>
  <si>
    <t>Alvaro de Salazar y Vilches</t>
  </si>
  <si>
    <t>para el Deanato de la Catedral de Málaga, vacante por fallecimiento de D. Rafael Sánchez Barriga, á D. Alvaro de Salazar y Vilches; para la Dignidad de Chantre, que este dexa, al Canónigo de la misma D. Francisco Joaquín de Loyo y Treviño: para laCanongía, que este obtenía, á D. Francisco de Paula Lobo y Camp</t>
  </si>
  <si>
    <t>Alvaro Maldonado</t>
  </si>
  <si>
    <t>31 de mayo de 1805</t>
  </si>
  <si>
    <t>a servido conceder empleo de Alférez en el Regimiento de caballería del Príncipe al Portaestandarte D. Alvaro Maldonado: en el de Alcántara empleo de Portaestandarte á D. Félix Díaz de Arjona, Cadete del de Borbon ; y en el de Cazadores Voluntarios de España Tenencia ai Alférez D. Pedro Romo. S. M.</t>
  </si>
  <si>
    <t>Alvaro María de Ribade</t>
  </si>
  <si>
    <t>rvido nombrar para el Deanato, primera silla de la Catedral de Orense, vacante por fallecimiento de D. Alvaro María de Ribade— néyra,á D. Luis Amonio Fol gue ras, Canónigo de la Colegiata deBriviesca: para el Arcediana'to titular de la Catedral de Almeríavacante por promoción de D. Gregorio González Belt</t>
  </si>
  <si>
    <t>Alvaro, Felipe</t>
  </si>
  <si>
    <t>Felipe Alvaro</t>
  </si>
  <si>
    <t>14 de mayo de 1805</t>
  </si>
  <si>
    <t>ánchez, D. Eustasio López y D. Miguel Perez; y los tres segundos de á 35 pesos á D. Isidro Franco,, D. Felipe Alvaro y D. Pedro González; quedando con la mas lisonjera satisfacción de haber advertido al propio tiempo el despejo y notables adelantamientos de algunos jóvenes, y señaladamente de D. Jua</t>
  </si>
  <si>
    <t>Alvaxez Mendieta, Francisco</t>
  </si>
  <si>
    <t>Francisco Alvaxez Mendieta</t>
  </si>
  <si>
    <t>vido nombrar para una plaza de Alcalde del Crimen de la Audiencia de México, vacante por ascenso de D. Francisco Alvaxez Mendieta á otra de Oidor de la misma, á D. Manuel del Campo y Rivas, Decano de la de Guadalaxara; y para la Fiscalía de lo Civil y Criminal de la de Manila, en las islas Filipinas, á D. Ju</t>
  </si>
  <si>
    <t>Amalia de Prusia, Princesa</t>
  </si>
  <si>
    <t>Princesa Amalia de Prusia</t>
  </si>
  <si>
    <t>idad y prontitud, obrita hecha por.Mr. IGmberger, maestro del dicho instrumento, y de la Serenísima Princesa Amalia de Prusia. EN LA IMPRENTA REAL.</t>
  </si>
  <si>
    <t>Amat, Félix</t>
  </si>
  <si>
    <t>Félix Amat</t>
  </si>
  <si>
    <t>27 de agosto de 1805</t>
  </si>
  <si>
    <t>es y correcciones de la Historia eclesiástica, ó tratado de la Iglesia de Jesucristo, del limo. $r. D. Félix Amat, Arzobispo de Palmira, y Abad de San Ildefonso, con un Breve de nuestro SS. P. Pió vil, que hace mucho honor á la obra. Se hallará en la librería de la viuda é hijo de Quiroga, ca</t>
  </si>
  <si>
    <t>Amat, Francisco</t>
  </si>
  <si>
    <t>Francisco Amat</t>
  </si>
  <si>
    <t>nte en la Parroquia de Caldas de Mombuy, Diócesis de Barcelona, por muerte de D. Narciso Barnada, á D. Francisco Amat: para una Ración de la Catedral de Orense, vacante por promoción de Don Tomas Cid á Canongía de la misma, á D. Jacinto Nicolás Taboada, Abad de la Parroquia de S. Miguel del Campo</t>
  </si>
  <si>
    <t>Amaya, Ramón</t>
  </si>
  <si>
    <t>Ramón Amaya</t>
  </si>
  <si>
    <t>muerto: D. Joaquín de Salas id.: D. Juan Matute id.: D. Agustín Monzon id. : D. Juan Donesteve id.: D. Ramón Amaya id.: D. Francisco Calderón, herido: D. Marcos Guruzeta id.: D. Joaquin Jorganes id.: D. Luis Moreno id.: D. Rafael de Luna id. Tenientes de Fragata. D. Rafael Bobadilla, muerto; D</t>
  </si>
  <si>
    <t>Améller, Carlos</t>
  </si>
  <si>
    <t>Carlos Améller</t>
  </si>
  <si>
    <t>vacante por fallecimiento de D. Josef Sabater , que lo obtenía, al Vice-Director del mismo Colegio D. Cárlos Améller. En América. El Rey se ha servido nombrar para una Ración de la Catedral de Cuenca , en el Perú, vacante por fallecimiento de D. Vicente de Heredia, á D. Marrano Salazar; y para l</t>
  </si>
  <si>
    <t>Americano, Almirante</t>
  </si>
  <si>
    <t>Almirante Americano</t>
  </si>
  <si>
    <t>13 de septiembre de 1805</t>
  </si>
  <si>
    <t>tanas. Escriben de Túnez que se ha presentado allí una fragata de los EstadosUnidos con pliegos del Almirante Americano para el Bey: contienen ciertas peticiones, que el Príncipe está en ánimo de negar; y si ve que insiste el Almirante en su demanda , no tardará en acabarse la buena inteligencia qu</t>
  </si>
  <si>
    <t>Ametller, Blas</t>
  </si>
  <si>
    <t>Blas Ametller</t>
  </si>
  <si>
    <t>17 de septiembre de 1805</t>
  </si>
  <si>
    <t>tomos en 8.°, y en el primero se ha colocado el retrato del mismo D. Tomas de Yriarte, grabado por D. Blas Ametller. Se hallará con los 3 tomitos de las Lecciones instructivas, y la traducción del nuevo Robinson, en la librería de Baylo, calle de las Carretas. El Anti-Quixote, por D. Nicolás Pe</t>
  </si>
  <si>
    <t>Amezaga, Francisco</t>
  </si>
  <si>
    <t>Francisco Amezaga</t>
  </si>
  <si>
    <t>de Ribas, á deducir las acciones y derechos que les competa en los autos que por este juzgado sigue D. Francisco Amezaga, vecino y del comercio de la villa de Bilbao, contra el mismo Milza, sobre pertenencia de 100 acciones de á i9 rs. de la Real Compañía marítima ; prevenidos que pasado dicho térmi</t>
  </si>
  <si>
    <t>Amizonense, Obispo</t>
  </si>
  <si>
    <t>Obispo Amizonense</t>
  </si>
  <si>
    <t>do con su aprobación y elogio el limo, y Rmo. Sr. D. Fr. Miguel de Santander, del Consejo de S. M., Obispo Amizonense, Auxiliar, Gobernador y Visitador general del Arzobispado de Zaragoza, sugeto bien conocido en toda España por su virtud, por su eloqiiencia varonil, por sus tareas apostólicas, y</t>
  </si>
  <si>
    <t>Amízonense, Obispo</t>
  </si>
  <si>
    <t>Obispo Amízonense</t>
  </si>
  <si>
    <t>s otros opúsculos en prosa y verso del Timo. Sr. Don Fr. Miguel de Santander, del Consejo de S. M., Obispo Amízonense, Auxiliar 4w Gobernador y Visitador general dei Arzobispado de Zaragoza: un tomo en 4. El público ha admirado ya la profundidad, la energía y la eloqüencia verdaderamente apostóli</t>
  </si>
  <si>
    <t>rs. Sermones dogmáticos escritos por el limo. Sr. D. Fr. Miguel de Santander, del Consejo de S. M., Obispo Amizonense, Auxiliar, Gobernador y Visitador general del Arzobispado de Zaragoza, para instrucción de los fieles, y conversión de los incrédulos: tomo i.° Se hallará en las librerías de Quir</t>
  </si>
  <si>
    <t>Amóler, Blas</t>
  </si>
  <si>
    <t>Blas Amóler</t>
  </si>
  <si>
    <t>2 de abril de 1805</t>
  </si>
  <si>
    <t>uxadas por D. Josef Maea, y grabadas dos por D. Manuel Salvador Carmona, y la otra por su discípulo D Blas Amóler: la primera representa quando Gregorio xr trasladó la silla de S. Pedro de Aviñon á Roma*, en la segunda está la Santa predicando al Papa Urbano vi y Colegio de sagrados Purpurado</t>
  </si>
  <si>
    <t>Amonio Fol, Luis</t>
  </si>
  <si>
    <t>Luis Amonio Fol</t>
  </si>
  <si>
    <t>era silla de la Catedral de Orense, vacante por fallecimiento de D. Alvaro María de Ribade— néyra,á D. Luis Amonio Fol gue ras, Canónigo de la Colegiata deBriviesca: para el Arcediana'to titular de la Catedral de Almeríavacante por promoción de D. Gregorio González Beltranilla al Deanato de la de</t>
  </si>
  <si>
    <t>An, María</t>
  </si>
  <si>
    <t>María An</t>
  </si>
  <si>
    <t>Isleño........... Idem................... . ídem. 111 D. Manuel Antonio de Hoyos : pára su sobrina Doña María An- tonia Rodríguez de Obeso, residente en Andalucía............... 250 ID. Josef Márquez Rebollo, Presbítero, de Cádiz: para decir mi. sas por su alma................................</t>
  </si>
  <si>
    <t>Anastasio de Isamendi, Vicente</t>
  </si>
  <si>
    <t>Vicente Anastasio de Isamendi</t>
  </si>
  <si>
    <t>Ruiz, Cura en la misma Diócesi: para la Canongía Magistral de la Catedral de Córdoba del Tucuman á D. Vicente Anastasio de Isamendi, Cura de la Iglesia matriz de Salta: para la Lectoral de la de Puebla de los Angeles á D. Francisco Pablo Vázquez, Cura de esta ciudad; y para una Ración de la del Nuevo Rcyno de</t>
  </si>
  <si>
    <t>Andaluz, Ramón</t>
  </si>
  <si>
    <t>Ramón Andaluz</t>
  </si>
  <si>
    <t>l Préstamo de Valdeobispo, en la misma Diócesis, vacante por fallecimiento del referido Calderón, á D. Ramón Andaluz, Capellán de Coro de la propia Real Capilla: para el MedioPréstamo de la villa dé Chiloeches, en el Arzobispado de Toledo , vacante por muerte de D. Basilio Martin García,?á D. Di</t>
  </si>
  <si>
    <t>Andarlo, Melchor</t>
  </si>
  <si>
    <t>Melchor Andarlo</t>
  </si>
  <si>
    <t>30 de agosto de 1805</t>
  </si>
  <si>
    <t>obra escrita en italiano, traducida al ingles y al francés, y de este trasladada al castellano por D. Melchor Andarlo. Presenta baxo un punto de vista un quadro tan rápido como filosófico del estado general del comercio de Europa: tiene un tratado del comercio particular de Sicilia, con un estado</t>
  </si>
  <si>
    <t>Andillon, Miguel</t>
  </si>
  <si>
    <t>Miguel Andillon</t>
  </si>
  <si>
    <t>Lérida, á D. Felipe Atanasio Exea; y para otra de la Catedral de Roda, vacante por fallecimiento de D. Miguel Andillon* á D. Ignacio Garces y Perez. S. M. se, ha servido conferir Compañías en los Regimientos de infantería de la Reyna y Guadalaxara á los Ayudantes, graduados de Capitán, Don Juan Vá</t>
  </si>
  <si>
    <t>Andrada Wanderwilde, Francisco</t>
  </si>
  <si>
    <t>Francisco Andrada Wanderwilde</t>
  </si>
  <si>
    <t>eja, D. Francisco Rio Espina y Aracil. D. Pablo de la Puente y Aranguren* D. Luis Cepeda y Ruliere, D. Francisco Andrada Wanderwilde, D. Cipriano Palafox, Marques de Fuente el Sol, D. Josef Povil y Correger, D. Juan Lliñas y Repiso, D. Joaquín Alvarez Maldonado Abadelanzana, D. Romualdo Miranda y Mon, y D. Rodr</t>
  </si>
  <si>
    <t>André</t>
  </si>
  <si>
    <t>itor Haydn no ha muerto, como se ha dicho, y que goza en el dia de perfecta salud. Habiendo escrito Mr. André, Maestro de Capilla de Darmstad, á Mr. Wranishy, de Viena: le ha contestado este asegurándole positivamente que Haydn vive, y que si este ilustre artista hubiese sabido antes los</t>
  </si>
  <si>
    <t>Andreu, Francisco</t>
  </si>
  <si>
    <t>Francisco Andreu</t>
  </si>
  <si>
    <t>D. Manuel Diez de Tejada y Paz: para otra de la Catedral de Barcelona, vacante por fallecimiento de D. Francisco Andreu , á D. Josef Espinos , Canónigo de la Colegiata de Sta. Ana de aquella ciudad: para una Capellanía de parentela, titulada primera de Santa Lucía , vacante en la Parroquia de Calda</t>
  </si>
  <si>
    <t>Andriani, Luis María</t>
  </si>
  <si>
    <t>Luis María Andriani</t>
  </si>
  <si>
    <t>15 de marzo de 1805</t>
  </si>
  <si>
    <t>el Regimiento de infantería de Valencia á Sargento mayor al Capitán, graduado de Teniente Coronel, Don Luis María Andriani; y en los de Cantabria y America á Subtenientes de bandera á los Sargentos primeros D. Pedro Nolasco Albo y D. Benito Soldado. El Rey ha conferido en los Regimientos Provinciales</t>
  </si>
  <si>
    <t>Andriol, Domingo</t>
  </si>
  <si>
    <t>Domingo Andriol</t>
  </si>
  <si>
    <t>Supl., p. 5</t>
  </si>
  <si>
    <t>Id. id. Domingo Andriol , Hijo de Juan y de María Andriol, natu­</t>
  </si>
  <si>
    <t>Anduxar, Juan</t>
  </si>
  <si>
    <t>Juan Anduxar</t>
  </si>
  <si>
    <t>ote; otra de D. J. M. R. sobré el privilegio concedido á los cosecheros de vino de Granada; otra de D. Juan Anduxar á los editores sobre el extracto que hicieron de la obra intitulada Exposición del método elemental de Pestalozzí, por D. A. Chavannes; un remedio empleado en la India para preser</t>
  </si>
  <si>
    <t>Aner de Esteve, Felipe</t>
  </si>
  <si>
    <t>Felipe Aner de Esteve</t>
  </si>
  <si>
    <t>nuyendo -los principios productivos, determinan los progresos ó la decadencia dé las naciones t 6.° D. Felipe Aner de Esteve de las medidas de la población por la cantidad de subsistencia, y de las causas que suelen impedir sus aumentos: 7.0 D. Josef Zufía de los diferentes ramos del comercio de granos, y de l</t>
  </si>
  <si>
    <t>Anglés, Juan</t>
  </si>
  <si>
    <t>Juan Anglés</t>
  </si>
  <si>
    <t>antía á D. Josef Romero; Tenencia de granaderos á D. Juan Estevez,y de fusileros á D. Tomas Carreri,D. Juan Anglés, Don Pascual Toledo, D. Manuel Carpió, D. Francisco Grambel,D. Josef Cordero, D. Ramón Oviedo y D. Juan Cornejo; Subtenencia de granaderos á D. Miguel San Román, y de fusileros á</t>
  </si>
  <si>
    <t>Anguita, Julián</t>
  </si>
  <si>
    <t>Julián Anguita</t>
  </si>
  <si>
    <t>miento de infantería de Granada se ha servido el Rey conceder Tenencia al Subteniente de granaderos D. Julián Anguita; y Subtenencia de bandera ¡al Cadete D. Ignacio Albelda; En el Real Cuerpo de Artillería se ha sérvido S. M. promover á Capitanes segundos á los Tenientes D; Pedro Gutiérrez y D.</t>
  </si>
  <si>
    <t>Angulo, Matías</t>
  </si>
  <si>
    <t>Matías Angulo</t>
  </si>
  <si>
    <t>uez Mutiosabal, D. Josef Joaquin de Vera, D. Joaquín de Garay Artabe, Don Lucas Cano, D. Juan Cano, D. Matías Angulo, y el octavo se sorteo entre D. Antonio Hernando Cárabes, D. Miguel Arguelles Cifuentes y Don Manuel de Iduate, y recayó en este. Don Josef Joaquin Cano renunció el premio á que s</t>
  </si>
  <si>
    <t>Aniceto Díaz Pimienta</t>
  </si>
  <si>
    <t>. Josef María Pardo id.: D. Josef Maymó, herido : D. Manuel Briones id.: D. Pedro Saez;Baranda id.: D. Aniceto Diaz Pimienta id.: D. Francisca Rúa id. Primer Piloto. D. Joaquin Hurtado, contuso. También ha dado parte al Sr. Generalísimo el Gefe de Esqnadra Don Baltasar Cisneros, desde Algeciras en 31 de</t>
  </si>
  <si>
    <t>Aniceto Pérez</t>
  </si>
  <si>
    <t>24 de diciembre de 1805</t>
  </si>
  <si>
    <t>ta.......... .................... D. Diego del Castillo. Idem y primer Piloto.................... . D. Aniceto Perez. ^ ,. ,, . JD. Manuel Briones. Guardias Marinas..................................\D. Antonio Bobadilla y Eslava. Heridos. Teniente de Navio.............................. D. Pedro</t>
  </si>
  <si>
    <t>Aniceto Xímenez</t>
  </si>
  <si>
    <t>Id. Ayud. Aniceto Xímenez. Hijo de Sebastian y de María Xímenez,</t>
  </si>
  <si>
    <t>Anidó Fernández, Francisco</t>
  </si>
  <si>
    <t>Francisco Anidó Fernández</t>
  </si>
  <si>
    <t>tánte pox traslación de D. Manuel Lafiguera áótrá igual en la áb Aragón, Se digno el Rey nóiUbrar á D. Francisco Anidó Fernandez. También ha concedido S. M; honores de Alende del CHríVen de te Chancille ría de Granada á D. Josef Ignacio Liórens, Corregidor áe la población de S. Roque eii él Campo dé Gibralt</t>
  </si>
  <si>
    <t>Anselmo Campanoni</t>
  </si>
  <si>
    <t>en el Batallón de milicias disciplinadas de Cuba y Bayamo á Teniente de granaderos al de fusileros D. Anselmo Campanoni; y esta resulta al Sargento primero veterano de granaderos D. Josef Antonio Pécora : en el mismo Batallón á Subteniente de bandera al Cadete D. Santiago Portuondo. En el de milici</t>
  </si>
  <si>
    <t>Anselmo de Paño y Sejornan</t>
  </si>
  <si>
    <t>ma latino al castellano, añadida é ilustrada con varias adiciones por el Dr. D. Anselmo de Paño y Sejornan, Canónigo de la santa Iglesia Colegial de Monzon: obra útilísima á toda clase de personas: % tomos en 8.°, á 1 2 rs. en rústica. Se hallará en Zaragoza en la librería de Yagiie. Descripción</t>
  </si>
  <si>
    <t>4 de octubre de 1805</t>
  </si>
  <si>
    <t>del latín al castellano, añadida é ilustrada con varias adiciones por el Dr. D. Anselmo de Paño y Sejornan, Canónigo de la Iglesia de Santa María del Romeral de la villa de Monzon en el Reyno de Aragón. Obra muy útil é interesante á todo género de personas, pues en este breve compendio se hace r</t>
  </si>
  <si>
    <t>Anselmo Pérez Mozun</t>
  </si>
  <si>
    <t>o Josef Hervás: para la de Bienvenida á D. Diego Felipe Ladrón de Guevara: para la de Pedro-Muñoz i D. Anselmo Perez Mozun; y para la de S. Cebrian de Castrotorafe á Don Manuel Juan Barrado de Cereceda: estas tres de primera clase &lt;5 entrada, y todas en ei territorio de la Orden de Santiago. Asimismo</t>
  </si>
  <si>
    <t>Anstruther, Coronel</t>
  </si>
  <si>
    <t>Coronel Anstruther</t>
  </si>
  <si>
    <t>13 de diciembre de 1805</t>
  </si>
  <si>
    <t>enían de la Barbada. Todas nuestras colonias de Barlovento han padecido infinito con esta plaga. El Coronel Anstruther parte para el Norte de Europa como 'Comisario &lt;5 Agente cerca de los exércitós confederados. En conseqiiencia del nuevo arreglo hecho por el Canciller del Eeblquier se destinará a</t>
  </si>
  <si>
    <t>Antelo y Mella, Luis</t>
  </si>
  <si>
    <t>Luis Antelo y Mella</t>
  </si>
  <si>
    <t>eficio simple de Santa María de Lara, de la ciudad de Huete, por fallecimiento de D. Joséf Clemot,á D. Luis Antelo y Mella. El Rey se ha dignado nombrar para una de las 6 Capellanías menores del Real palacio de la ciudad de Palma, Reyno de Mallorca, á D. Antonio Ferrer y May rata. S. M. se ha servido</t>
  </si>
  <si>
    <t>Antentas, Luis</t>
  </si>
  <si>
    <t>Luis Antentas</t>
  </si>
  <si>
    <t>te se ha servido S. M. conceder en-el Regimiento de Pavía, quarto de cazadores, Tenencia al Alférez D. Luis Antentas; y empleo de Alférez al Sargento primero D. Francisco Cialceta. El Rey se ha servido nombrar para la Vara de Alcalde mayor del Gobierno de la ciudad de Xerez de los Caballeros á D</t>
  </si>
  <si>
    <t>Antezana, Julián</t>
  </si>
  <si>
    <t>Julián Antezana</t>
  </si>
  <si>
    <t>. Ramón Oviedo y D. Juan Cornejo; Subtenencia de granaderos á D. Miguel San Román, y de fusileros á D. Julián Antezana, D. Evaristo Ximenez , D. Mariano Estevez, D. Fernando Aragón, D. Josef Callisava, D. Antonio de la Vega, D. Josef de Avila y D. Francisco Velasco; y Subtenencias de bandera á D.</t>
  </si>
  <si>
    <t>Anto, Miguel</t>
  </si>
  <si>
    <t>Miguel Anto</t>
  </si>
  <si>
    <t>ét: para la de la ciudad de Tortosa á Don Juan Pedro de Martino; y para la de la villa de Cullera á D. Miguel Anto* nio Rodrigo: todas tres de segunda clase. En América. El Rey se ha servido nombrar para las Canongías Magistral , Penitenciaria y Lectoral de la Iglesia Catedral del Nuevo Reyno</t>
  </si>
  <si>
    <t>Antolin Ruiz de Osuna, Francisco</t>
  </si>
  <si>
    <t>Francisco Antolin Ruiz de Osuna</t>
  </si>
  <si>
    <t>rid; y para un Beneficio de la referida Metropolitana, vacante por renuncia de D. Josef de Gajli, á D. Francisco Antolin Ruiz de Osuna. En el Regimiento de infantería del Príncipe se ha servido el Rey promover á Subteniente de bandera ai Cadete D. Pedro Morales: en el de Mallorca á Teniente al Subteniente D. Fern</t>
  </si>
  <si>
    <t>Antonelli, Cardenal</t>
  </si>
  <si>
    <t>Cardenal Antonelli</t>
  </si>
  <si>
    <t>ércitos antiguamente, de quienes tal vez podrá ser descendiente el difunto Alexandro. El dia 12, el Cardenal Antonelli, Penitenciario de la Santa Iglesia y Subdecano del Sacro Colegio, bautizó en la Iglesia de S. Luis á una Judía Holandesa, de edad de 13 años. £1 padre de esta joven, rico comercia</t>
  </si>
  <si>
    <t>. S. no pudo oficiar por falta de los ornamentos necesarios para esta ceremonia, celebró la misa ei Cardenal Antonelli, en calidad de decano de los Cardenales. Brusélas iS de Abril, Ayer, á las f de la tarde, hizo su entrada solemne en esta ciudad el Príncipe Josef, precedido de las Autoridades ci</t>
  </si>
  <si>
    <t>semana santa se han celebrado en nuestra antigua Catedral con las mismas ceremonias que en Roma. El Cardenal Antonelli ofició el viérnes santo en calidad de Penitenciario mayor. El Papa fué á la adoración de la cruz, seguido de los Cardenales , del Arzobispo-Obispo de Autun, de los demas Obispos y</t>
  </si>
  <si>
    <t>Antoni, Juan</t>
  </si>
  <si>
    <t>Juan Antoni</t>
  </si>
  <si>
    <t>El Rey se ha servido promover en el Regimiento Suizo de Wimpffen á Subteniente al Sargento primero D. Juan Antoni: en el de Ruttimann á Subteniente de granaderos al de fusileros D. Juan Roth, y á Subteniente de esta clase al Cadete D. Juan Baptista Josef Conde de Thurn: en el de Traxler á Ayu</t>
  </si>
  <si>
    <t>Antonia</t>
  </si>
  <si>
    <t>biznietos y biznietas de Doña Antonia Butragueño, como también á las nietas ó biznietas dé la misma Doña Antonia, que estuviesen embarazadas, y asimismo los nietos y biznietos de la misma, cuyas mugeres lo estuviesen en 21 de Diciembre de 1804, para que en el término de 30 dias contados desd</t>
  </si>
  <si>
    <t>3 de diciembre de 1805</t>
  </si>
  <si>
    <t>znietos y biznietas de Doña Antonia Butragueño, como también á las nietas ó biznietas de la misr ma Doña Antonia que estuviesen embarazadas, y asimismo los nietos y biznietos de la misma cuyas mugeres lo. estuviesen en 21 de Diciembre de 1804, para que en el'término de 9 dias, perentorios, c</t>
  </si>
  <si>
    <t>Antonia Butragueño</t>
  </si>
  <si>
    <t>de 4 de Abril último, se cita, llama y emplaza á todos los nietos, nietas, biznietos y biznietas de Doña Antonia Butragueño, como también á las nietas ó biznietas dé la misma Doña Antonia, que estuviesen embarazadas, y asimismo los nietos y biznietos de la misma, cuyas mugeres lo estuviesen en 21 de Di</t>
  </si>
  <si>
    <t>gidor de esta villa, se. cita, llama y emplaza á todos los nietos, nietas, biznietos y biznietas de Doña Antonia Butragueño, como también á las nietas ó biznietas de la misr ma Doña Antonia que estuviesen embarazadas, y asimismo los nietos y biznietos de la misma cuyas mugeres lo. estuviesen en 21 de D</t>
  </si>
  <si>
    <t>Antonia Faez</t>
  </si>
  <si>
    <t>i fin el Regimiento de dragones de Nueva-España se ha servido S. M. promover á Teniente al Alférez D. Antonia Faez ; á Alférez al Portaguión D. Domingo Savariego, y á Portaguión al Cadete D. Bernardo Melgar. En el Regimiento provincial de dragones. de Quenetaro; se ha servido el: Rey; promover</t>
  </si>
  <si>
    <t>Antonio Estéban</t>
  </si>
  <si>
    <t>edro Guerra; á Teniente al Alférez de carabineros D. Gregorio Cebolledo; á Alférez de carabineros á D. Antonio Estéban; y á Alféreces al Sargento primero D. Josef Miguel Pagan y al Cadete D. Vicente Ramírez de Arellano. Don Francisco Xavier Trelles ha dado cuenta al Excmo. Sr. Generalísimo Príncip</t>
  </si>
  <si>
    <t>Antonio Miguel</t>
  </si>
  <si>
    <t>z; y para el Medio Préstamo de Santa Cecilia de Medellin, en el de Plasencia, vacante por muerte de D. Antonio Miguel, á D. Juan de Sarasa. S. M. se ha dignado nombrar en el Regimiento de infantería de Zamora Compañía al Ayudante, graduado de Capitán, D. Mariano Vázquez: en el de Valencia Subtene</t>
  </si>
  <si>
    <t>Antonio, Archiduque</t>
  </si>
  <si>
    <t>Archiduque Antonio</t>
  </si>
  <si>
    <t>22 de noviembre de 1805</t>
  </si>
  <si>
    <t>ticas circunstancias actuales, na habrá en la Dieta quien se oponga j y entonces dexará á cargo del Archiduque Antonio la execucion de íos empeños que. haya contraído la nación Húngara, y se restituirá prontamente á Viena, para dirigir en persona sus exércitos y los del Empe«ador de las Rusias. En la G</t>
  </si>
  <si>
    <t>*-r GAZETA DE MADRID DEL MARTES 3 DE DICIEMBRE DE 180 y. ALEMANIA. Praga 28 de Octubre. S. A. R. el Archiduque Antonio, Gran Maestre de la Orden Teutónica, llegó ayer aquí, viniendo de Viena, acompañado del Conde de Harrach su Edecán. Hoy se ha puesto en camino para Berlín. f . Augsburgo g de Novi</t>
  </si>
  <si>
    <t>contemplando el monumento de aquel Monarca Inmortal. Hoy ha salido de aquí para Berlín S. A. R. el Archiduque Antonio, y mañana seguirá su viage para Viena. Se espera en Berlín al Duque de Cambridge. Creemos que pronto llegará aquí 5. M. el Rey de Suecia. * ALEMANIA. Francfort 17 de Noviembre. Es</t>
  </si>
  <si>
    <t>el Emperador dé Austria, y de los Príncipes de su Casa. El Oran Maestre de la Orden Teutónica es el Archiduque Antonio, hermano 4.0 del Emperador Francisco it¿ Stuttgardt ij de Noviembre. Los individuos del Tribunado Francés fueron cumplimentados en Augsburgo por una diputación 4$1 Senado de aquel</t>
  </si>
  <si>
    <t>Antonioy Cartas de Isócrates</t>
  </si>
  <si>
    <t>ndarioí un tomo Cn*J^Ui°S P°r pasta : su autor D. Pedro del Rio. t0mo cn 4” » a 26 en por Oraciones D. Antonioy Cartas de Isócrates,* tradacidas Ranz Romanillos: tomos en 8del vrieeo é¿ ¡Jstradas con notas 0 «favor hallarán en el despacho de la Imprenta Real. 7 ‘ 46 cn *asta* Se Con carta Buenos-Ay res de 26 d</t>
  </si>
  <si>
    <t>Aoiz de Zuza, Ramón</t>
  </si>
  <si>
    <t>Ramón Aoiz de Zuza</t>
  </si>
  <si>
    <t>de Santiago, el empleo de Teniente Coronel al Sargento mayor del de Alcántara, graduado de Coronel, D. Ramón Aoiz de Zuza: en el de Algarve Compañía al Teniente del de Montesa, graduado de Capitán’, D. Alonso Iniesta: empleos de Alférez en los del Infante y España á ios Portaestandartes D. Josef Tasi</t>
  </si>
  <si>
    <t>Aparici, Joaquín</t>
  </si>
  <si>
    <t>Joaquín Aparici</t>
  </si>
  <si>
    <t>o Frías y' D. Miguel de Castro y Corréai en el de Aragón Compañía al Ayudante, graduado de Capitán, D. Joaquín Aparici; y Subtenencia de bandera al Sargento primero de granaderos D. Miguel Oliver; y el empleo de segundo Ayudante en el segundo batallón dé Voluntarios de Barcelona al Teniente D. Ram</t>
  </si>
  <si>
    <t>Aparicio, Juan</t>
  </si>
  <si>
    <t>Juan Aparicio</t>
  </si>
  <si>
    <t>18 de junio de 1805</t>
  </si>
  <si>
    <t>archámalo que obtiene en la misma Diócesis: para otra de la Catedral de Osma, vacante por muerte de D. Juan Aparicio, á D. Santos Eméterio Encabo, Cura de aquella Catedral: para otra de la Catedral de Orense , vacante por fallecimiento de D» Pedro Martines, á D. Ramón Gutiérrez Blanco , Cura Rec</t>
  </si>
  <si>
    <t>Aparicio, Pedro</t>
  </si>
  <si>
    <t>Pedro Aparicio</t>
  </si>
  <si>
    <t>9 en pasta.=Examen sin excusa, alivio de penitentes y consuelo de confesores, compuesto por el Br. Don Pedro Aparicio, Presbítero, primer Capellán del Real Oratorio del Caballero de Gracia de esta Corte: segunda impresión, en el que se comprehende otro examen para toda clase de dignidades, empleo</t>
  </si>
  <si>
    <t>Apodaca, Domingo</t>
  </si>
  <si>
    <t>Domingo Apodaca</t>
  </si>
  <si>
    <t>l Ribero Alonsoy D. Tiburcio Vivanco, D. Manuel Eusebio y*D. Ignacio de los Rios; Ayudantía mayor á D. Domingo Apodaca; Tenencia de granaderos á Di Josef de Noya ; y de-fusileros á D. Francisco García deJPonce, D. Antonio Zainudio, D. Francisco de Lira, Don Josef Zarate y D. Manuel Nuñez; Subtenen</t>
  </si>
  <si>
    <t>Aquilino Gavilanes</t>
  </si>
  <si>
    <t>andartes D. Josef Galiano y D. Felipe Traggia; y á Portaestandarte en el mismo Cuerpo á lo? Cadetes Don Aquilino Gavilanes y D. Francisco Puígmoltó, que lo es del de Montesa. En los Regimientos de caballería ligera se ha, servido igualmente S. M. promover á Ayudante en ei de cazadores de la Reyna al Tenie</t>
  </si>
  <si>
    <t>Aragón, Fernando</t>
  </si>
  <si>
    <t>Fernando Aragón</t>
  </si>
  <si>
    <t>D. Miguel San Román, y de fusileros á D. Julián Antezana, D. Evaristo Ximenez , D. Mariano Estevez, D. Fernando Aragón, D. Josef Callisava, D. Antonio de la Vega, D. Josef de Avila y D. Francisco Velasco; y Subtenencias de bandera á D. Domingo Terrona y D. Eusebio Cornejo. El Rey se ha dignado con</t>
  </si>
  <si>
    <t>Arambunn En, Martín</t>
  </si>
  <si>
    <t>Martín Arambunn En</t>
  </si>
  <si>
    <t>Ventura del Castaño, D. Mariano Cruceta, D..SantiagoRizo, D. Eugenio Ibarrcia, D. Josef Osorio, y-'D. Martin Arambunn En el de los Valles de Acari y Chala Ayudantía ai Teniente del mismo D. Josef AntoninoNeyra. En el de caballería de Cañete, también de Milicias, Tenencias a los Alféreces D. Josef Seyj</t>
  </si>
  <si>
    <t>Aranda, Antonio</t>
  </si>
  <si>
    <t>Antonio Aranda</t>
  </si>
  <si>
    <t>9 de agosto de 1805</t>
  </si>
  <si>
    <t>o de ellos á sus Consiliarios los Exemos. Sres. D. Antonio Luis Real y D. Fernando Daoiz con el Sr. D. Antonio Aranda para disponer y presidir los exámenes de los Practicantes de estas ^Reales casas que han asistido á dicho curso, cuyos exercicios.se verificaron desde el dia 9 de Julio hasta el 1</t>
  </si>
  <si>
    <t>Aranda, Ignacio</t>
  </si>
  <si>
    <t>Ignacio Aranda</t>
  </si>
  <si>
    <t>cticante de Farmacia, de los seres simples: D011 Francisco Marzo, idem , de la análisis y síntesis: D. Ignacio Aranda, ídem, de la. formación y constitución de la atmósfera terrestre : D. Juan Antonio Pradas, idem, de los fluidos elásticos aeriformes: en el segundo dia D. Sebastian Puertas, idem,</t>
  </si>
  <si>
    <t>Araurrenecheá, Juan Ignacio</t>
  </si>
  <si>
    <t>Juan Ignacio Araurrenecheá</t>
  </si>
  <si>
    <t>omover á Coronel del Batallón de nueva creación de Milicias de Olancho, en el Reyno de Goatemala, á D. Juan Ignacio Araurrenecheá, Capitán graduado de Exército y Comandante del extinguido esquadron de Tegucigaipa. Enel Regimiento de Milicias urbanas de caballería de Lampa, en el Reyno del Perú, se ha dignado</t>
  </si>
  <si>
    <t>Araús, Jacinto</t>
  </si>
  <si>
    <t>Jacinto Araús</t>
  </si>
  <si>
    <t>en el segundo dia D. Sebastian Puertas, idem, de ácidos: D. Genaro Nasarre , idem, de los álkalis: D. Jacinto Araús, idem, de las substancias metálicas: D. Serafín García, Cursante de Medicina, de la Mineralogía; y D. Francisco Garceran y García, idem, de la descomposición del ayre atmosférico</t>
  </si>
  <si>
    <t>Arbuthnot</t>
  </si>
  <si>
    <t>quieren para mantener en las fronteras la buena inteligencia entre los subditos de ámbos Estados. • Mr. Arbuthnot, que lleva el destino de Embaxador Británico áCóns— tantinopla, se halla todavía en Trieste detenido de orden de su Gobierno. Ha recibido varias veces pliegos del Almirante Nelson</t>
  </si>
  <si>
    <t>la flota de Nelson, cuyas fragatas y corbetas destacadas han desaparecido de las costas de Italia. Mr. Arbuthnot, nombrado Embaxador Británico cerca de la Puerta Otomana, va prolongando su estancia en Trieste, en donde tiene una correspondencia seguida con el Almirante Nelson, de quien ha re</t>
  </si>
  <si>
    <t>mejorar el ramo de la construcción de buques. Parece que el Ministro recien llegado de Inglaterra, Mr. Arbuthnot, trae las instrucciones y .órdenes competentes para proponer á la Puerta un plan de conciliación mas íntima entre ámbos Gobiernos; pero creemos que el Gran Señor no lo .aceptará,</t>
  </si>
  <si>
    <t>Arcada, Manuel</t>
  </si>
  <si>
    <t>Manuel Arcada</t>
  </si>
  <si>
    <t>udante ai Teniente de granaderos, graduado de Capitán, D. Joaquín Zito; y á Teniente al Subteniente D. Manuel Arcada: en el de Jaén á Tenientes á los Subtenientes de granaderos D. Juan Nepomuceno Osorno y D. Francisco Echegaraya ; y á Capitán segundo en el batallón de Voluntarios , segundo de Ca</t>
  </si>
  <si>
    <t>Archetú, Cardenal</t>
  </si>
  <si>
    <t>Cardenal Archetú</t>
  </si>
  <si>
    <t>over al Arzobispado de Ferrara al Cardenal Dugarni, Obispo.de Brescia, y al Obispado de Brescia al. Cardenal Archetú. También se han publicado otros dos decretos de S.. M. El uno pertenece á la organizacion.departamental del .Reyno de Italia; y el otro trata de la Guardia Real Italiana, que. se</t>
  </si>
  <si>
    <t>Archi-Canciller del Imperio, Príncipe</t>
  </si>
  <si>
    <t>Príncipe Archi-Canciller del Imperio</t>
  </si>
  <si>
    <t>Josef, Gran Elector» lian asistido á esta junta S. A. I.-el Principe Luis, Condestable, S. A. S. el Príncipe Archi-Canciller del Imperio, y parte de los Ministros. Se abrió la sesión, presidiendo el Gran Elector,- quien dixo el discurso siguiente. ,,Senadores, en medio de sus triunfos S. M. el jEfnperador ha experi</t>
  </si>
  <si>
    <t>Archi-Canciller del Imperio-----, Príncipe</t>
  </si>
  <si>
    <t>Príncipe Archi-Canciller del Imperio-----</t>
  </si>
  <si>
    <t>nadores Lacepede ,Clement-de-Ris y Frangís de Neufchateau, S. A. I. el Príncipe Luis, y S. A. S. el Príncipe Archi-Canciller del Imperio----- La comisión se retira para extender la minuta de la arenga á S. M. I. y R----- El proyecto de que da cuenta Mr. Lacepede se presenta al Senado, y se adopta. Está concebido en estos t</t>
  </si>
  <si>
    <t>Archi-Canciller, Príncipe</t>
  </si>
  <si>
    <t>Príncipe Archi-Canciller</t>
  </si>
  <si>
    <t>lOCf príncipe Josef, él Príncipe Luís y el Príncipe Archi-Canciller, acompañados de una lucida comitiva, y fuéron recibidos á la entrada de la Catedral por el Cardenal Arzobispo de París á la cabeza de su clero, r Mr. de Talleyrand, Ministro de Re</t>
  </si>
  <si>
    <t>Areni, Ignacio</t>
  </si>
  <si>
    <t>Ignacio Areni</t>
  </si>
  <si>
    <t>dignado nombrar para la plaza de Oidor de la Chancillería de Granada, vacante por fallecimiento de D. Ignacio Areni, á D. Joaquin de la Fuente y Oquendo, Alcalde del Crimen mas antiguo de ella; y para esta resulta á D. Luis María Guerrero, con la antigüedad, desde el nombramiento de la plaza de</t>
  </si>
  <si>
    <t>Aréstegui, Jacinto</t>
  </si>
  <si>
    <t>Jacinto Aréstegui</t>
  </si>
  <si>
    <t>Pedro Abarca y Guerra, D. Fermín Béjar, D. Josef Hermosilla y Aguirre, D. Pedro Laureano del Prado, Don Jacinto Aréstegui, D. Tomas Miguel Salazar, D. Miguel Mariano Ramiro y D. Pedro Salcedo; Ayudantía á D. Calixto Ramos; Tenencia de granaderos á D. Timoteo Ramos, D. Pedro Béjar, D. Melchor Ramos, D</t>
  </si>
  <si>
    <t>Argaiz, Pedro</t>
  </si>
  <si>
    <t>Pedro Argaiz</t>
  </si>
  <si>
    <t>Josef Taberné, Don* Antonio Isasi, D; Antonio Cásanos D. Antonio Escalera, Di Mateo Ghar-1 denoux, D. Pedro Argaiz, D. Pablo Ventades, D. Agustín Salazar, Don Juan Pusterla, D. Pedro del Barco, D. Francisco Saravia y D. Manuel Cebi-ian¿ En Iqs Cuerposde Milicias Provinciales ha promovido el Re</t>
  </si>
  <si>
    <t>Argiropoio</t>
  </si>
  <si>
    <t>thouder que fue de Holanda, se ha puesto en camino para Brunswick, donde permanecerá este invierno. Mr. Argiropoio, Enviado de la Puerta en Berlín, ha recibido instrucciones competentes para solicitar la mediación del gabinete de Prusia, á fin, de conseguir el restablecimiento de la buena armo</t>
  </si>
  <si>
    <t>Arguelles Cifuentes y Manuel de Iduate, Miguel</t>
  </si>
  <si>
    <t>Miguel Arguelles Cifuentes y Manuel de Iduate</t>
  </si>
  <si>
    <t>ucas Cano, D. Juan Cano, D. Matías Angulo, y el octavo se sorteo entre D. Antonio Hernando Cárabes, D. Miguel Arguelles Cifuentes y Don Manuel de Iduate, y recayó en este. Don Josef Joaquin Cano renunció el premio á que se habla hecho acreedor, y se dió á todos certificaciones de su aplicación y aprovechamiento, habiendo quedado s</t>
  </si>
  <si>
    <t>Arguelles, Antonio</t>
  </si>
  <si>
    <t>Antonio Arguelles</t>
  </si>
  <si>
    <t>r á Capitán al Teniente de granaderos D. Manuel del Moral; á Teniente de granaderos al de fusileros D. Antonio Arguelles; á Teniente al Subteniente D. Juan Antonio Llano; á Subteniente de granaderos al de fusileros D. Joaquín Barrena; á Subtenientes de compañía á los de bandera D. Gerardo Hernández,</t>
  </si>
  <si>
    <t>Arguello, Benito</t>
  </si>
  <si>
    <t>Benito Arguello</t>
  </si>
  <si>
    <t>ceder Tenencias en los Regimientos de infantería de León y Ñapóles á los Subtenientes de granaderos D. Benito Arguello y D. Alexandro Arroyo. EL Rey se ha servido promover á Gefe de Brigada del primer Regimiento del Real Cuerpo de Artillería á D.Manuel de Llano, Capitán primero del tercero. En los Reg</t>
  </si>
  <si>
    <t>Arguero, Antonio</t>
  </si>
  <si>
    <t>Antonio Arguero</t>
  </si>
  <si>
    <t>las á D* Manuel,Gómez, D. Antonio Talavera , D.Juan del Rivero, Don Simón Geldres, D. Manuel Calvo, D. Antonio Arguero, D. Mariano Bustamante, D» Manuel García, D. Pedro Iraciburu, D. Juan Valenzuela, Don Silvestre de Arpe y D. Juan de Dios Fonce; empleo de Alférez de carabi</t>
  </si>
  <si>
    <t>Arias de Castro, Manuel</t>
  </si>
  <si>
    <t>Manuel Arias de Castro</t>
  </si>
  <si>
    <t>Dignidad de la Catedral de Pamplona , vacante por fallecimiento de D. Francisco Xavier de Eguia, á D. Manuel Arias de Castro: para el Deanato primera silla y Canongía unida de la Colegial de Soria, Diócesis de Osma, vacante por muerte de D. Juan Josef Martínez, á D. Vicente Casquete y Villaran , Dignida</t>
  </si>
  <si>
    <t>Arias Gonzalo de Mendoza</t>
  </si>
  <si>
    <t>ubscriptores á las Conferencias eclesiásticas de la Diócesi de Angers, traducidas al castellano por D. Arias Gonzalo de Mendoza, podran desde mediados de este presente mes de Diciembre acudir á recoger el tomo 4.0 á la librería ^de Villareal, calle de las Carretas, y adelantar el importe del 5.0, cuya publ</t>
  </si>
  <si>
    <t>Arias Gonzalo de Mendoza y Francia</t>
  </si>
  <si>
    <t>bispos de aquella Diócesis, recopiladas por varios teólogos y canonistas célebres, y traducidas por D. Arias Gonzalo de Mendoza y Francia, acudirán á la librería de Villareal, calle de las Carretas, á recoger el tomo 2.0, y adelantar el importe del 3.0 La subscripción sigue abierta en los mismos términos que se anun</t>
  </si>
  <si>
    <t>9 de julio de 1805</t>
  </si>
  <si>
    <t>s de An,ers, c~ lebradas de orden de los Senores ObiSpos de aquella ' DIO'cesI.,I, y traducIdas por D. Arias Gonzalo de Mendoza y Francia, acudb;án: á la librerta de Villaréál ~ 'tr.i. He de las Carretas J á recoger el tomo 3. 0 " y anticIpar' el importe; del' 4. 0 ,en cdyl 'impresion se está trabajando. La sublci"i</t>
  </si>
  <si>
    <t>Arias y Ciria, Alberto</t>
  </si>
  <si>
    <t>Alberto Arias y Ciria</t>
  </si>
  <si>
    <t>22 de enero de 1805</t>
  </si>
  <si>
    <t>us parientes y amigos en ocasiones de bodas y bautismos , habiendo dado este loable y noble exemplo D. Alberto Arias y Ciria , D. Joaquín Montesoro, D. Rafael y D. Manuel Garces de Marcilla, quienes entregaron á disposición de la Junta, el primero 1300 rs. con motivo de su matrimonio, el segundo 800, y</t>
  </si>
  <si>
    <t>Arias, Rafael</t>
  </si>
  <si>
    <t>Rafael Arias</t>
  </si>
  <si>
    <t>1093 reros á D. Benito de la Reguera; y sencillos á D. Josef Alcayde y Monge, D. Miguel Roxas, D. Rafael Arias,D. Juan Bautista Urreta, D. Francisco Chavez, D. Manuel Almonte, D. Genaro Torres, D.Mariano Ponce, D. Juan Jaén, D. Fernando Rosel, D. Vicente Vivanco y D. Anselmo de Arce; j de</t>
  </si>
  <si>
    <t>Armando de Latourrettej</t>
  </si>
  <si>
    <t>ñía Flamenca-de Reales Guardias de Corps se ha servido eí Rey promover á primer Teniente al segundo D. Armando de Latourrettej’ á segundo Teniente al Alférez D. Henrique Conde de Colonna ; á Alférez ai Exento D. josef Revolledo de Palafox; á Exento de número al supernumerario. D.. Gerónimo Knapp; á supernu</t>
  </si>
  <si>
    <t>Armando Franquen</t>
  </si>
  <si>
    <t>adete del de Ultonia D. Josef Peirson: en el de Ultonia Ayudantía al Teniente, graduado de Capitán, D. Armando Franquen: en el de Málaga Subtenencia de bandera al Cadete D. Josef de Zayas; y en el de Nápoles Ayudantía al Teniente Don Juan de Medina, y Subtenencia de bandera al Cadete del Inmemorial</t>
  </si>
  <si>
    <t>Armendariz, Juan</t>
  </si>
  <si>
    <t>Juan Armendariz</t>
  </si>
  <si>
    <t>rnandez de Llamas, D. Josef Marcos Calderón y D. Melchor Mogollon; y de bandera ai Sargento primero D. Juan Armendariz, y al Cadete D. Pedro de Paz: en el de dragones de Milicias de Lima Tenencia de granaderos al Terniente D. Vicente Salinas ; Tenencia al Subteniente D. Ignacio Cabero Tagle, y emp</t>
  </si>
  <si>
    <t>Armendariz, Manuel</t>
  </si>
  <si>
    <t>Manuel Armendariz</t>
  </si>
  <si>
    <t>D. Francisco Postigo; y Subtenencias de bandera en los de Sevilla y Ordenes Militares á los Cadetes D. Manuel Armendariz y D. Francisco Fernandez Cortacero: en el de Ñapóles al Sargento primero de granaderos D. Josef Paneli; y en el de Hibernia al Soldado distinguido dei de Reales Guardias Españolas Don</t>
  </si>
  <si>
    <t>Armengol, Gaspar</t>
  </si>
  <si>
    <t>Gaspar Armengol</t>
  </si>
  <si>
    <t>nter ala Abadía del de.Bañólas, á D. Fr. Juan Vilar y Vila: para la Abadía^ de la villa de Alcira á D. Gaspar Armengol: para el Oficio regular de Hospedero del Real Monasterio de S. Pedro de Rodas, vacante por promoción de D. Fr. Juan de Massot al de Enfermero del propio Monasterio, á D. Josef Ant</t>
  </si>
  <si>
    <t>Armiñan, Ramón</t>
  </si>
  <si>
    <t>Ramón Armiñan</t>
  </si>
  <si>
    <t>18 de octubre de 1805</t>
  </si>
  <si>
    <t>pañía* en el Regimiento de infantería dé Cantabria al Teniente de granaderos,' graduado de Capitán, D. Ramón Armiñan; y Tenencias en los de la Corona y Vóluntarios de la Corona á los Subtenientes de granaderos Josef Laso y D. Antonio María Jalón. El'Rey se ha servido promover á Sargento mayor de</t>
  </si>
  <si>
    <t>Arnal, Pedro</t>
  </si>
  <si>
    <t>Pedro Arnal</t>
  </si>
  <si>
    <t>19 de abril de 1805</t>
  </si>
  <si>
    <t>o actual de nuestro teatro: Zeuxis, anécdota griega: noticias pertenecientes á la vida artística de D. Pedro Arnal: observación del Barón de Humboldt: anuncios &amp;c. Se hallará suelto, y con los anteriores, á 3 rs. cada uno, en la librería de Alonso, frente á las gradas de S. Felipe, donde se su</t>
  </si>
  <si>
    <t>Arnaldo GuUlemard</t>
  </si>
  <si>
    <t>los de oandera D. Esteban Folch, D. Carlos de Grand-pré, D. Juan Josef Bon , Don Antonio Balde ras, D, Arnaldo GuUlemard y D. Juan Portal, y los Cadetes D. Martin Folch y D. Luis Antonio de Grandi-pré ; y el Sargento primero D. Juan Fernandez ; y á Subtenientes de bandera íos Cadetes D. Pedro Kerñion, D</t>
  </si>
  <si>
    <t>Arnault</t>
  </si>
  <si>
    <t>l de la Instrucción pública, y del Presidente del Instituto , atraxo un numeroso y lucido concurso. Mr. Arnault dio principio con un discurso bastante largo, exponiendo las ventajas dei nuevo sistema de instrucción pública. Se aplaudió particularmente la pintura que hizo de ciertas casas de</t>
  </si>
  <si>
    <t>Arniaud, Nicolás</t>
  </si>
  <si>
    <t>Nicolás Arniaud</t>
  </si>
  <si>
    <t>l Martínez García; á Tenientes á los Alféreces D. Antonio Nazareo de Uriarte, Don Blas de Cárdenas, D. Nicolás Arniaud y D. Juan Manuel de Alcega, y á Alféreces á los Portaestandartes D. Agustín González y D. Santiago Mugerza, y al Cadete D. Josef Severo Cabral. El Rey se ha dignado promover á Coronel</t>
  </si>
  <si>
    <t>Aroche, Manuel</t>
  </si>
  <si>
    <t>Manuel Aroche</t>
  </si>
  <si>
    <t>, graduado de Capitán , D. Manuel Bolangero: en el de Sevilla Tenencia al Subteniente de granaderos D. Manuel Aroche; y en el de Irlanda Subtenencia d&amp; bandera al Sargento primero D. Domingo la Crampa.</t>
  </si>
  <si>
    <t>Arquellada, Antonio</t>
  </si>
  <si>
    <t>Antonio Arquellada</t>
  </si>
  <si>
    <t>ado de CiudadReal , Segovia y Xerez á D. Manuel Antonio García Durango, D. Joaquín Vicente Nadal, y D. Antonio Arquellada. Habiendo tenido S. M. por conveniente trasladar á Vaíiadolid la Intendencia de Exército de Castilla la Vieja, mandando que la sirva D. Cesáreo de Gardoqui con la de Provincia de</t>
  </si>
  <si>
    <t>Arriaza, Juan Bautista</t>
  </si>
  <si>
    <t>Juan Bautista Arriaza</t>
  </si>
  <si>
    <t>ata restitución de las embarcaciones Españolas con caudales, traducida del ingles al castellano por D. Juan Bautista Arriaza, Teniente de Fragata retirado</t>
  </si>
  <si>
    <t>Arrighi, Coronel</t>
  </si>
  <si>
    <t>Coronel Arrighi</t>
  </si>
  <si>
    <t>dar noticia circunstanciada de ia batalla de Wertingen, convendrá decir algo en este lugar----- Ei Coronel Arrighi acometió con su Regimiento de dragones al Regimiento de coraceros del Duque Alberto. La pelea fué muy viva: al Coronel Arrighi le mataron el caballo en que iba montado : su Regimi</t>
  </si>
  <si>
    <t>Arriílaga, Francisco Xavier</t>
  </si>
  <si>
    <t>Francisco Xavier Arriílaga</t>
  </si>
  <si>
    <t>Reyno del Perú , á D. Hermenegildo Delgado, Sargento mayor del mismo cuerpo ; Compañía al Teniente D. Francisco Xavier Arriílaga; Ayudantía al Teniente D. Pedro Santos; Tenencia de granaderos al Alférez D. Lorenzo de Salas, y sencillas al Alférez D. Andrés Gallegos, al Portaguión D. Ramón Delgado, y á los S</t>
  </si>
  <si>
    <t>Arroyo Ríos, Miguel</t>
  </si>
  <si>
    <t>Miguel Arroyo Ríos</t>
  </si>
  <si>
    <t>entes D. Josef Ga«* miño y D. Josef de la Bársena; á Tenientes á los Alféreces D. Leonardo Sánchez, D. Miguel Arroyo Ríos y.D. Francisco Carrillo ; á Alféreces á los Portaguiones D. Manuel Fernandez Alonso, D. Mariano de Otero y D. Pedro de Otero; y á Portaguiones á D. Antonio de Velasco y Pérea Galvez</t>
  </si>
  <si>
    <t>Arroyo, Francisco</t>
  </si>
  <si>
    <t>Francisco Arroyo</t>
  </si>
  <si>
    <t>s á los de fusileros D. Francisco Rodríguez y D. Josef Guiordanengo; á Tenientes á D. Manuel Ayesa, D. Francisco Arroyo, D. Josef Díaz, D. Andrés Postigo y D. Juan Veiazquez , los tres últimos de granaderos; á Subtenientes de granaderos los de fusileros D. Tomas Gandía, D. Francisco Martínez y D. D</t>
  </si>
  <si>
    <t>Arroyo, Julián</t>
  </si>
  <si>
    <t>Julián Arroyo</t>
  </si>
  <si>
    <t>concediéndole al mismo tiempo el grado de Capitán de infantería: Subteniente de la misma compañía á D. Julián Arroyo: Teniente de la del castillo del Peten á D. Josef Ignacio Calvez: Subteniente de la misma á D. Antonio Sánchez : Teniente y Subteniente de la de Truxiilo á D. Josef Martínez y Don</t>
  </si>
  <si>
    <t>Arroyo, Vicente</t>
  </si>
  <si>
    <t>Vicente Arroyo</t>
  </si>
  <si>
    <t>ha servido nombrar para vina Catíongía de la Catedral de Buenos-Ayres, vacante por fallecimiento de D. Vicente Arroyo, á D. Cayetano Josef de Roo; y para la Media-Ración que dexa en ella á D. Juan Antonio Guzman, Cura en aquella Diócesi. ' £n los Regimientos de Milicias de Lima se ha servido'igua</t>
  </si>
  <si>
    <t>Artazo, Manuel</t>
  </si>
  <si>
    <t>Manuel Artazo</t>
  </si>
  <si>
    <t>6 de agosto de 1805</t>
  </si>
  <si>
    <t>niente de Rey de la plaza de la Ha vana, y Cabo subalterno del Capitán General de la Isla de Cuba á D. Manuel Artazo, Coronel del Regimiento de. infantería de la Luisiana. El Rey se ha dignado promover á Teniente en el Batallón de Milicias disciplinadas de Metida de Yucatán ai Subteniente D. Ild</t>
  </si>
  <si>
    <t>Arteaga, Francisco</t>
  </si>
  <si>
    <t>Francisco Arteaga</t>
  </si>
  <si>
    <t>erido el empleo de Alférez al Exento D. Francisco Carmona; el de Exento de número al supernumerario D. Francisco Arteaga; el de supernumerario al Brigadier Don Vicente Iglesias; el de Brigadier ai Subrigadier D. Francisco González; el de Subrigadier al Cadete D. Josef Trelles; el de Cadete de número</t>
  </si>
  <si>
    <t>Arthur Paget</t>
  </si>
  <si>
    <t>ón acerca de los buenos efectos de la vacunación, y el modo de practicarla. Viena i.° de Diciembre. Mr. Arthur Paget, Ministro de Inglaterra, tuvo ayer una audiencia del Emperador, á quien presentó sus nuevas credenciales, por las quales reconoce el Gabinete de Londres el nuevo título de Emperad</t>
  </si>
  <si>
    <t>la China íntimas relaciones, que traerán indudablemente las mayores ventajas al comercio de Rusia. Mr. Arthur Paget, Embaxador de Inglaterra, acaba de recibir pliegos de su Corte, relativos á las propuestas de paz hechas pot el Emperador de los Franceses al Rey de la Gran Bretaña. Augsburgo 2j</t>
  </si>
  <si>
    <t>Arturo O-Neiii, Teniente General</t>
  </si>
  <si>
    <t>Teniente General Arturo O-Neiii</t>
  </si>
  <si>
    <t>•batallón, graduado de Coronel, D. Angel de Fuentes. En atención á los méritos y circunstancias del Teniente General Don Arturo O-Neiii, Ministro del Consejo Supremo de la Guerra, ha venido „S. M. en concederle merced de Título de Castilla para sí, sus hijos y sucesores , libre de lanzas y media anata en sola su p</t>
  </si>
  <si>
    <t>Arturo Wellesley</t>
  </si>
  <si>
    <t>u próximo viage á Petersburgo, adonde va en calidad de Embaxador. También ha sido presentado al Rey Sir Arturo Wellesley, que acaba de llegar de larIndia. La esquadra, á las órdenes del Contra-Almirante Russel, se ha hecho ¿ 2a vela el 7 para Yarmouth, á ocupar su apostadero á la vista del Texel. Es</t>
  </si>
  <si>
    <t>ArZdbispo de Toledo, Cardenal</t>
  </si>
  <si>
    <t>Cardenal ArZdbispo de Toledo</t>
  </si>
  <si>
    <t>, Cirujano de Familia y pensionado de mérito por S. M. Esta obra: se ha hecho de orden del Emo. Sr. Cardenal ArZdbispo de Toledo, cón ocasión de querer saber los Párrocos de su Arzobispado, sí el azogué, que ya habían aplicadocon buen éxito á la curación, de las tercianas y quartanas, podía, también extende</t>
  </si>
  <si>
    <t>Arzobispo de Genova, Cardenal</t>
  </si>
  <si>
    <t>Cardenal Arzobispo de Genova</t>
  </si>
  <si>
    <t>30 de julio de 1805</t>
  </si>
  <si>
    <t>de Ñapóles y de Portugal. Los mismos personages se presentaron después á la Reyna, como también el Cardenal Arzobispo de Genova, y varias Damas de las primeras casas de la ciudad.__. A la caída de la tarde se embarcaron SS. MM. en el templo que se había construido para la función marítima, prevenida en obs</t>
  </si>
  <si>
    <t>Arzobispo de Milán, Cardenal</t>
  </si>
  <si>
    <t>Cardenal Arzobispo de Milán</t>
  </si>
  <si>
    <t>4 de junio de 1805</t>
  </si>
  <si>
    <t>danos conservan á mi persona: aseguradles que nuestros vivos deseos son de hacerlos felices.”:__ El Cardenal Arzobispo de Milán se hallaba á la cabeza del Clero en la puerta de la Catedral, y al pasar el coche de SS. MM. se acercó á incensarlos.-.—EL General Gobernador recibió á SS. MM. en la puerta exteri</t>
  </si>
  <si>
    <t>Arzobispo de Paris, Cardenal</t>
  </si>
  <si>
    <t>Cardenal Arzobispo de Paris</t>
  </si>
  <si>
    <t>S. S. de su carroza en el patio grande del palacio Arzobispal. Le recibirá al pie de la escalera ei Cardenal Arzobispo de Paris , vestido de sus ropas Cardenalicias; á saber, con la sotana, el roquete , el manto y la muceta; y le acompañará al saion del’ palacio Arzobispal. 2.® Estarán reunidos en el mismo</t>
  </si>
  <si>
    <t>Arzobispo de París, Cardenal</t>
  </si>
  <si>
    <t>Cardenal Arzobispo de París</t>
  </si>
  <si>
    <t>S. M. el Emperador pasó revista á todos los buques reunidos en el puerto de Boloña. Su Eminencia el Cardenal Arzobispo de París ha dirigido á los Párrocos de su Diócesi la circular siguiente: ,♦ Varios abusos se han introducido en la celebración de las solemnidades de la Iglesia. Siempre que han llegado á</t>
  </si>
  <si>
    <t>anciller, acompañados de una lucida comitiva, y fuéron recibidos á la entrada de la Catedral por el Cardenal Arzobispo de París á la cabeza de su clero, r Mr. de Talleyrand, Ministro de Relaciones exteriores, ha llegado á Stuttgardt. ^ . • La Diputación deí Tribunado salió de Strasburgo el 27 de Octubre, l</t>
  </si>
  <si>
    <t>Arzobispo de Toledo, Cardenal</t>
  </si>
  <si>
    <t>Cardenal Arzobispo de Toledo</t>
  </si>
  <si>
    <t>güeros, y obtenidas las correspondientes licencias, que previamente se habían pedido al Effio. Sr. Cardenal Arzobispo de Toledo, é limo. Sr. D. Miguel de Mendinueta, Ministro encargado á este fin por la Superioridad en este Partido; dio las mas oportunas y eficaces providencias en Julio del año pasado de 1</t>
  </si>
  <si>
    <t>í anuncio de la primera edición de los libros de Coro, cuya obra está dedicada al Excmo. y Emo. Sr. Cardenal Arzobispo de Toledo, quien se ha dignado de'admitir la dedicatoria, y recibir la obra baxo su auspicio y protección. "EN LA IMPRENTA REAL.</t>
  </si>
  <si>
    <t>Arzobispo de Viena, Príncipe</t>
  </si>
  <si>
    <t>Príncipe Arzobispo de Viena</t>
  </si>
  <si>
    <t>uz ¡so n toda felicidad S. M. la Emperatriz un Archiduque. Al dia ¿Siguiente tii&lt;é bautizado por el Príncipe Arzobispo de Viena á presencia del Emperador, de los Archiduques, Embajadores y Ministros extrangeros &amp;c. Ei.Elector.de Saltzburgo y el Archiduque r Juan tuvieron en la pila'al recieilbatcidoi á . n</t>
  </si>
  <si>
    <t>Arzobispo, Cardenal</t>
  </si>
  <si>
    <t>Cardenal Arzobispo</t>
  </si>
  <si>
    <t>do SS. MM. lleguen al pórtico de la Iglesia, un Cardenal dará el agua bendita á la Emperatriz, y el Cardenal Arzobispo al Emperador; ámbós cumplimentarán á SS. MM., y los conducirán á cada uno procesíonalmente y debaxo de palio, que llevarán los Canónigos, hasta el lugar que ocupen en el coró. 9.0</t>
  </si>
  <si>
    <t>599 El día 8 llegaron aquí el Dux, el Cardenal Arzobispo, y los Senadores Carbonara, Cattaneo, Delarue, Roggieri, Maheila, Maglione y Cambiaso de su viage á Milán. El Gonfalonero y los Ancianos de la República de Lúea, en la sesión de 4</t>
  </si>
  <si>
    <t>án se halla escrita la1 letanía ; al pie está la dedicatoria que se ha dignado admitir el Erhb. Sr. Cardenal Arzobispo ide Toie'db, cuya variedad de letras, de rasgo y de dibuxo, con dos ángeles que la señalan, hacen armonía con él todo de la estampa. Se hallará á 20 rs. eil la calle de Alcalá, fr</t>
  </si>
  <si>
    <t>o de la Iglesia de Toledo, Primada de las Españas, y del Emo. y Excmo. Sr. D. Luis María de Borbon, Cardenal Arzobispo de dicha ciudad. Se vende en la librería de Arribas, calle de las Carretas, con el Tarantismo observado en España, por el mismo autor; y en Toledo en la librería de Hernández. Obras</t>
  </si>
  <si>
    <t>Ascovereta, Francisco</t>
  </si>
  <si>
    <t>Francisco Ascovereta</t>
  </si>
  <si>
    <t>endo manos muertas, acuda ante £icho Sr. y éscribanía. Por el correo del sábado 26 de Enero remitió D. Francisco Ascovereta, vecino y del comercio de Zaragozat con su único endoso á favor de la viuda de Jaén, del comercio de Estella, dos vales Reales de á 300 pesos, núrns. 90899, 126567, y nueve de á 1</t>
  </si>
  <si>
    <t>Asensio, Juan</t>
  </si>
  <si>
    <t>Juan Asensio</t>
  </si>
  <si>
    <t>sido aprobados por los Exáminadores los alumnos, que por el orden de matrícula son lot siguientes: D. Juan Asensio, cursante en Leyes, que diserto de Estática: D. Joaquín Perez de Arrieta , Maestro en Artes , y cursante en Cánones, del cálculo diferencial: D. Ramón Mateo, también cursante en C</t>
  </si>
  <si>
    <t>Asensio, Remigio</t>
  </si>
  <si>
    <t>Remigio Asensio</t>
  </si>
  <si>
    <t>Don Francisco de Saíignac de la Motte Fenelon , Arzobispo de Cambray; y traducido en Castellano por D. Remigio Asensio, Presbítero: segunda impresión. La utilidad de esta traducción no solo se manifiesta por el mérito de la obra , bien conocida y apreciada en toda Europa, sino por la necesidad que</t>
  </si>
  <si>
    <t>Aspres, General</t>
  </si>
  <si>
    <t>General Aspres</t>
  </si>
  <si>
    <t>todas las disposiciones necesarias para-atacar y defenderse: «e habían guarnecido los puentes; y el General Aspres se hallaba á la izquiei^ da del Danubio con un cuerpo de tropas ligeras para observar al enemigo; pero el; dia p sé vio obligado á retirarse con pérdida al otiioblado del Danubio.</t>
  </si>
  <si>
    <t>Assin, Juan</t>
  </si>
  <si>
    <t>Juan Assin</t>
  </si>
  <si>
    <t>e Voluntarios de Aragón al Capitán segundo D. Francisco Corzan, y el de Capitán segundo al'Teniente D. Juan Assin : Subtenencias de bandera en el segundo de Cataluña al Cadete D. Luis Fortuny y Rio; y en el de Gerona al de la propia clase D. Josef Mosquera: Tenencia en el primero de Barcelona</t>
  </si>
  <si>
    <t>Astobiza, Pedro</t>
  </si>
  <si>
    <t>Pedro Astobiza</t>
  </si>
  <si>
    <t>Supl., p. 6</t>
  </si>
  <si>
    <t>Id. id. Pedro Astobiza.... Hijo de Pedro y de María Santillana,</t>
  </si>
  <si>
    <t>Astraudi, Juan Luis</t>
  </si>
  <si>
    <t>Juan Luis Astraudi</t>
  </si>
  <si>
    <t>mayor de la misma plaza. El Rey ha promovido á Teniente del Regimiento de caballería de M011tesa á D. Juan Luis Astraudi, Guardia de Corps de la Compañía Española. En América. S. M. se ha dignado promover en el Batallón de infantería de la Concepción de Chile á Teniente al Subteniente D. Juan de Lun</t>
  </si>
  <si>
    <t>Atanasio Exea, Felipe</t>
  </si>
  <si>
    <t>Felipe Atanasio Exea</t>
  </si>
  <si>
    <t>acante por promoción de D. Joaquín'Joven al Priorato de la Colegial de Monzoñy Diócesi de Lérida, á D. Felipe Atanasio Exea; y para otra de la Catedral de Roda, vacante por fallecimiento de D. Miguel Andillon* á D. Ignacio Garces y Perez. S. M. se, ha servido conferir Compañías en los Regimientos de in</t>
  </si>
  <si>
    <t>Atilano ValleciIJo</t>
  </si>
  <si>
    <t>presente á Don Francisco Saenz Ruiz, vecino y del comercio de la calle de la Montera en esta Corte. D. Atilano ValleciIJo, Clérigo de mayores, satura! de |a ciudad dw 2táSiGfa^ como de edad de 42 años, su estatura de 5 pies y pulgadas, rostro moreno y lleno, falta de casa de sus parientes desde el añ</t>
  </si>
  <si>
    <t>Augereau, General</t>
  </si>
  <si>
    <t>General Augereau</t>
  </si>
  <si>
    <t>s medios de ataque y de seguridad. . Escriben de Huninga, que las tropas reunidas á las órdenes del General Augereau, que pasan por aquella ciudad con destino á los confínes de la Suiza y al lago de Constanza, forman un exército de 36 á 4c© hombres. Se espera recibir bien pronto la noticia de un</t>
  </si>
  <si>
    <t>Augereau, Mariscal</t>
  </si>
  <si>
    <t>Mariscal Augereau</t>
  </si>
  <si>
    <t>26 de noviembre de 1805</t>
  </si>
  <si>
    <t>guidos por el exército Francés ha aproximado el teatro de la guerra á nuestro pais. El exército del Mariscal Augereau pasó el Rhin en Huninga el 25,y se adelantó por la orilla del lago de Constanza para impedir la unión del exército Austríaco de Alemania con el de Italia. Basilea 26 de Octubre. :</t>
  </si>
  <si>
    <t>27 de diciembre de 1805</t>
  </si>
  <si>
    <t>4 de Diciembre. En este instante acaba de llegar al quartel genefal la Capitulación enviada por el Mariscal Augereau del cuerpo del exército Austríaco mandado por el General Jellachich. EL Emperador hubiera preferido que se hubiesen quedado en Francia los prisioneros, aun quando esto hubiese ocasion</t>
  </si>
  <si>
    <t>os. El Príncipe de Roham, al frente dé ó® hombres que estaban cortados por el Mariscal Ney y por el Mariscal Augereau, se fue por Tremo, pasó la garganta de Boiiacio, é intentó penetrar en Veneciaj pero elGeneralSaint-Cyr lo batió, y lo tomó prisionero con sus 6® hombres. Capitulación del exércit</t>
  </si>
  <si>
    <t>Augirot, Francisco</t>
  </si>
  <si>
    <t>Francisco Augirot</t>
  </si>
  <si>
    <t>ualmente se ha servido el Rey conceder Tenencia en el Regimiento de dragones de la Reyna al Alférez D. Francisco Augirot; y en el de Sagünto empleo de Alférez al Portaguión D. Josef Cavasalice. El Rey ha nombrado Coroneles de los Regimientos de Milicias Provinciales de Compostela y Ciudad-Real á D.</t>
  </si>
  <si>
    <t>Augirot, Juan Francisco</t>
  </si>
  <si>
    <t>Juan Francisco Augirot</t>
  </si>
  <si>
    <t>Regimiento de dragones de la Reyna se ha servido S. M. conce-. der empleo de Alférez al Portaguión D. Juan Francisco Augirot:\n el de cazadores voluntarios de España Tenencia al Alférez D. Ventura Esquerra; y en el de húsares Españoles Ayudantía al Teniente» graduado, de. Capitán» D. Rafael Santistebam</t>
  </si>
  <si>
    <t>Augusto Le Roy</t>
  </si>
  <si>
    <t>boiirg du Roule, núm. m.C. F. 600, 900, 1000, letras dadas en París, en 10 de Octubre de 1795 » por D. Augusto Le Roy y compañía, á cargo de los Sres. Moisy y compañía de Amsterdam. —7500, otra igual, dada en 17 de dicho.—2.4,80a, otra igual, dada en 27 de dicho.—¿. ,8000, 1 o,ooo-,-otras iguáles,</t>
  </si>
  <si>
    <t>AuJe, Ventura</t>
  </si>
  <si>
    <t>Ventura AuJe</t>
  </si>
  <si>
    <t>ñía: en Alicante D. L. Jrouchaud: en Granada D. Juan Manuel García de Tejada y compañía: en Córdoba D. Ventura AuJe: en Sevilla D. Domingo y Justo Torrijos; y en Cádiz D. Juan Ingrand. j* Joan. Laurentli Berti Fr. Erem. Aug., libror. 37 de Thcologicis disciplinis accurata, synopsis á Fr. Hieron</t>
  </si>
  <si>
    <t>Aukland, Lord</t>
  </si>
  <si>
    <t>Lord Aukland</t>
  </si>
  <si>
    <t>Lord Grenville que se aceptase y pusiese sobre la tabla: lo que se adoptó sin oposición algüna. El Lord Aukland dixo, que un asunto tan importante como el de la emancipación total de los Católicos Irlandeses exigía un examen muy maduro, sobre todo en las circunstancias presentes; sin embarg</t>
  </si>
  <si>
    <t>Aule, Ventura</t>
  </si>
  <si>
    <t>Ventura Aule</t>
  </si>
  <si>
    <t>: en Alicante D. L.; Jrouchaud; en, G ranada-D. Juan Manuel García de Tejada y compañía; en,Córdoba D. Ventura Aule: en Sevilla D. Domingo y Justo Torrijos; y en Cádiz en la imprenta y librería de Pajáres; agregando ahora en Pamplona; al Administrador general.de*lg Real;Lotería, y en Tudela á D</t>
  </si>
  <si>
    <t>Austríaco Brady, General</t>
  </si>
  <si>
    <t>General Austríaco Brady</t>
  </si>
  <si>
    <t>n escriben de Cáttaro, con fecha de 14 de Octubre, se sabe lo que ha dado motivo á esta especie. El General Austríaco Brady , Comandante general de la Dalmacia, habiendo encontrado alguna resistencia en hacer evacuar el territorio que habian invadido los Montenegrinos, envió contra ellos un destacament</t>
  </si>
  <si>
    <t>Austríaco Meerveldt, General</t>
  </si>
  <si>
    <t>General Austríaco Meerveldt</t>
  </si>
  <si>
    <t>ra. A pesar de esto no ha salido aun de aquella capital; y se cree que el General Francés Duroc, el General Austríaco Meerveldt, y el General Ruso Buxhowden están encargados de negociar con plenos poderes de sus Cortes respectivas. Altana 4 de Octubre. Las cartas de Berlín de i.° del corriente aseguran que</t>
  </si>
  <si>
    <t>Austríaco Príncipe de Czartorinsky, General</t>
  </si>
  <si>
    <t>General Austríaco Príncipe de Czartorinsky</t>
  </si>
  <si>
    <t>15 de noviembre de 1805</t>
  </si>
  <si>
    <t>ha partido inmediatamente para cumplimentar á aquel Soberano á nombre del Emperador de Austria. El General Austríaco Príncipe de Czartorinsky , dueño del palacio de Pulaw, ha convidado á los Magnates de la Galiitzia para que vayan á hacer la corte al Emperador Alejandro. En Dubienko y en las inmediaciones de Brzesk se j</t>
  </si>
  <si>
    <t>Austríaco, Coronel</t>
  </si>
  <si>
    <t>Coronel Austríaco</t>
  </si>
  <si>
    <t>camino excusado de Alemania. Pasando el Emperador por entre un tropel de prisioneros enemigos , un Coronel Austríaco manifestaba su admiración de ver el Emperador de los Franceses mojado y lleno de lodo, y mas cansado que el último tambor del exército: habiéndole explicado uno de sus Edecanes lo</t>
  </si>
  <si>
    <t>t. Los dos puentes del Enns están enteramente restablecidos. En el combate de Lambach han muerto el Coronel Austríaco deGraífeti. y el Coronel Ruso Koloífkin. El Emperador? de Austria , habiendo llegado á Lintz, recibió las quejas de la Regencia sobre ¡la mala conducta de los Rusos , quienes no cont</t>
  </si>
  <si>
    <t>Auxiliar de Santa Cruz de la Sierra, Obispo</t>
  </si>
  <si>
    <t>Obispo Auxiliar de Santa Cruz de la Sierra</t>
  </si>
  <si>
    <t>a el de Guatemala, vacante por renuncia de D. Luis de Penal ver y Cárdenas, á D. Rafael de la Vara, Obispo Auxiliar de Santa Cruz de la Sierra: para el Deanato de la Metropolitana de Lima, vacante por muerte de D. Francisco de Santiago Concha, á D. Domingo Larrion: para el Árcedianato que este dexa á Don Pablo Laurnaga:</t>
  </si>
  <si>
    <t>Auxiliar, Obispo</t>
  </si>
  <si>
    <t>Obispo Auxiliar</t>
  </si>
  <si>
    <t>la Universidad de Rems; y la Plática que hizo al Clero el autor de estas Cartas, luego que llegó de Obispo Auxiliar á la ciudad de Zaragoza, en la Quaresma de 1803, para dar principio á las Misiones. Se hallarán, con las demas obras del autor, en las librerías de Quiroga y de Gómez Fuentenebro,</t>
  </si>
  <si>
    <t>Ayala, Fernando</t>
  </si>
  <si>
    <t>Fernando Ayala</t>
  </si>
  <si>
    <t>2 de agosto de 1805</t>
  </si>
  <si>
    <t>movido el Rey á Cadete de número al Supernumerario D. Julián" Poveda, y á Supernumerario al Guardia D. Fernando Ayala. El Alférez de Navio D. Josef Montalvo y Ovando,. Comandan te del falucho núm. 109 del apostadero de Algeciras, ha dado cuenta de que en la noche del dia 18 de Julio , hallándose</t>
  </si>
  <si>
    <t>González; el de Subrigadier al Cadete D. Josef Trelles; el de Cadete de número al supernumerario...D. Fernando Ayala;y el de supernumerario al Guardia D. Juan Josef Ripperdá. ....En el Regimiento de infantería del Príncipe se ha servido el Rey promover á Subteniente de bandera al Cadete D. Pedro</t>
  </si>
  <si>
    <t>Ayerdi, Rafael</t>
  </si>
  <si>
    <t>Rafael Ayerdi</t>
  </si>
  <si>
    <t>Castilla: Tenencias de fusileros en los de Pontevedra, Santiago, Ecija y Sevilla á los Subtenientes D. Rafael Ayerdi, Don Ramón Ribadulla, J&gt;. Francisco Calderón, y D. Gaspar de Torrejon : las</t>
  </si>
  <si>
    <t>Ayesa, Manuel</t>
  </si>
  <si>
    <t>Manuel Ayesa</t>
  </si>
  <si>
    <t>ntes de granaderos á los de fusileros D. Francisco Rodríguez y D. Josef Guiordanengo; á Tenientes á D. Manuel Ayesa, D. Francisco Arroyo, D. Josef Díaz, D. Andrés Postigo y D. Juan Veiazquez , los tres últimos de granaderos; á Subtenientes de granaderos los de fusileros D. Tomas Gandía, D. Fran</t>
  </si>
  <si>
    <t>Aymé</t>
  </si>
  <si>
    <t>rsión al castellano de la insigne obra intitulada los Fundamentos de la fe, que escribió en francés Mr. Aymé, Canónigo de la Iglesia de Arras, para instrucción de toda clase de personas, y principalmente para la juventud que está próxima á entrar en el trato del mundo. En esta preciosa o</t>
  </si>
  <si>
    <t>Aymerich, Esteban</t>
  </si>
  <si>
    <t>Esteban Aymerich</t>
  </si>
  <si>
    <t>er Tenencias en los Regimientos de infantería de Sevilla y Navarra á los Subtenientes de granaderos D. Esteban Aymerich y D. Rafael Fernandez. El Rey se ha servido promover en el Regimiento de infantería de Extremadura Compañías al Teniente de granaderos y aL Ayudante, graduados de Capitán, D. Bernardo</t>
  </si>
  <si>
    <t>Aysa, Manuel</t>
  </si>
  <si>
    <t>Manuel Aysa</t>
  </si>
  <si>
    <t>as en los Regimientos de in-, fantería dé León y Ordenes Militares á los Subtenientes de granaderos D. Manuel Aysa y D. Josef del Campo;y Subtenencias en el de Guadalaxara al Cadete D. Pedro María Valdivieso: en el de Valencia al Cadete del Batallón de Voluntarios de Campomayor D. Francisco Satue,</t>
  </si>
  <si>
    <t>Azconaga Caballero, Pedro</t>
  </si>
  <si>
    <t>Pedro Azconaga Caballero</t>
  </si>
  <si>
    <t>24 de mayo de 1805</t>
  </si>
  <si>
    <t>454^ pies superficiales. La persona que quisiere hacer postura, acuda i la escribanía del número de D. Pedro Azconaga Caballero. A voluntad de su dueño se vende una casa sita en esta Corte en la calle de Ja Arganzuela., que hace esquina á. la.de Juan García Pastor, núm. 5 , manz. 96, bar</t>
  </si>
  <si>
    <t>Aznar, Vicente</t>
  </si>
  <si>
    <t>Vicente Aznar</t>
  </si>
  <si>
    <t>7 de junio de 1805</t>
  </si>
  <si>
    <t>en el de Almansa Ayudantía al Teniente D. Andrés Llauder ,y¡ emplea de Alférez ai Sargento primero D. Vicente Aznar. -El Rey se haservrdoriombrarMaestro Armero^ dé Artillería, de la piázat de Alicante- á: JoSef Ors.. ■ -■ El Mercurio de España dé 15. de Mayo,, núm. g.%. se hallará desde mañana</t>
  </si>
  <si>
    <t>Ba, General</t>
  </si>
  <si>
    <t>General Ba</t>
  </si>
  <si>
    <t>uth escoltado por el Belicoso. Dicen que arribará á Cork para embarcar algunas tropas al inando del General Ba»rd* .qúe se creen destinadas al -Cabo de BuenarEsperanza. Suponemos que hay en Cork transportes para las tropas , por quanto los navios de las Indias están; llenos de gente. En el</t>
  </si>
  <si>
    <t>Baamonde, Bernardo</t>
  </si>
  <si>
    <t>Bernardo Baamonde</t>
  </si>
  <si>
    <t>Manuel de Solazar : para la Chantría á D. Santiago Martínez , Maestrescuela : para esta Dignidad á D. Bernardo Baamonde , Canónigo mas antiguo ; y para esta Canongía á D. Manuel Gonzafez de Aguírre, Racionero primero. Para la Chantría de la Metropolitana de Lima, vacante por muerte de Don Josef Alv</t>
  </si>
  <si>
    <t>Baccop, General</t>
  </si>
  <si>
    <t>General Baccop</t>
  </si>
  <si>
    <t>1 de noviembre de 1805</t>
  </si>
  <si>
    <t>la 2.a el General Guerin-Etoquigny, en Utrecht ; la 3.a el General Gratien, en el Helder; la 4.a el General Baccop , en el Brille; y la 5.a el General Monnet, en Flesinga. Un decreto del Pensionario prohíbe á los Oficiales subalternos, así del exército como de la armada, el contraer matrimonio</t>
  </si>
  <si>
    <t>Bacher</t>
  </si>
  <si>
    <t>te país. París 8 de Julio. El Encargado de Negocios del Emperador de los Franceses y Rey dé Italia, Mr. Bacher, ha comunicado de oficio á la Dieta Germánica en Ratisbona la reunión de la Liguria al Imperio Francés. El General Ernouf, Comandante ae la Guadalupe, ha remitido al Ministro de l</t>
  </si>
  <si>
    <t>tor Archi-Canciller del Imperio Germánico, llegó á Ratisbona el 2 del corriente; fue presentado por Mr. Bacher á varios;Ministros, y después continuó su viage i Aschaffemburgo. La Dieta Germánica no ha continuado la deliberación sobre el asunto de las quejas del Príncipe de Lubeck-Oldembur</t>
  </si>
  <si>
    <t>e Ratisbona que las dos Notas comunicadas al Barón de Aibini, Ministro Directorial de la Dieta, por Mr. Bacher, Encargado de Negocios de S. M. el Emperador de los Franceses, contribuirán probablemente á dar principio á las Juntas de la Asamblea mucho antes de la época resuelta por los tres</t>
  </si>
  <si>
    <t>y el General Lindenan, y el tercero el Archiduque Carlos y el General Schwidt. París 12 Setiembre* •Mr. Bacher , Encargado !de Negocios dé S. M. en Ratisboria, ha recibido orden de presentar á la Dieta la Nota, cuyo tenor es como sigue: „En las circunstancias actuales, en que los preparati</t>
  </si>
  <si>
    <t>so, j elexército permanece en GallitziaT_llégará hácia el 20 de Octubre á Lintz en Austria la Alta. Mr. Bacher, Encargado de Negocios de Francia en Ratisbona, ha recibido el 16 de este mes un correo de París, y lo ha despachado inmediatamente á Viená. Con éste motivo se asegura que continú</t>
  </si>
  <si>
    <t>Bachera la Dieta de Ratisbcna</t>
  </si>
  <si>
    <t>la Inglaterra, equivalen á un principio de hostilidades: 7.a Nota*presentada en 11 de este mes por Mr. Bachera la Dieta de Ratisbcna (Véase laGazeta de Madrid de i.° de Octubre): 8.a Nota del Gabinete de Viena entregada por el Embajador de esta Corte en 12 del presente mes. Esta Nota, que publica el Monitor con</t>
  </si>
  <si>
    <t>Baclier</t>
  </si>
  <si>
    <t>s n ha dado audiencia ai Ministro de Francia y al General Duroc. ALEMANIA. Ratisbon* 1° de Octubre. Mr. Baclier, Encargado de Negocios de S. M. el Emperador de los Franceses y Rey*de Italia cerca de la Dieta general del Iniperio, remitió ayer ai Directorio la Nota siguiente: ,,La Nota que e</t>
  </si>
  <si>
    <t>Badíllos, Diego María</t>
  </si>
  <si>
    <t>Diego María Badíllos</t>
  </si>
  <si>
    <t>de Aragón á D. Ramón María Sevillano; y para la del Crimen, que este dexa en la misma Audiencia, á D. Diego María Badíllos. Igualmente ha venido S. M., en atención á la aptitud y circunstancias de D. Blas Vázquez, Abogado de los Reales Consejos, en conferirle el Corregimiento de Letras de la ciudad de</t>
  </si>
  <si>
    <t>Baikow</t>
  </si>
  <si>
    <t>ella capital el Consejero del Colegio de negocios extranjeros M*r.d’Cubril, y el Consejero de Corte Mr. Baikow. El Gobierno de Rusia está en ánimo de formar otros 4 batallones de guarnición para ias líneas de Orenburgo. En el año próximo pasado se han celebrado en esta ciudad 1230 matrimon</t>
  </si>
  <si>
    <t>Baille, Pedro</t>
  </si>
  <si>
    <t>Pedro Baille</t>
  </si>
  <si>
    <t>5 y. 45620 de 300 pesos, 154313 y ^60324 de 150, se servirá entregarlos en esta Corte á los Señores D. Pedro Baille y compañía; en la Coruñaa los Señores Trauscke y compañía, y en Santiago á D. Cirilo Diaz Gómez. Por la audiencia del Sr. D. Manuel Vicente de Torres, Teniente Corregidor de esta vi</t>
  </si>
  <si>
    <t>Baillet, Conde</t>
  </si>
  <si>
    <t>Conde Baillet</t>
  </si>
  <si>
    <t>19 de noviembre de 1805</t>
  </si>
  <si>
    <t>Barón de Laudon id.: el Conde de Klenau id.: el Conde de Gonescheim id.: el Conde de Riesse id.: el Conde Baillet id.: el Conde de Wernek id.: el Príncipe de Hohenzollern id.: el Príncipe de Lichtenstein id. Mayor General : el Barón de Abel id.: el Barón de Ulma id.: el Barón de Weidenfeld id</t>
  </si>
  <si>
    <t>Bails, Benito</t>
  </si>
  <si>
    <t>Benito Bails</t>
  </si>
  <si>
    <t>hidráulica. Fuéron premiados con la Aritmética mercantil, y Curso de matemáticas puras y mixtas de D. Benito Bails,los Elementos de Euclides por Roberto Simsons, la obra Físico-matemática del Ozanam, y al Dr. D. Francisco Velazquez el Curso de matemáticas puras y mixtas de D. Benito Bails. Se</t>
  </si>
  <si>
    <t>Baindridge, Capitán</t>
  </si>
  <si>
    <t>Capitán Baindridge</t>
  </si>
  <si>
    <t>az el 3 de Junio entre el Baxá de Trípoli y los Estados-Unidos. A conseqiiencia de este tratado, ei Capitán Baindridge y la tripulación de la fragata la Filadelfia han sido puestos en libertad. Ha fallecido en Castel-Sarrasin , departamento del Alto-Garona, Ana Capela, de edad de 108 años. No estuvo nu</t>
  </si>
  <si>
    <t>Baird, General</t>
  </si>
  <si>
    <t>General Baird</t>
  </si>
  <si>
    <t>5® hombres, y se aguardan 40® mas, que irán por el mar Negro; y quando la expedición mandada por el General Baird llegue á su destino, tendrémos en el Mediterráneo fuerzas disponibles muy respetables___ .El -15 del corriente aun no habia salido esta expedición por causa de las esquadras combi</t>
  </si>
  <si>
    <t>mbre. El navio S. Joséf de 110 cañones ha salido de Plimouth á unirse con la esquadra del Canal. El General Baird y su Estado mayor van al Mediterráneo á bordo del Diadema, donde se ha embarcado una gran cantidad de dinero. El Brigadier General Beresford se embarca en el Narciso, y el Brigadier</t>
  </si>
  <si>
    <t>Balde, Antonio</t>
  </si>
  <si>
    <t>Antonio Balde</t>
  </si>
  <si>
    <t>btenientes de Compañía los de oandera D. Esteban Folch, D. Carlos de Grand-pré, D. Juan Josef Bon , Don Antonio Balde ras, D, Arnaldo GuUlemard y D. Juan Portal, y los Cadetes D. Martin Folch y D. Luis Antonio de Grandi-pré ; y el Sargento primero D. Juan Fernandez ; y á Subtenientes de bandera í</t>
  </si>
  <si>
    <t>Baldomcro Moraleda</t>
  </si>
  <si>
    <t>arron, del Consejo de S. M.-, Alcalde de, su Real Casa y Corte, y por la escribanía de provincia de D. Baldomcro Moraleda, se ha señalado el dia 29 del corriente, en la audiencia de S. S.^ para Jos remates de dos casas sitas, la una en esta Corte, y calleyde les Reyes, número 5 , manz. 529, y la otra</t>
  </si>
  <si>
    <t>Baldomcro Morídeda</t>
  </si>
  <si>
    <t>11 de junio de 1805</t>
  </si>
  <si>
    <t>arro Pingarron, del Consejo de S. M., Alcalde de su Real Casa y Corte, y escribanía de provincia de D. Baldomcro Morídeda, se ha mandado sacar á subasta, por término de 30 días contados desde el 6 del corriente, dos casas sitas en esta Corte, y calles de Francos y S. Agustín, barrios de Jesús, la i.a</t>
  </si>
  <si>
    <t>Balleto, Santiago</t>
  </si>
  <si>
    <t>Santiago Balleto</t>
  </si>
  <si>
    <t>de Cesíona, de 20 años. Escultura; á D. Rafael Plañiol, natural de Madrid, de 24 años. Otro igual á D. Santiago Balleto, natural de Génova , de 24 años. Arquitectura, *a D. Miguel Antonio dé Marichalar, natural de Berástegui, de 2 5 años. Segunda clase\ Premios primeros. Medallas de oro de una onza</t>
  </si>
  <si>
    <t>Balsola, Juan</t>
  </si>
  <si>
    <t>Juan Balsola</t>
  </si>
  <si>
    <t>món Londoño id.: D. Pedro Rato, herido. Alféreces de Fragata. D. Benito Bermudez de Castro, muerto: D. Juan Balsola, herido: D. Nicolás del Rio id.: D. Josef de la Serna id.: Don Diego del Castillo id.: D. Gerónimo Obregon id. Teniente de Brulote. D. Jacobo Alemán, herido. Contramaestre de Esqu</t>
  </si>
  <si>
    <t>Baltasar Cisneros</t>
  </si>
  <si>
    <t>Piloto. D. Joaquin Hurtado, contuso. También ha dado parte al Sr. Generalísimo el Gefe de Esqnadra Don Baltasar Cisneros, desde Algeciras en 31 de Octubre, de las principales ocurrido de metralla en una pierna de resultas de una descarga de esta munición, que mató quantos se hallaban con él en la to</t>
  </si>
  <si>
    <t>Baltasar Ferrer</t>
  </si>
  <si>
    <t>amento del Real Cuerpo de Artillería de'Cartagena se ha servido nombrar el Rey al Mariscal de Campo D. Baltasar Ferrer, Gefe de Escuela del de Segovia: habiéndose también dignado conferir el empleo de Guarda-Almacén extraordinario de Artillería del Campo de Gibraltar á D. Manuel Paradela, Guarda-A</t>
  </si>
  <si>
    <t>Baltasar Hidalgo de Cisneros</t>
  </si>
  <si>
    <t>977 el Príncipe: D. Baltasar Hidalgo de Cisneros, id. en el Trinidad. Brigadieres. D. Cosme Churruca., Comandante, muerto en el Nepomuceno: D. Dionisio Alcalá Galiario, id., muerto en el Bahama: D. Francisco Uriarte y Borja, id.</t>
  </si>
  <si>
    <t>Baltasar Hurtado</t>
  </si>
  <si>
    <t>mera de la villa de Villanueva de Escuderos, en la Diócesis de Cuenca, vacante por fallecimiento de D. Baltasar Hurtado, á D. Josef Manuel Leal de Toro, Cura que fue de la misma villa, exonerando al actual Cura de ella de la pensión de 200 ducados con que tiene que contribuirle de las rentas de aqu</t>
  </si>
  <si>
    <t>Baltasar Zapata</t>
  </si>
  <si>
    <t>de la Parroquia de Santa María de la villa de Fal es, Diócesi de Pamplona, vacante por renuncia de D. Baltasar Zapata, á D. Pedro Izquierdo; y para el Beneficio simple de Iniesta en la Diócesi de Cuenca, vacante por muerte de D. Tomas O-Rían, á D. Manuel Corelía y Orduñá. Asimismo ha nombrado el</t>
  </si>
  <si>
    <t>Bañez, Ramón</t>
  </si>
  <si>
    <t>Ramón Bañez</t>
  </si>
  <si>
    <t>icio de la villa de Flores de Avila, en aquel Obispado, vacante por muerte de D. Alonso Blazquez, á D. Ramón Bañez, Gura Párroco del Lugar deValbarda en el mismo Obispado , con obligación de residencia personal y demas cargas que tiene anexas; y para el empleo de Administrador ,deí Colegio de</t>
  </si>
  <si>
    <t>Baptista Josef Conde de Thurn, Juan</t>
  </si>
  <si>
    <t>Juan Baptista Josef Conde de Thurn</t>
  </si>
  <si>
    <t>n á Subteniente de granaderos al de fusileros D. Juan Roth, y á Subteniente de esta clase al Cadete D. Juan Baptista Josef Conde de Thurn: en el de Traxler á Ayudante al Teniente D. Remigio Kayser; y á Teniente al Subteniente de granaderos D. Tobías Buman: en el de Courten á Subteniente de granaderos al de fusileros</t>
  </si>
  <si>
    <t>Baraguay-d’Hilliers, General</t>
  </si>
  <si>
    <t>General Baraguay-d’Hilliers</t>
  </si>
  <si>
    <t>de 3$ Austríacos se habla atrincherado en la posición de 'Vyaldermünchen ¿la entrada de Bohemia. El General Baraguay-d’Hilliers, con tres batallones de dragones á pie, ha marchado contra este cuerpo, que ha abandonado su puesto precipitadamente. El 9 el General Baraguay-d’Hilliers estaba enTreinitz en Bohe</t>
  </si>
  <si>
    <t>Baraguey-d’Hilliers, General</t>
  </si>
  <si>
    <t>General Baraguey-d’Hilliers</t>
  </si>
  <si>
    <t>los atrincheramientos del enemigo. El General Marmont, con la división de dragones desmontados del General Baraguey d’Hilliers, bloqueaba la ciudad sobre la orilla derecha del Danubio. El dia es horrible: el soldado está con el barro hasta las rodillas. Hace 8 dias que el Emperador no se ha quitad</t>
  </si>
  <si>
    <t>Barbajosa, Julián</t>
  </si>
  <si>
    <t>Julián Barbajosa</t>
  </si>
  <si>
    <t>do, á Don Francisco Martin Yuste: para una Ración de la Catedral de Sigiienza, por fallecimiento de D. Julián Barbajosa, á D. Santiago Fernandez de Bulnes, Medio-Racionero de ella : para otra de la de Santander p por muerte de D. Manuel de la Peña, á D. Gabriel de la Fuente, Capellán de numero de l</t>
  </si>
  <si>
    <t>Barben, Juan</t>
  </si>
  <si>
    <t>Juan Barben</t>
  </si>
  <si>
    <t>ueba e( recurso que por conducto del Comandante militar de la provincia de Algecir?s me ha dirigido D. Juan Barben, armador del corsario nombrado el Poderoso, manifestando que como en ningún tiempo ha tomado el Rey otra parte de las presas sino (os derechos de introducción de géneros apresados</t>
  </si>
  <si>
    <t>Barceíd, Nicolás</t>
  </si>
  <si>
    <t>Nicolás Barceíd</t>
  </si>
  <si>
    <t>Teniente Coronel al Sargento mayor de Brigada D. Antonio Durante: á esta resulta al Capitán primero D. Nicolás Barceíd; y á la que este dexa al Capitán segundo D. Martin Casimiro Lasala. S. M. se ha servido conferir empleos de Alférez en los Regimientos de caballería de Borbon y España á los Porta</t>
  </si>
  <si>
    <t>Barellas, Antonio</t>
  </si>
  <si>
    <t>Antonio Barellas</t>
  </si>
  <si>
    <t>acundo de Alarcon: Ayudantías en el de Irlanda á los Tenientes de granaderos, graduados de Capitán, D. Antonio Barellas y D. Balvino Cortés; y Subtenencias en el mismo Cuerpo al Sargento primero de granaderos D. Manuel Hernández, á los Cadetes D. Josef Melendez y D. Josef Bausa , este de la Compañía fi</t>
  </si>
  <si>
    <t>Bargés, Manuel</t>
  </si>
  <si>
    <t>Manuel Bargés</t>
  </si>
  <si>
    <t>y distinguidos servicios que han hecho Don Pedro Bataller , D. Ignacio Reges, D. Josef Serrahínsa, D. Manuel Bargés, D. Juan Rull y D. Josef Julia y Pons, vocales de la Real Junta deGatidad de la ciudad de Barcelona, que preside el Capitán general del Principado de Cataluña, se ha dignado S. M.</t>
  </si>
  <si>
    <t>Barham de Kent, Lord</t>
  </si>
  <si>
    <t>Lord Barham de Kent</t>
  </si>
  <si>
    <t>de á Lord Melville, como primer Lord del Almirantazgo; y será creado Par del Reyno con el título de Lord Barham de Kent. Se trata de preparar inmediatamente otra nueva expedición muy considerablé. Hasta ahora solo se habla de una expedición secreta; pero dentro’ de '4 ó 5 dias se sabrá su objeto y</t>
  </si>
  <si>
    <t>Barham, Lord</t>
  </si>
  <si>
    <t>Lord Barham</t>
  </si>
  <si>
    <t>tas Lively, de 38, Eurialo de 36, Mercurio, de 28, Beagle y Dart, de 18. Sir Cirios Midleton (ahora Lord Barham) es amigo íntimo de Lord Melville. Parece que ha sido nombrado por Mr. Pitt contra la voluntad de Lord Sidmoutn; y el Morning 6hronicle dice que esta es una de las causas de haber</t>
  </si>
  <si>
    <t>BRETAÑA. Londres 15 de Setiembre. El día 7 Lord Nelson tuvo una conferencia en el Almirantazgo con Lord Barham, y se despidió de los demas Lores para su destino. Lleva los poderes mas ilimitados: su mando se extiende desde la bahía de Cádiz al Mediterráneo, y obrará según lo exijan las cir</t>
  </si>
  <si>
    <t>Barón de Cederstroeim, Teniente General</t>
  </si>
  <si>
    <t>Teniente General Barón de Cederstroeim</t>
  </si>
  <si>
    <t>19 de julio de 1805</t>
  </si>
  <si>
    <t>idido en dos colunas; la primera, mandada por el Gobernador General Barón de Toll, y la otra por el Teniente General Barón de Cederstroeim, Presidente del Colegio de la Guerra.__ Luego que llegó S. M. al monasterio de Herrevad, se quedaron laReyna y el Príncipe , y partió para el campamento. Todas las tropas se pusie</t>
  </si>
  <si>
    <t>Barón de Mack, Mariscal</t>
  </si>
  <si>
    <t>Mariscal Barón de Mack</t>
  </si>
  <si>
    <t>erra, Encargado de estipular por S. M. el Emperador de los Franceses y Rey de Italia; y Mr. el Felá-Mariscal Barón de Mack, Quartei-Maestre general de los exérenos de 6. M. el Em</t>
  </si>
  <si>
    <t>Barón de Mack, Teniente General</t>
  </si>
  <si>
    <t>Teniente General Barón de Mack</t>
  </si>
  <si>
    <t>eniente Gener-al Marques de Bellegarde ha sido nombrado Comandante de Venecia ; y es regular que el Teniente General Barón de Mack tenga también algún mando en las posesiones Austríacas de Italia; A petición del Gabinete de Viena ha minorado la Córte de Berlín Ibs derechos que adeudaban los vinos de Hungría e</t>
  </si>
  <si>
    <t>Barón de Skal, Feld-Mariscal</t>
  </si>
  <si>
    <t>Feld-Mariscal Barón de Skal</t>
  </si>
  <si>
    <t>Zach Jas operaciones propias de la guerra: al Teniente Coronel Picard la policía del exército; y al Feld-Mariscal Barón de Skal todo lo relativo á la administración y subsistencia del exército.” FRANCIA. Strasburgo 8 ds Octubre. Mr. de Rosenstiel, Consejero privado de S. M. Prusiana, ha llegado aquí de Ber</t>
  </si>
  <si>
    <t>Barón de Toll, General</t>
  </si>
  <si>
    <t>General Barón de Toll</t>
  </si>
  <si>
    <t>tado mayor. Este corto exército está dividido en dos colunas; la primera, mandada por el Gobernador General Barón de Toll, y la otra por el Teniente General Barón de Cederstroeim, Presidente del Colegio de la Guerra.__ Luego que llegó S. M. al monasterio de Herrevad, se quedaron laReyna y el Príncipe</t>
  </si>
  <si>
    <t>Barón de Vincent, General</t>
  </si>
  <si>
    <t>General Barón de Vincent</t>
  </si>
  <si>
    <t>lanta del Ministerio de Hacienda, y creemos que pronto se dará al publico. Ya han vuelto á Viena el General Barón de Vincent y el Coronel Nugent , después de haber desempeñado su importante comisión cerca del Emperador Napoleón___ Las fragatas que se han construido y armado eri Venecia se unirán con algunas</t>
  </si>
  <si>
    <t>Barrado de Cereceda, Manuel Juan</t>
  </si>
  <si>
    <t>Manuel Juan Barrado de Cereceda</t>
  </si>
  <si>
    <t>Guevara: para la de Pedro-Muñoz i D. Anselmo Perez Mozun; y para la de S. Cebrian de Castrotorafe á Don Manuel Juan Barrado de Cereceda: estas tres de primera clase &lt;5 entrada, y todas en ei territorio de la Orden de Santiago. Asimismo ha nombrado S. M. para las Varas de Alcalde mayor de la villa de Medellin á D.</t>
  </si>
  <si>
    <t>Barraguer, Ramón</t>
  </si>
  <si>
    <t>Ramón Barraguer</t>
  </si>
  <si>
    <t>n el de Málaga á los Cadetes del Fixo de Zeuta D. Josef Martínez , y del de Voluntarios de Castilla D. Ramón Barraguer. El Rey se ha servido nombrar Subtenientes del Real Cuerpo de Ingenieros del exército á D. Diego Sande, que lo era del Regimiento de Extremadura, y á D. Francisco Ramírez , Cadete</t>
  </si>
  <si>
    <t>Barranco, Juan</t>
  </si>
  <si>
    <t>Juan Barranco</t>
  </si>
  <si>
    <t>al Cadete D. Joaquín Pardo; y en el de Cazadores de Olivencia empleo de Alférez al Sargento primero D. Juan Barranco. . \ El Rey se ha servido conferir la Tenencia de Rey de la plaza de Zamora al Teniente Coronel D. Simón de la Rochette, Capitán de granaderos del Regimiento de infantería de Guad</t>
  </si>
  <si>
    <t>Barraycua, Francisco</t>
  </si>
  <si>
    <t>Francisco Barraycua</t>
  </si>
  <si>
    <t>ilman: el Seminarista mayor D. Iñigo Órtés de Velasco, los Gefes de sala D. Josef Ortés de Velasco, D. Francisco Barraycua, D. Alonso Alvarado y D. Sebastian Gorvea; los Gefes de trozo D. Manuel Fernandez, D. Josef Fernandez y D. Josef Martínez; y los Seminaristas D. Manuel Abbad, el Cadete de Reales</t>
  </si>
  <si>
    <t>el ,Seminarista nuyo.r Don Iñigo Ortes de Velasco ; los Gefcs. de sala. D. Jo.sef Ortes de Velasco, Don Francisco Barraycua, D. Alonso .AIvarado, y D. Sebastian. Gorvea? los Gefes de trozo D. Pedro Tavira, D. Ramón de Zuloaga, D¿ Ramón Fernandez, D. josef Martínez , y, D. Manuel Ferrando ; y los Semina</t>
  </si>
  <si>
    <t>Barreda, Antonio</t>
  </si>
  <si>
    <t>Antonio Barreda</t>
  </si>
  <si>
    <t>conceder en el Regimiento de caballería del Príncipe empleo de Portaestandarte al Sargento primero D. Antonio Barreda : en él de Borbon Compañía al Ayudante, graduado de Capitán, D. Juan Qaadrado; y empleo de Alférez al Portaestandarte Antonio Saliquet; y en el de Montesa Tenencia al Alférez D. P</t>
  </si>
  <si>
    <t>Barredo, Diego</t>
  </si>
  <si>
    <t>Diego Barredo</t>
  </si>
  <si>
    <t>on, D. Henrique de Graiid-pré, D. Alexo Lessacier yD. Carlos de. Villers, y los Sargentos primeros. D. Diego Barredo, de granaderos, y D. Juan Perez. Por Real Provisión de los Señores del Supremo Consejo de Castilla de 30 de Setiembre de este año, se ha concedido facultad á la villa de Auto!, en</t>
  </si>
  <si>
    <t>Barrena Caballero, Joaquín</t>
  </si>
  <si>
    <t>Joaquín Barrena Caballero</t>
  </si>
  <si>
    <t>Andrés Tirado: para la Ganongia vacante en la Iglesia de Salamanca por muerte de D. Tomas O-Rian á D. Joaquín Barrena Caballero : para otra de la Colegiata de S. Hipólito de Córdoba, vacante por ascenso ae D. Salvador Ximenez Padilla á Canónigo de la Iglesia de Málaga á D. Benito Hidalgo Amores, Cura de la</t>
  </si>
  <si>
    <t>Barrena, Joaquín</t>
  </si>
  <si>
    <t>Joaquín Barrena</t>
  </si>
  <si>
    <t>elles; á Teniente al Subteniente D. Juan Antonio Llano; á Subteniente de granaderos al de fusileros D. Joaquín Barrena; á Subtenientes de compañía á los de bandera D. Gerardo Hernández, D. Josef loaquin Ruiz y D.Jo sef María Rengel; y á Subtenientes de bandera á los Cadetes D. Josef Mayoli y D. Jo</t>
  </si>
  <si>
    <t>Barrera, Juan</t>
  </si>
  <si>
    <t>Juan Barrera</t>
  </si>
  <si>
    <t>Supl., p. 7</t>
  </si>
  <si>
    <t>Id. id. Juan Barrera. Hijo del mismo y de María Barroso, na­</t>
  </si>
  <si>
    <t>Barrionuevo, Fernando María</t>
  </si>
  <si>
    <t>Fernando María Barrionuevo</t>
  </si>
  <si>
    <t>habiendo .inutilizado el empeño de varios sugetos que la resistían la prudencia y la constancia de D. Fernando María Barrionuevo, Alcalde mayor de dicha villa, á cuyas acertadas providencias concurrió por su parte y con mucha actividad y tino el Escribano D. Antonio. Abrol; y aunque el mal tiempo ofreció un</t>
  </si>
  <si>
    <t>Barrito Losada</t>
  </si>
  <si>
    <t>costa , y exigir de sus vecinos víveres y refrescos, determinó el Corregidor de la villa de Vivero, Don Barrito Losada, poner caudidatos de milicias urbanas y gente con a mas, que impusiesen al enemigo y resistiesen quaiquiera insulto de su parte.</t>
  </si>
  <si>
    <t>Barros, Manuel</t>
  </si>
  <si>
    <t>Manuel Barros</t>
  </si>
  <si>
    <t>5; M. se ha servido nombrar para la Canongía vacante en la Iglesia de Santiago por fallecimiento de D. Manuel Barros á D. Pedro Mendez Acuña , Beneficiado de Sta. Columba : para el Beneficio deCuelgamures, Diócesi de Toledo, vacante por muerte de D. Vicente Sánchez, Capellán de Honor, a D. Cayet</t>
  </si>
  <si>
    <t>Barrow</t>
  </si>
  <si>
    <t>so sobre la pantomima; noticia de algunos usos y costumbres de los Chinos, extractados del viage de Mr. Barrow; varias observaciones sobre lo que deben exercitar los pensionados de música en Italia por parte del gobierno Francés, y sobre ios defectos de la escala música, y reforma que inte</t>
  </si>
  <si>
    <t>Barrutia y Croquer, Francisco Xavier</t>
  </si>
  <si>
    <t>Francisco Xavier Barrutia y Croquer</t>
  </si>
  <si>
    <t>Ratres y Muñoz y á D. Jo-* sef A rrivillaga; á Tenientes al Cadete D. Manueí del Castillo Negrete , Don Francisco Xavier Barrutia y Croquer, D. Pedro Delgado Náxera y Don Josef María Aguirre y Larios, los tres últimos vecinos dei mismo Reyno: y en el de la Nueva Segovia á Capitanes aí Teniente D. Josef María Garmendia</t>
  </si>
  <si>
    <t>Bart</t>
  </si>
  <si>
    <t>e bandera en los Batallo-nfes de Voluntarios primero de Barcelona y de Valencia al Sargento primero D. Bart¿ lome Vilardelly al Cadete D. Andrés Vicedo; y en el de Gampomáyor Tenencia al Subteniente D, Vicente Jbañez; y Subtenencia de bandera ai Cadete JD. Manuel, de Mendoza González. E</t>
  </si>
  <si>
    <t>Bartoloiné Georget</t>
  </si>
  <si>
    <t>de Palafox; á Exento de número al supernumerario. D.. Gerónimo Knapp; á supernumerario al Brigadier D. Bartoloiné Georget; á ¡Brigadier al Subrigadier D. Pedro Bonneti ; á Subrigadier ai Cadete Garzón D- Juan Delaris; á Cadete de número- al supernumeraria D. Juan de Macia; y á supernumerario al Guard</t>
  </si>
  <si>
    <t>Bascha</t>
  </si>
  <si>
    <t>28 de junio de 1805</t>
  </si>
  <si>
    <t>co fue recibido á la entrada de palacio por el Secretario del departamento de Relaciones exteriores Mr. Bascha, yen la antecámara por el Secretario de Estado del misino departamento Mr. Van-der-Goes , que</t>
  </si>
  <si>
    <t>Bataller, Pedro</t>
  </si>
  <si>
    <t>Pedro Bataller</t>
  </si>
  <si>
    <t>Do-; mingo Dueñas y Castro. * ''■* En atención áTos grandes y distinguidos servicios que han hecho Don Pedro Bataller , D. Ignacio Reges, D. Josef Serrahínsa, D. Manuel Bargés, D. Juan Rull y D. Josef Julia y Pons, vocales de la Real Junta deGatidad de la ciudad de Barcelona, que preside el Capit</t>
  </si>
  <si>
    <t>Baumániy, Ignacio</t>
  </si>
  <si>
    <t>Ignacio Baumániy</t>
  </si>
  <si>
    <t>de Ayudante al Teniente D. Juan Godt u en el de Reding á Subteniente de granaderos á^de ¡fusileros D Ignacio Baumániy á Subtenientes de bandera, de .nuevá,ereacion, á JX PascuaL y 0. Luis Tschudy t e¿ el de Courten á Subteniente al Sargento primero D» Antonio Sppey; y en el de Betschart á Subteni</t>
  </si>
  <si>
    <t>Baume</t>
  </si>
  <si>
    <t>ica. Contienen todas las operaciones fundamentales de esta facultad le. Obra escrita en francés por Mr. Baume, profesor de Farmacia, y traducida al castellano de la última edición con notas por I&gt;. Domingo García Fernandez: 3 tomos en 8.° de marca con láminas á 51 rs. en pergamino y 60 en</t>
  </si>
  <si>
    <t>Bauti, Juan</t>
  </si>
  <si>
    <t>Juan Bauti</t>
  </si>
  <si>
    <t>s. ' . T , El dia 24 de Juíió último se. cubrió de Grande de España de primera, clase el Excmp. Sr.,D. Juan Bauti^^a María.de Q.ueralty de Silva, Conde de Santa Coloma, de Eueúclara, de,1a Cueva, y de Xerena; Marques de Alconchel y de Besora &amp;c. por su Casa y Condado de Santa Coloma; siendo P</t>
  </si>
  <si>
    <t>Baxá Hussein, Capitán</t>
  </si>
  <si>
    <t>Capitán Baxá Hussein</t>
  </si>
  <si>
    <t>debaxo de las ruinas de Constantinopla antes que firmar un tratado tan ignominioso. Acordáronse del Capitán Baxá Hussein, apellidado con tanta razón el último de los Otomanos. Pero al considerar que dentro de 24 horas puede venir el exército de Odessa hasta el pie de las murallas del Serrallo, el de</t>
  </si>
  <si>
    <t>Baxá Ismael, Capitán</t>
  </si>
  <si>
    <t>Capitán Baxá Ismael</t>
  </si>
  <si>
    <t>casos; prueba irrecusable de lo satisfecho que estaba el Gran Señor de sus servicios eminentes. El Capitán Baxá Ismael ha sido propuesto para sucederle; pero hasta ahora no ha baxado resolución sobre el particular. HUNGRIA. Semlin $ de Mayo* Se ha suspendido el arreglo definitivo , que debía concl</t>
  </si>
  <si>
    <t>Baxo y Ozerin, Tomás</t>
  </si>
  <si>
    <t>Tomás Baxo y Ozerin</t>
  </si>
  <si>
    <t>ad de Arcediano dé la Catedral de Panamá, vacante por fallecimienta de D. Félix Pascual de Mateo, á D. Tomas Baxo y Ozerin:. para la Chantría que este dexa á D. Pe</t>
  </si>
  <si>
    <t>Baylío Benvenuti</t>
  </si>
  <si>
    <t>nciller; el Barón de Alberg, Ministro plenipotenciario del Elector de Badén; el Baylío Benvenuti, Ministro del Gran Maestre de Malta; Mrs. Belluomini, Cotenua y Luchesini, Enviado extraordinario y Diputados de la República de Lúea; y Mr. Cattaneo , Ministro plenipotenciario de lá Repúb</t>
  </si>
  <si>
    <t>Baylon, Miguel</t>
  </si>
  <si>
    <t>Miguel Baylon</t>
  </si>
  <si>
    <t>en el Regimiento de infantería de Saboya á Subteniente de bandera al Sargento primero de granaderos D. Miguel Baylon: én el de Zaragoza á Ayudante al Teniente de granaderos, con grado de Capitán, D. Salvador Molina ; y á Subteniente de' bandera al Sargento primero D. Vicente Heredia: en el de Bu</t>
  </si>
  <si>
    <t>Bayon de Bayon, Gerónimo</t>
  </si>
  <si>
    <t>Gerónimo Bayon de Bayon</t>
  </si>
  <si>
    <t>e ha servido el Rey promover á Subteniente de bandera al Sargento primero distinguido del de Zamora D. Gerónimo Bayon de Bayon. S. M. se ha servido promover en el Regimiento de infantería de Saboya á Subteniente de bandera al Sargento primero de granaderos D. Miguel Baylon: én el de Zaragoza á Ayudante al</t>
  </si>
  <si>
    <t>Bayona, Manuel</t>
  </si>
  <si>
    <t>Manuel Bayona</t>
  </si>
  <si>
    <t>tería de Voluntarios de la Corona Compañía al Teniente de granaderos, graduado de Teniente Coronel, D. Manuel Bayona; y en el de la Princesa Subtenencia de bandera al Cadete D. Mariano Iglesias Barrantes. En el Regimiento de infantería Suizo de Ruttiman se ha dignado S. M. promover á Ayudante al</t>
  </si>
  <si>
    <t>Beasini, Sebastián</t>
  </si>
  <si>
    <t>Sebastián Beasini</t>
  </si>
  <si>
    <t>Paredes, D. Antonio García y D. Francisco Ximénez; á Subtenientes de fusileros al Sargento primeto D. Sebastian Beasini , y á lós Cadetes D. Manuel Rodríguez y D. Justo Paredes; y de bandera á los Cadetes D. Josef María Velarde y D. Lorenzo Ley, este del Batallón auxiliar de Sta. Fe, con grado de S</t>
  </si>
  <si>
    <t>Beauharnais, Francisco</t>
  </si>
  <si>
    <t>Francisco Beauharnais</t>
  </si>
  <si>
    <t>tro del dia 17 se suprime la moneda que se acuñaba en Ginebra quando era República.—_En otro del 20 Mr. Francisco Beauharnais y el General Víctor han sido nombrados Ministros : el primero cerca de S. M. el Rey de Etruria, y el segundo en Dinamarca. El dia 24 hubo una audiencia diplomática, en la que varios M</t>
  </si>
  <si>
    <t>Beauharnais, General</t>
  </si>
  <si>
    <t>General Beauharnais</t>
  </si>
  <si>
    <t>de la guardia Imperial, en número de unos i© hombres, que va caminando para León, á las ordenes del General Beauharnais, llego el 27 de Enero á Nevers. Ha side muy obsequiada la oficialidad. ESPAÑA. Madrid 16 de Febrero. S. M. se ha servido nombrar para la Canongía Magistral de la Catedral de Lérói</t>
  </si>
  <si>
    <t>Beauharnois, Príncipe</t>
  </si>
  <si>
    <t>Príncipe Beauharnois</t>
  </si>
  <si>
    <t>dir allí, y del camino por dónde hayan de pasar. Milán 16 de Marzo. Hoy ha llegado á esta ciudad el Príncipe Beauharnois al frente de los cazadores y granaderos á caballo déla guardia Imperial, de la Gendarmería y de los Mamelucos. Se le ha recibido con los honores debidos á su dignidad. Se continúa</t>
  </si>
  <si>
    <t>Beaujon</t>
  </si>
  <si>
    <t>ace 3 años, se hallaba presente á esta ceremonia. £1 mismo dia visitó el Papa el hospital que fundó Mr. Beaujon, donde fué recibido por los Administradores y demas individuos del establecimiento con las demostraciones de amor y de respeto debidos á S. S. Recorrió las salas de los enfermos,</t>
  </si>
  <si>
    <t>Beaumont, Coronel</t>
  </si>
  <si>
    <t>Coronel Beaumont</t>
  </si>
  <si>
    <t>ighi le mataron el caballo en que iba montado : su Regimiento cobró nueva audacia para salvarle. El Coronel Beaumont del io.° de húsares, animado de aquel espíritu verdaderamente Francés, en medio.de las filas de los enemigos cogió á unCapttan.de .coraceros., á quien traxo prisionero después de habe</t>
  </si>
  <si>
    <t>Beaumont, General</t>
  </si>
  <si>
    <t>General Beaumont</t>
  </si>
  <si>
    <t>General Walter con su divison de caballería ha tomado posesión de Weis. La división de dragones del General Beaumont, y la i.a división del Mariscal Davoust, mandada por el General Bisson, se han situado en Lambach. El puente de Traun estaba cortado, y en su lugar se puso otro de barcas. El enem</t>
  </si>
  <si>
    <t>aciendo 200 prisioneros: el enemigo daba muestras de querer defenderse. La división de dragones del General Beaumont ha sostenido su reputación. Ha sido, muerto el Edecán del General Beaumont. Los dos puentes del Enns están enteramente restablecidos. En el combate de Lambach han muerto el Corone</t>
  </si>
  <si>
    <t>Beccar, Juan</t>
  </si>
  <si>
    <t>Juan Beccar</t>
  </si>
  <si>
    <t>gimiento de infantería- de Valencia se ha Servido &lt;el:R&amp;Y con»» ferir Compañía áDSUi'CabalIero:Pa^e D. Juan Beccar^ í ^ ¿ , EIRey sé; ha ser vido conferir e l, G obiernor; .Militar y Eolítico de da plaza de Denia á¿D. Pedro perrer, Exento &lt;ie la CompañíaiFlamenca^dél R,eal&gt;Cuerpo de Guardias d</t>
  </si>
  <si>
    <t>Bedfort, Capitán</t>
  </si>
  <si>
    <t>Capitán Bedfort</t>
  </si>
  <si>
    <t>ha botado al agua, en Plymouth, él navio de 3 puentes, de 120 cañones, el Hibernia, montado por el Capitán Bedfort, y los pilotos lo han conducido á la bahía de Cawsand. Dentro de 10 dias se juntará con la esquadra del Canal. - ■ La expedición secreta,:que saldrá muy pronto para su destino, se</t>
  </si>
  <si>
    <t>Beiluga, Cardenal</t>
  </si>
  <si>
    <t>Cardenal Beiluga</t>
  </si>
  <si>
    <t>n Jayme Cebrian, Cirujano de la Real Inclusa y niños huérfanos; una de las fundaciones del Emo. Sr. Cardenal Beiluga , del Real Patronato de S. M. (que Dios guarde), ha envacunado en el mes de Julio próximo 215 niños expósitos en la edad de lactancia, con tan feliz éxito, que ninguno ha sentido</t>
  </si>
  <si>
    <t>Béjar, Pedro</t>
  </si>
  <si>
    <t>Pedro Béjar</t>
  </si>
  <si>
    <t>Ramiro y D. Pedro Salcedo; Ayudantía á D. Calixto Ramos; Tenencia de granaderos á D. Timoteo Ramos, D. Pedro Béjar, D. Melchor Ramos, D.Josef Vicente Andrade , D. Alberto de Castro , D. Manuel Antonio Gómez, Don Ramón de Santander y D. Joaquín Tejada; Subtenencia de granaderos á Don Eugenio de</t>
  </si>
  <si>
    <t>Bejar, Pedro</t>
  </si>
  <si>
    <t>Pedro Bejar</t>
  </si>
  <si>
    <t>último, pág. 109, lín. 20, debe decirt Tenencia de granaderos á D. Timoteo Ramos; y de fusileros á D. Pedro Bejar, &amp;£,, , En algunos exemplares de la Gazeta anterior, núm. 102, pág. 1101, línea 2 2*, ajee Barcelona 18 de Octubre, léase Marchena. Por el Sr. Intendente de esta Provincia se ha m</t>
  </si>
  <si>
    <t>Béjar, Vicente</t>
  </si>
  <si>
    <t>Vicente Béjar</t>
  </si>
  <si>
    <t>quín Tejada; Subtenencia de granaderos á Don Eugenio de Castro, y de fusileros á D. Pedro Bustinza, D. Vicente Béjar, D. Manuel Céspedes, D. Higidio Mariaca, D. Paulino Deza, D. Eugenio Dueñas , D. Pedro Cegarra , D. Mariano García Romani; y Subtenencias de bandera á f). Simón Aguirre y D. Grego</t>
  </si>
  <si>
    <t>Belcino, Andrés</t>
  </si>
  <si>
    <t>Andrés Belcino</t>
  </si>
  <si>
    <t>130a Cabo i.® Andrés Belcino.... Hijo de Simón y de María Gniadanes,</t>
  </si>
  <si>
    <t>Bellido, Vicente</t>
  </si>
  <si>
    <t>Vicente Bellido</t>
  </si>
  <si>
    <t>D. Francisco Gamarra, D. Pedrb Godiel, D. Juan de Dios Va'dés, D. Matías Velazquez, D. Diego Mexía, Don Vicente Bellido y D. Diego Felipe Cevallos; y de Portaguiones á D. Pablo Portugal y Cevallos, D. Martin Pacheco, D. Juan Caracholi y D. Juan de Dios Valdés. S. M. se ha servido conferir el Gobierno M</t>
  </si>
  <si>
    <t>Belon, Fernando</t>
  </si>
  <si>
    <t>Fernando Belon</t>
  </si>
  <si>
    <t>Pacheco , D. Francisco Noriega, D. Antonio de la Borda, D. Josef Colombo, D. Antonio García Muñiz, D. Fernando Belon y D.Juan Canabal; Ayudantías á D. Andrés Polvorinos y Don Hilario del Rivero ; Tenencia de carabineros á D. BernaTdino Yepes; y sencillas á D* Manuel,Gómez, D. Antonio Talavera , D.Ju</t>
  </si>
  <si>
    <t>Beña, Tomás</t>
  </si>
  <si>
    <t>Tomás Beña</t>
  </si>
  <si>
    <t>á Portaguiones á D. Manuel Vidal, y á D. Guillermo Marurir en el de Queretaro á Capitán al Teniente D. Tomas Beña; á Teniente al Alférez: D. . Francisco Xavier Quintana; á Alférez al Portaguión D. Manuel Peñuñuri , y á Portaguiones á D. Benito Fuentes y D. Bernardo Lexarza. El Mereuria.de. Es</t>
  </si>
  <si>
    <t>Benavente, Alexandro</t>
  </si>
  <si>
    <t>Alexandro Benavente</t>
  </si>
  <si>
    <t>as á D. Cayetano Castro y D. Josef Molina; Tenencia de granaderos á D. Josef Rosello; y sencillas á D. Alexandro Benavente, D. Mariano Aragón, D. Josef Escovedo, D. Pablo Muñoz, D. Lorenzo Lencinas, Don Josef Silva y Laguado, D. Manuel de la Barrera, D. Mariano Murguía, D. Ramón Paredes, D. Mariano Fi</t>
  </si>
  <si>
    <t>Benavente, Pedro</t>
  </si>
  <si>
    <t>Pedro Benavente</t>
  </si>
  <si>
    <t>egimiento de Milicias urbanas de dragones de Azangaro, en el Reyno del Perú, el empleo de Coronel á D. Pedro Benavente; la Tenencia Coronela á D. Santos Zaballa ; Comandancias á D. Josef Sánchez Toro y D. Josef Remigio Arias ; la Sargentía mayor á D. Mariano Escovedo ; Compañía de granaderos á D.</t>
  </si>
  <si>
    <t>Benavente, Sebastián</t>
  </si>
  <si>
    <t>Sebastián Benavente</t>
  </si>
  <si>
    <t>rgentía mayor á D. Mariano Escovedo ; Compañía de granaderos á D. Luis Sánchez Toro ; y sencillas á D. Sebastian Benavente , D. Gerónimo Casal, D. Nicolás Montesinos, D. Eugenio Figueroa, D. Josef Alvaro de Arias, D. Juan Pablo Molina, D. Mariano Cáceres y D. Andrés de Cárdenas; Ayudantías á D. Cayeta</t>
  </si>
  <si>
    <t>Bendt, Capitán</t>
  </si>
  <si>
    <t>Capitán Bendt</t>
  </si>
  <si>
    <t>eros tomos de las obras de Gustavo m: se han enviado 1© ejemplares á París. El navio mandado por el Capitán Bendt, procedente de Málaga, y que había arribado á Tonningen,después haber hecho quarentena, ha recibido orden de pasar á la distancia de 2 leguas de la ciudad, donde desembarcará su c</t>
  </si>
  <si>
    <t>Benedicto, Papa</t>
  </si>
  <si>
    <t>Papa Benedicto</t>
  </si>
  <si>
    <t>de Predicadores, inéditas = XI. Preces del Arzobispo de Valencia D. Andrés de Orbe y Larreategui al Papa Benedicto xill,,.pidiéndole que concediese á su Diócesi el uso del antiguo oficio de passione im.rgbiis para el dia 9 de Noviembre, en que se celebra fiesta al Santísimo Cristo del Salvador</t>
  </si>
  <si>
    <t>Benisia, Alexandro</t>
  </si>
  <si>
    <t>Alexandro Benisia</t>
  </si>
  <si>
    <t>Subteniente de bandera al Cadete D. Manuel Maza: en el de Aragón á Subteniente de bandera al Cadete D. Alexandro Benisia: en el primer batallón de Voluntarios de Aragón a segundo Ayudante al Teniente D. Justo Racax , y á Subtenientes á los Cadetes D. Rafael, de Ja Peña Zorrilla y D. Isidro Diego: en</t>
  </si>
  <si>
    <t>Benitez, Sebastián</t>
  </si>
  <si>
    <t>Sebastián Benitez</t>
  </si>
  <si>
    <t>anongía, que en la Iglesia de Palencia ha resultado vacante por muerte de D. Francisco Bartolomé, á D. Sebastian Benitez, Capellán de los Batallones de Marina, en consideración á sus servicios, y conforme al Reglamento de 30 de Enero del año próximo pasado. En atención á los méritos y buenos servici</t>
  </si>
  <si>
    <t>ahorra; y,para el Medio-Préstamo de ValYerde, en el Arzobispado de Toledo, vacante por promoción de D. Sebastian Benitez á una Canongía de Patencia,; á.JD. Miguel Ortiz de la Tejera. El Rey se ha servido nombrar para una Canongía de la Catedral de Urgel, vacante por promoción de D. Joaquín'Joven al</t>
  </si>
  <si>
    <t>Benjamín Franklin</t>
  </si>
  <si>
    <t>a. , En la librería de la viuda de Cerro, calle de Alcalá, se hallan las obras siguientes: Vida del Dr. Benjamín Franklin, sacada de documentos auténticos: tiene el retrato en la portada. Medicina fantástica del espíritu, y espejo teórico-práctico, escrita en metro joco-serio y prosa por el Dr. D. Da</t>
  </si>
  <si>
    <t>Benmidez de Castro, Francisco</t>
  </si>
  <si>
    <t>Francisco Benmidez de Castro</t>
  </si>
  <si>
    <t>6 de septiembre de 1805</t>
  </si>
  <si>
    <t>ra; y en los de la Corona, Sevilla, León y el expresado de Málaga.á los Cadetes D. Antonio Parreño, D. Francisco Benmidez de Castro, D. Manuel de la Iglesia Smith, y D. Saturnino Figueroa, que lo era del de Cantabria. El Rey se ha servido promover á Capitán segundo en el Regimiento de infantería Suizo de Rutti</t>
  </si>
  <si>
    <t>Ber</t>
  </si>
  <si>
    <t>,á Teniente Coronel del Regimiento de infantería fixo de Zettta al Comandante de su tercer Batallón D. Ber* nardo dé los Cobos.En ef'de infantería Suizo de Wimpffen á Capitanes primeros á los segundos I&gt;. Carlos Scolar y D. Conrado Miseretz; á Capitán de granaderos al Capitán segundo D</t>
  </si>
  <si>
    <t>Berard y Mallen, María</t>
  </si>
  <si>
    <t>María Berard y Mallen</t>
  </si>
  <si>
    <t>ica, dando las gracias á la Sociedad en nombre de los niños premiados, y otra á nombre de las niñas Doña María Berard y Mallen. Pronunció el socio D. Juan Sánchez Cisneros una oración en elogio de los cuerpos patrióticos, señaladamente de la Real Sociedad. Valenciana: el socio P. Rafael del Angel Custodio</t>
  </si>
  <si>
    <t>Berben, Francisco</t>
  </si>
  <si>
    <t>Francisco Berben</t>
  </si>
  <si>
    <t>e de D. Josef Manuel de Ortega, del mismo .vecindario, y dexado un legado á los hijos de su hermano D. Francisco Berben, -natural y vecino del Puerto de Santa María, quien pasó á la ciudad de México, en donde se tiene noticia falleció, se han practicado por los albaceas del D. Josef, que Jo son Doñ</t>
  </si>
  <si>
    <t>Beresford, General</t>
  </si>
  <si>
    <t>General Beresford</t>
  </si>
  <si>
    <t>l Mediterráneo á bordo del Diadema, donde se ha embarcado una gran cantidad de dinero. El Brigadier General Beresford se embarca en el Narciso, y el Brigadier General Fergusson en la Leda. El convoy de Cork se ha hecho á‘ la: vela el 31 de Agosto mandado por Sir Popham: compónese de dos navios de</t>
  </si>
  <si>
    <t>Berger, Antonio</t>
  </si>
  <si>
    <t>Antonio Berger</t>
  </si>
  <si>
    <t>lidad de depósito, de muchos años á esta parte, 2292 rs. 29 mrs., pertenecientes á los herederos de D. Antonio Berger, Director que fué de los mismos, y falleció en París, donde se*hallaba con licencia, siendo dicha cantidad procedente del sueldo que gozaba, y no percibió en el tiempo de su ausen</t>
  </si>
  <si>
    <t>Berger, General</t>
  </si>
  <si>
    <t>General Berger</t>
  </si>
  <si>
    <t>enen todavía en Hannóver un cuerpo de 10 á 12© hombres. La llegada; def Ministro Ruso Alopeus y del General Berger á Stralsunt es relativa á la venida del exército Ruso á la Pomerania Sueca. Se esperan 1^© Rusos y’ 6© Suecos; los primeros desembarcarán en la isla de R rger, para lo qual están</t>
  </si>
  <si>
    <t>Beri, Juan</t>
  </si>
  <si>
    <t>Juan Beri</t>
  </si>
  <si>
    <t>Supl., p. 8</t>
  </si>
  <si>
    <t>13.’ id. Juan Beri............. 3i)o de Luis y de Antonio del Val,</t>
  </si>
  <si>
    <t>Beríhollet</t>
  </si>
  <si>
    <t>ro de 600 y de 300 pesos de la misma creación. Elementos del arte de teñir, escritos en francés por Mr. Beríhollet, traducidos con adiciones por D. Domingo García Fernandez: 2 tomos en 8.° marquilla, á 32 rs. en pasta. Resumen^del cultivo de las moreras, y de la cria de gusanos de seda, por Do</t>
  </si>
  <si>
    <t>Berlanga, Francisco</t>
  </si>
  <si>
    <t>Francisco Berlanga</t>
  </si>
  <si>
    <t>f Vejarano y D. Antonio Pareja: á Teniente de fusileros en el de Ronda al Subteniente de granaderos D. Francisco Berlanga: X Subteniente de, granaderós -éñ el de Segpvia al de fusileros 0. Matías Soideviella y Yanguas y X- Subteniente de bandereen el de Bujalance aL Cadete D. Andrés Ganzalezde. Canal</t>
  </si>
  <si>
    <t>Bermejo, Manuel</t>
  </si>
  <si>
    <t>Manuel Bermejo</t>
  </si>
  <si>
    <t>os á D. Nicolás Romero y Fuster, y de fusileros á D. Luis de Heredia, D. Gregorio Hernández Prieto, D. Manuel Bermejo, D. Francisco Bravo, D. Hilario Chavez, D. Josef Pe</t>
  </si>
  <si>
    <t>Bermudez de Castro, Benito</t>
  </si>
  <si>
    <t>Benito Bermudez de Castro</t>
  </si>
  <si>
    <t>id.: D. Manuel Huergo, contuso: D. Simón Londoño id.: D. Pedro Rato, herido. Alféreces de Fragata. D. Benito Bermudez de Castro, muerto: D. Juan Balsola, herido: D. Nicolás del Rio id.: D. Josef de la Serna id.: Don Diego del Castillo id.: D. Gerónimo Obregon id. Teniente de Brulote. D. Jacobo Alemán, heri</t>
  </si>
  <si>
    <t>Bernabé López de Castro</t>
  </si>
  <si>
    <t>María de Arroquia y Oses; y á Subtenientes de Bandera en Jos de Segovia, Monterey, Xerez y Toledo á D. Bernabé López de Castro, D. Josef Salgado de Araujo, D. Josef de Mauleon y D. Josef Banfi. Habiendo mandado el Rey que los Catedráticos farmacéuticos, separados de los Reales Colegios de Cirugía por no n</t>
  </si>
  <si>
    <t>Bernabé Romero</t>
  </si>
  <si>
    <t>de la Parroquial de Villatoro, en la de Avila, vacante por muerte de D. Domingo Antonio Monteyra, á D. Bernabé Romero, que sirve en la misma Iglesia. El Rey se ha servido nombrar para las Varas de Alcalde mayor de las ciudades de Valencia y'Barcelona á D. Josef Prat y Quadras y D. Antonio Minoves</t>
  </si>
  <si>
    <t>Bernad y Vargas, Joaquín</t>
  </si>
  <si>
    <t>Joaquín Bernad y Vargas</t>
  </si>
  <si>
    <t>nombrar para los Corregimientos políticos, vulgo de Capa y Espada, de las ciudades de Antequera , á D. Joaquín Bernad y Vargas; de Plasencia, en la Provincia de Extremadura, á D. Josef del Aguila; y de Ecija á D. Juan de Nava y Noroña. También ha nombrado S M. para el Corregimiento de Letras de la ciudad</t>
  </si>
  <si>
    <t>Bernadotte y los Bávaros, General</t>
  </si>
  <si>
    <t>General Bernadotte y los Bávaros</t>
  </si>
  <si>
    <t>a llegado hasta el 8 á Neuburgo. El cuerpo del General Marmont ha llegado igualmente. El cuerpo del General Bernadotte y los Bávaros llegáron el dia 2 á Aichstett. Por las noticias que se han tomado parece que 12 Regimientos Austríacos han venido de Italia á reforzar el exército de Baviera. La relación de ofici</t>
  </si>
  <si>
    <t>Bernadotte y los Bávaros, Mariscal</t>
  </si>
  <si>
    <t>Mariscal Bernadotte y los Bávaros</t>
  </si>
  <si>
    <t>nd, Aalen &gt; á Nórdlingen. La situación del exército el 6 de Octubre era la siguiente: El cuerpo del Mariscal Bernadotte y los Bávaros estaban en Weissemburgó.-_El del Mariscal Davoust en Oettingen----- El del Mariscal Soult en Donawerth, dueño del puente de Munster, y haciendo reponer el de</t>
  </si>
  <si>
    <t>Bernadotte, General</t>
  </si>
  <si>
    <t>General Bernadotte</t>
  </si>
  <si>
    <t>e al principio opusieron la mas viva resistencia, sufriéron mucho ántes de imitar á sus aliados. El General Bernadotte siguió el alcance. Se éspera con impaciencia la confirmación de esta noticia. G R A N B R E T A Ñ A. Londres 16 d'e Octubre. Ayer se vendió una hermosísima muger en el mercado de</t>
  </si>
  <si>
    <t>Bernadotte, Mariscal</t>
  </si>
  <si>
    <t>Mariscal Bernadotte</t>
  </si>
  <si>
    <t>o: el Mariscal Perignon, el cetro de Cario Magno: el Mariscal Lefebvre,la espada de Cario Magno: el Mariscal Bernadotte, el collar del Emperador: el Coronel General Beauharnais , el anillo de S. M.: ei Mariscal Berthier, el globo Imperial: el Sumiller de Corps, llevando la canastilla donde se pondr</t>
  </si>
  <si>
    <t>anos y forrages les costará esta vez 300$ rixdalers mas que en las épocas anteriores. La vuelta del Mariscal Bernadotte se ha diferido inopinadamente. El correo, que llegó ántes de ayer de París, ha traído esta noticia, en el momento en que el Coronel Gerard, su Edecán, se disponía para ir á recibi</t>
  </si>
  <si>
    <t>l número de gracias de la grande Orden del Aguila Negra , destinadas para el Emperador Napoleón, el Mariscal Bernadotte, el Ministro Berthier, Mr. de Talleyrand-Perigord &gt; Mr. Cambaceres y el Príncipe Murat. El Doctor Portal, individuo del Instituto nacional de Francia, ha remitido á S. M. una obra</t>
  </si>
  <si>
    <t>17 de mayo de 1805</t>
  </si>
  <si>
    <t>s estatutos, gozarán del derecho de nombramiento los individuos del antiguo Cabildo de Maguncia. £1 Mariscal Bernadotte, que continuará con el mando del exército Francés en el país de Hannóver, y que no pasará á Italia, como se había dicho, ha determinado hacer acampar las tropas de su mando durant</t>
  </si>
  <si>
    <t>ncipe Murat, al Príncipe Cambaceres, al Mariscal Berthier, al Ministro de Relaciones exteriores, al Mariscal Bernadotte y ai General Duroc. Se sabe de cierto que la esquadra de Rochefort ha vuelto á entrar en este puerto cargada de los despojos de las islas Inglesas. Esta expedición , preparada con t</t>
  </si>
  <si>
    <t>enazado de una , general escasez, y, gracias á la divina Providencia y á la vigilante previsión del Mariscal Bernadotte, quizá sea hoy dia él tínico pais de Alemania qué se ve libre de una plaga tan terrible. S. E. ha visitadp.de nuevo los almacenes, ha visto por sus ojos las panaderías, y se ha as</t>
  </si>
  <si>
    <t>nes que pueden desde que han sabido que la esquadra Bátava del Texel se aumenta con rapidez----- El Mariscal Bernadotte está visitando el Electorado &lt;íe Hannóver, y dentro de pocos dias'es de creer que veremos aquí á S. E. Altona jo de Julio. Escriben de Francfort, con fecha de 20 de Julio, que todos</t>
  </si>
  <si>
    <t>hendida en la línea de demarcación y de neutralidad, y que el exército Bávaro se juntará con el del Mariscal Bernadotte , el qual viene caminando por el Electorado de Hesse y el territorio de Fulda para atacar á los Austríacos. Esta noticia se lia confirmado por una carta de Nuremberga, en la qual</t>
  </si>
  <si>
    <t>que se habían adelantado, por,aquella parte. : Wurtzburgo 27 de. Setiembre, . ; Han llegado aquí el Mariscal Bernadotte y el General Marmont con los dos cuerpos de exército de su mando, los, quales, ireunidos al- exército Bávaro, que consta de 26© hombres, forman un exército respetable. Los soldados Bá</t>
  </si>
  <si>
    <t>la relación siguiéiitérsobre la marcha de los Franceses en Alemania-----„E1 cuerpo de éxército del Mariscal Bernadotte ha llegado al PrincipadQ de Wurtzburgo, y sus tropas.han sido recibidas snaigablemen te. Se asegura: ¡que el Elector de Bavierahadadó orden á todas'sus tropas de ju'ntaar?£ al;pxé</t>
  </si>
  <si>
    <t>había reunido en Cassel, y han vuelto á sus guarniciones ordinarias las tropas que lo componían. El Mariscal Bernadotte se ha quedado tres dias en Cassel, y al despedirse ha dado las debidas gracias á S. A. S. E. Francfort i.° de Octubre. Mr. de Larochefoucauld, en cumplimiento de las órdenes de su</t>
  </si>
  <si>
    <t>de Octubre. El Emperador partid de París el 24 de Setiembre, y ha llegado á Strasburgo el 26___ El Mariscal Bernadotte, que al momento en que salid el exército de Boloña había marchado de Hannover á Gottinga, se encamino por Francfort para Wurtzburgo, adonde llegó el 23 de Setiembre___ El General</t>
  </si>
  <si>
    <t>¿1 iDanúbio, y sentó su campo entre A'cha y Augsburgo. „ . , Finalmente, el cuerpo de exército del Mariscal Bernadotte con el.exército Bávaro, mandado por los Generales Deroy y Verden, se situó en Ingolstadt: la guardia Imperial, mandada por el Mariscal Bessieres, se trasladó á Augsburgo, igualmen</t>
  </si>
  <si>
    <t>12 el Mariscal Soult se ha puesto eií marcha hácia Memmingen, adonde llegará el 13 al amanee,ér. El Mariscal Bernadotte ha estado en marcha todo el dia 11 , y su vanguardia está á 2 leguas de Munich. Han caído en su poder los equipages de varios Generales Austríacos, y ha tomado unos 100 prisionero</t>
  </si>
  <si>
    <t>soldado sus fatigas y trabajos, manifestando su impaciencia por ver llegar la hora del combate. El Mariscal Bernadotte ha llegado á Munich el dia 12 á las 6 de la mañana, ha tomado 800 prisioneros, y va al alcance del enemigo. Ftl Príncipe Fernando se hallaba en Munich, y parece que había abandona</t>
  </si>
  <si>
    <t>hombres solo le quedan 2j®, y esperamos que estos no se nos escaparán. Luego que entró en Munich el Mariscal Bernadotte fué al alcance del General Kienmayer, le tomó los equipages y algunos prisioneros.__ Ei Ge-* ñera! Kienmayer ha evacuado al país, y ha vuelto á pasar el Inn. Así se ha cumplido lo</t>
  </si>
  <si>
    <t>ayor parte de sus puentes, lo qual nos incomoda mucho para los bastimentos. En la jornada del 15 el Mariscal Bernadotte ha adelantado süs guardias avanzadas hasta Wasserbourg y Haag, en la calzada de Braunau. Ha tomado al enemigo otros 400 ó 500 prisioneros,y un parque de 17 piezas de artillería de</t>
  </si>
  <si>
    <t>anceses, da su palabra de honor: ‘ i. Que «l exército Austríaco está hoy mas allá dei Inn, y que ei Mariscal Bernadotte con su exército está situado entre Munich y el Inn. ir. Que el Mariscal Lannes con las tropas de su mando va al alcance del Príncipe Fernando, y estaba ayer en Aalen. ni. Que el-P</t>
  </si>
  <si>
    <t>al de Aichach, que es él que ha decidido la retirada de los Austríacos. Augsburgo 22 de Octubre* El Mariscal Bernadotte ha puesto su quaftel general en Braunau, camino de Viena. En la víspera de la toma de Ulma se publicó la proclama siguiente del Emperador ai exército grande. „ Soldados: Hace un m</t>
  </si>
  <si>
    <t>ento: nuestros exércitos han pasado el Iser, y sé dirigen hácia el lnn, donde estarán esta noche el Mariscal Bernadotte por un lado, eí General Marmont por otro, y el Mariscal Davoust por otro. ESPAÑA, Madrid 15 de Noviembre.El martes de esta semana, dia del cumpleaños del Rey nuestro SeNor, se vis</t>
  </si>
  <si>
    <t>5.__ Maximiliano Josef, Elector. Diario del exército. Haag 28 de Octubre. El cuerpo de exército del Mariscal Bernadotte ha salido de Munich el 26. El dia 27 ha llegado á Wasserburg en el Inn, y pasó la noche en Altenmarkt: seis arcos del puente estaban quemados. El Conde Manicci, Coronel del exérci</t>
  </si>
  <si>
    <t>ario del exército grande. Braúnan 30 de Octubre. El- 30 á las 10 de la mañana llegó á Saltzburgo el Mariscal Bernadotte. El Elector se había ausentado algunos dias habia, y el dia antes se retiraron precipitadamente las tropas que quedaban.—.El quartel general Imperial estaba el 28 en Haag, el 29 e</t>
  </si>
  <si>
    <t>e que teníamos5grande necesidad: parte de ellas se han distribuido al cuerpo del Mariscal $oult. El Mariscal Bernadotte ha llegado á Saltzburgo: el enemigo.se ha.retí*? rado hacia el camino de Caríntiá y de W¡.els^Urt Regimiento de infantería quería mantenerse en la aldea de Hallem ; pero se ¡ ha r</t>
  </si>
  <si>
    <t>Regimiento 17 de infantería de línea. Las tropas manifiestan sumo valor é intrepidez. Luego que el Mariscal Bernadotte llegó á Saltzburgo , destacó al General Kellermann al frente de su vanguardia para ir al alcance de una coluna enemiga que se retiraba por el camino de Carintia. Habíase puesto al</t>
  </si>
  <si>
    <t>de exército pasan el Danubio por el puente de Viena para flanquearlos por la derecha: el cuerpo del Mariscal Bernadotte marcha pata flanquearlos por la izquierda. Ayer n á las io de la mañana el Príncipe Murat atravesó porVieha. AL amátlecer una celuna de caballería se encaminó al puente del Da nub</t>
  </si>
  <si>
    <t>ult, y podrá internarse hasta Leibach y Krain. A la derecha de este exército maniobra el cuerpo del Mariscal Bernadotte, qué va marchando hácia Clagenfurt. Este cuerpo comunica con los Bávaros y con el Mariscal ¡Ney en el Tirol. El camino que han seguido para subir desde Partenkirck hasta el fuerte</t>
  </si>
  <si>
    <t>apoderó de Cíauzen y de Botzen. El General Jeilachick., que defendía el Voralberg, está cortado. El Mariscal Bernadotte ocupa á lglau. Sus patrullas han entrado-eu Bohemia. El General Wreden , Comandante de los Bávaros, ha tomado una compañía de artilleros Austríacos, 100 caballos de montar, 50 cor</t>
  </si>
  <si>
    <t>ó el mando de la izquierda al Mariscal Lannes; el de la derecha al Mariscal Soult; el del centro al Mariscal Bernadotte, y el de toda la caballería reunida en un solo punto al Príncipe Murat. La izquierda del Mariscal Lannes estaba apoyada en el Santón, posición soberbia, que el Emperador había hec</t>
  </si>
  <si>
    <t>derrota de la guardia. Rusa. En el mismo instante se adelantó el centro del exército mandado por el Mariscal Bernadotte; tres de sus Regimientos sostuvieron un buen ataque de la caballería. La izquierda, mandada por el Mariscal Lannes, embistió varias veces, y siempre con ventaja. La división del G</t>
  </si>
  <si>
    <t>Bernal, Manuel</t>
  </si>
  <si>
    <t>Manuel Bernal</t>
  </si>
  <si>
    <t>a Tenencia Coronela del de caballería de Chancay al Marques de Casa-Boza: Compañía en el de Chota á D. Manuel Bernal : el Regimiento de Camaná á D. Raymundó Gutierres Otero : la Tenencia Coronela del de Paucartambo á D. Juan González Viilagra ; la Sargentía mayor del mismo áD. Martin Garmendia,</t>
  </si>
  <si>
    <t>Bernaldo de Quirós, Vicente</t>
  </si>
  <si>
    <t>Vicente Bernaldo de Quirós</t>
  </si>
  <si>
    <t>. M. se ha servido nombrar para la Abadía de la Colegial de Motril, en el Arzobispado de Granada, á D. Vicente Bernaldo de Quirós. En los Regimientos de infantería de Córdoba, Mallorca y Búrgos, y en el Batallón de Voluntarios de Valencia se ha servido el Rey conceder Subtenencias de bandera á D. Ignacio Mor</t>
  </si>
  <si>
    <t>Bernarda Lozana</t>
  </si>
  <si>
    <t>21 de mayo de 1805</t>
  </si>
  <si>
    <t>unos 4 años á esta* parte. La persona que tenga noticia donde falleció, lo avisará en esta Corte á Don Bernarda Lozana, en la.calle de Ja Salud, lonja de Chocolate, núm. 5cuya noticia le es interesante. El abasta del carbón dél Real Sitio de S. Lorenzo por tiempo de tres: años,, de dos ó de uno, c</t>
  </si>
  <si>
    <t>Bernardino Toledo</t>
  </si>
  <si>
    <t>tenientes Don Narciso Yabar, D. Pedro Vejarano y D. Pedro la Hermosa; á Subtenientes de fusileros á D. Bernardino Toledo, y á los Sargentos primeros D. Faustino Valdés, D. Mariano Gamboa, D-. Felipe Borbolla, D. Gregorio Fernandez de Llamas, D. Josef Marcos Calderón y D. Melchor Mogollon; y de bande</t>
  </si>
  <si>
    <t>Bernasal, Pedro</t>
  </si>
  <si>
    <t>Pedro Bernasal</t>
  </si>
  <si>
    <t>22... Pedro Bernasal........ Hijo de Pedro j natural de Reus en Cata-)</t>
  </si>
  <si>
    <t>BernaTdino Yepes</t>
  </si>
  <si>
    <t>uan Canabal; Ayudantías á D. Andrés Polvorinos y Don Hilario del Rivero ; Tenencia de carabineros á D. BernaTdino Yepes; y sencillas á D* Manuel,Gómez, D. Antonio Talavera , D.Juan del Rivero, Don Simón Geldres, D. Manuel Calvo, D. Antonio Arguero, D. Mariano Bustamante, D» Manuel García, D. Pedro</t>
  </si>
  <si>
    <t>Berranger</t>
  </si>
  <si>
    <t>er nuestros establecimientos. HOLANDA. 4 Haya s&gt; de Mayo. El Tribunal militar ha mandado arrestar ¿ Mr. Berranger, que mandaba en calidad de Comisario y Gobernador general en Surinam á tiempo que aquella colonia se rindió á los Ingleses. Las rentas públicas son en el momento la ocupación esen</t>
  </si>
  <si>
    <t>er,qüe siendo Gobernador de Curazao entregó la colonia á los Ingleses en la primer guerra, y contra Mr. Berranger, que mandaba en Surinam al mismo tiempo , y la entregó igualmente á las fuerzas Británicas. ITALIA. Liorna 24 de Julio. Ayer llegaron á este puerto en una polacra Ragusea 279 Judí</t>
  </si>
  <si>
    <t>Berron, Antonio</t>
  </si>
  <si>
    <t>Antonio Berron</t>
  </si>
  <si>
    <t>Beiiéficio dé la Parroquia de la villa de Madrigal, en 'el Obispado de Avila, vacante por muerte de D. Antonio Berron, á Don J üan'Manuel Viüaroel, con obligación de alternar con el Cura en la cele“bracion ‘de la misa del pueblo y demás cargas: para el Curato rural de San Juan de la Torre,'en dic</t>
  </si>
  <si>
    <t>Berthier, General</t>
  </si>
  <si>
    <t>General Berthier</t>
  </si>
  <si>
    <t>nto de artillería. Todo lo concerniente á su tránsito Labia sido arre-rglado eí día anterior por el General Berthier, gefe del Estado Mayor General, El cuerpo de exército del Elector se había reunido en la ciudad y en sus Inmediaciones. El Mariscal Bernadotte fué recibido en Cassel por el Minist</t>
  </si>
  <si>
    <t>Berthier, Mariscal</t>
  </si>
  <si>
    <t>Mariscal Berthier</t>
  </si>
  <si>
    <t>riscal Bernadotte, el collar del Emperador: el Coronel General Beauharnais , el anillo de S. M.: ei Mariscal Berthier, el globo Imperial: el Sumiller de Corps, llevando la canastilla donde se pondrá el manto del Emperador: á la derecha y la izquierda de cada uno de estos grandes Oficiales, un Gen</t>
  </si>
  <si>
    <t>den de la Aguila Negra al Emperador de los Franceses, al Príncipe Murat, al Príncipe Cambaceres, al Mariscal Berthier, al Ministro de Relaciones exteriores, al Mariscal Bernadotte y ai General Duroc. Se sabe de cierto que la esquadra de Rochefort ha vuelto á entrar en este puerto cargada de los d</t>
  </si>
  <si>
    <t>dos cansas; pero por fortuna se cortó el incendio. París 28 de Junio. Ha llegado á esta capital el Mariscal Berthier, Ministro de la Guerra. Este año se ha celebrado el día del Corpus con tal magnificencia, y un concurso de fieles en toda lá Francia, de que no hay exemplo. Las procesiones han ll</t>
  </si>
  <si>
    <t>y á las 12 salió de esta capital el Juez mayor para cumplimentar á nuestros augustos Soberanos. El Mariscal Berthier, Ministro de la Guerra, llegó el S por la noche á Boloña, y al dia siguiente pasó revista á la primera división del cuerpo del centro. ESPAÑA. Madrid jo de Jidio. S. M. ha nombrad</t>
  </si>
  <si>
    <t>Teaser y el Plumper, que habían anclado cerca de las islas de Ghansey, á 4 leguas de Granville. El Mariscal Berthier se halla; actualmente pasando revista'á todos los cuerpos del exército expedicionario. / ' 1 SS. MM. han visitado en esta capital la Academia de música, y también han asistido al</t>
  </si>
  <si>
    <t>l art. v hacer lo que la acomode. Hecho por duplicado en Ulma el 17 de Octubre de 1805.—Firmado; el Mariscal Berthier.zz Mack. Estado jd/e los Regimientos encerrados en Ulma. Una partida del Regimiento de caballería de Schwarzemberg, huíanos; los Regimientos de Hohenlohe, dragones; Mack, coracero</t>
  </si>
  <si>
    <t>de la tarde el Emperador ha concedido una audiencia al General Mack; al salir de esta audiencia el Mariscal Berthier ha firmado con el General Mack una adición á la capitulación, que estipula que la guarnición de Ulma saldrá mañana 20. Hay en Ulma 27® hombres, 3® caballos, 18 Generales, y de 60</t>
  </si>
  <si>
    <t>9)t Capitulación adicional sobre la rendición de'Ulma.' El Mariscal Berthier, Mayor General del exército Francés, autorizado por orden expresa del Emperador de los Franceses, da su palabra de honor: ‘ i. Que «l exército Austríaco está hoy mas allá dei Inn,</t>
  </si>
  <si>
    <t>Se' yosptjfosj’y.dé s,nií;*,A 'Einjajtáo^zz'NapoUoft^Por orden, el May.oj* Generáf dél exército, el Mariscal Berthier. Por íá tarde eí Emperador quisó visitar a píe é incógnitoicodós los campamentos; pero ^ap^enas anduvo algunos pasos quando le conociéron. JNo es posible describir el entusiasmó l</t>
  </si>
  <si>
    <t>enemigo que hubiese podido rodear la derecha. . .El Emperador, con su .fiel compañero de guerra él Mariscal Berthier, su primer. Ayudante el Coronel general Junót, y todo su Estado mayor, se tallaba en reserva con los iq batallones de?, su guardia, y los ío batallones de granadexós.del General ,</t>
  </si>
  <si>
    <t>Bérthier, Mariscal</t>
  </si>
  <si>
    <t>Mariscal Bérthier</t>
  </si>
  <si>
    <t>Se nota que el Emperador ha recibido con agasajo á, este General. Este Príncipe ha firnjado con el Mariscal Bérthier el armistíciotsiguiente: ■■■ 1 J ' Armisticio cóiicluicio entre SS, MM. 11, de ¡Firamia y de Austria : ,,S. M, el Emperador de los Franceses y S. M. el Emperador de Alema*? liia , d</t>
  </si>
  <si>
    <t>nte la paz y buena armonía entre los dos Emperadores. Hecho por duplicado entre los infrascritos el Mariscal Berthier, Ministro, de la Guerra &amp;c¿, y el Príncipe Juan Lichtensteiu Scc.Ea Austerlitz á 6 de Diciembre de 1805. Mr. de Talleyrand marcha i Nicolsburg, donde se abrirán las negociaciones.</t>
  </si>
  <si>
    <t>Berthollet</t>
  </si>
  <si>
    <t>8.° inarquilla, á 15 rs. en rústica. Arte del blanqueo por medio del ácido muriático oxigenado, por Mr. Berthollet, y descripción y usos de un instrumento de prueba para el ácido muriático oxigenado, añil y óxido de manganeso, traducida del francés por D. Domingo García Fernandez: en 8.° marqu</t>
  </si>
  <si>
    <t>Bertrán, Ramón</t>
  </si>
  <si>
    <t>Ramón Bertrán</t>
  </si>
  <si>
    <t>27 de septiembre de 1805</t>
  </si>
  <si>
    <t>empleo de Alférez al Portaestandarte D. Pedro Cutie; y en el de cazadores de-Olivencia Ayudantía á D. Ramón Bertrán, Teniente deLde dragones de1 A lmansa; ; * En América. En el -Regimiento de dragones Provinciales de Mechoacan , en Nueva-España, se ha servido el Rey promover á Teniente al Alfér</t>
  </si>
  <si>
    <t>Bertrand</t>
  </si>
  <si>
    <t>$. S._Después pasó el Santo Padre á la sala destinada para instruir los ciegos de nacimiento, donde Mr. Bertrand, Director del Instituto, expuso los principios del método que siguen en la enseñanza. Por el sentido del tacto se suple el de la vista. Hay caractéres en relieve, que forman letra</t>
  </si>
  <si>
    <t>Bertrand, General</t>
  </si>
  <si>
    <t>General Bertrand</t>
  </si>
  <si>
    <t>es del Leck, y se forman almacenes al otro lado. S. M. está muy satisfecho del zelo y actividad del General Bertrand, su Ayudante de Campo, á quien ha enviado con freqüencia á reconocer el campo---- Ha mandado demoler las fortificaciones de la ciudad de Ulma y de Memmingen. Se espera al Elector</t>
  </si>
  <si>
    <t>ero rió pudiéron conseguirlo. Los primeros que pasaron el puente fuéron el Maris-*» cal Lannes y el General Bertrand. Las tropas han continuado su marcha sin detenerse en Viena. El Príncipe Murat ha sentado su quartel general en La casa del Duque Alberto. Se ha. encontrado en Viena mucha artille</t>
  </si>
  <si>
    <t>s. También hemos tomado mucha parte de sus bagages, y los soldados, han encontrado mucho dinero. El General Bertrand, que habia ido destacado después de la batalla cotí un ésquadron de la guardia, tomo un gran número de prisioneros, 19 piezas de artillería y mttchos Carros con efectos. El númeío</t>
  </si>
  <si>
    <t>Berzabal, Francisco</t>
  </si>
  <si>
    <t>Francisco Berzabal</t>
  </si>
  <si>
    <t>traordinario de Artillería de la plaza de Seu deUrgel ai Gu arda-Al macen reformado del propio ramo D. Francisco Berzabal. Ha venido ei Rey en proregar en la Vara de Alcalde mayor de la ciudad de Huesca, por ei tiempo de su Real voluntad, á D. Mariano Lobera. En la extracción dé la Real lotería execu</t>
  </si>
  <si>
    <t>Besía, Joaquín</t>
  </si>
  <si>
    <t>Joaquín Besía</t>
  </si>
  <si>
    <t>Id. id. Joaquín Besía..... Hijo de! Josef y de Angela Bounfante,</t>
  </si>
  <si>
    <t>Bessieres, Mariscal</t>
  </si>
  <si>
    <t>Mariscal Bessieres</t>
  </si>
  <si>
    <t>habido nunca, sin contar las tropas Italianas que se están instruyendo con tan buenos maestros. El Mariscal Bessieres hace executar las maniobras que el Emperador le ordena, y el Mariscal Jourdan manda la infantería.__ Se cree que el Emperador permanecerá mañana en el campamento, y después pasará</t>
  </si>
  <si>
    <t>ndado por los Generales Deroy y Verden, se situó en Ingolstadt: la guardia Imperial, mandada por el Mariscal Bessieres, se trasladó á Augsburgo, igualmente que la división de coraceros, á las órdenes del General de Hautpouit. El Príncipe Murat con las divisiones de dragones de Klein y de .Beaumont</t>
  </si>
  <si>
    <t>xó mas de 200 coraceros ó dragones escogidos en.elcampo dé batalla: hemos tomado 100 caballos. , El Mariscal Bessieres, Comandante de la guardia Imperial, acometió valerosamente fal enemigo, y le derrotó completamente! Era de ver como contrastaba él silencio dé la guardia y de los coraceros con lo</t>
  </si>
  <si>
    <t>mperial Rusa de á caballo; pero el Emperador no .-estaba lejos: percibió este movimiento;, mandó al Mariscal Bessieres ir al socorro de su derecha con sus invenci bles, y bien pronto las dos guardias vinieron á las manos. ' ^ El suceso no podía ser dudoso: en un momento quedó derrotada la guardia</t>
  </si>
  <si>
    <t>Bettersworth, Capitán</t>
  </si>
  <si>
    <t>Capitán Bettersworth</t>
  </si>
  <si>
    <t>ce, las- esquadras combinadas estuvieron en la Antigua el 8 de Junio, y él 20 del -mismo las vio el Capitán Bettersworth, que mandaba el Curioso, ¡a jos 33 grados , 12 minutos de latitud, y 58 grados de longitud O., con rumbo ah N. E. y luego al N. N. O1. Lord Nelson se disponía á seguir al enemigó</t>
  </si>
  <si>
    <t>Bettersworth-ha, Capitán</t>
  </si>
  <si>
    <t>Capitán Bettersworth-ha</t>
  </si>
  <si>
    <t>u Resultado-. . * El Almirantazgo ha comunicado el 10 las noticias siguientes al café de Lloyd. El- Capitán Bettersworth-ha traído ayer pliegos del Lord Nelson, con fecha en la Autigua de 12 de Junio. En 4 de Junio había llegado este Almirante con su esquadra á la Barbada, y embarcó 2© hombres. Según p</t>
  </si>
  <si>
    <t>Bettoni</t>
  </si>
  <si>
    <t>mia, en donde mandó en persona diversas evoluciones y maniobras, y luego pasó revista á las tropas. Mr. Bettoni , Impresor del departamento, ha tenido el honor de presentar á S. M., .en una audiencia particular, un exemplar de dos cartas famosas de Salustio á César, recientemente traducidas</t>
  </si>
  <si>
    <t>Beurnonville, General</t>
  </si>
  <si>
    <t>General Beurnonville</t>
  </si>
  <si>
    <t>as de Senadores al Cardenal Fesch, Arzobispo de León; ai Cardenal Cambaceres, Arzobispo de Rúan; al General Beurnonville, Embaxador cerca de S. M. Católica; á Mr. Semonville, Embaxador cerca del Gobierno Bátavo; á Mr. Daguesseau, Ministro Plenipotenciario en Dinamarca; á Mr. Hedouville, General de D</t>
  </si>
  <si>
    <t>BíastLaserna</t>
  </si>
  <si>
    <t>28 de mayo de 1805</t>
  </si>
  <si>
    <t>el rayado para música en la carrera de S. Gerónimo, frente á la Soledad, se vende toda la música de D. BíastLaserna, Compositor de música del teatro de la Cruz: también hay tolas las canciones de las operetas que se han cantado en los teatros de esta Corte, para piano, y tam-s bien para guitarr</t>
  </si>
  <si>
    <t>Bickerton, Capitán</t>
  </si>
  <si>
    <t>Capitán Bickerton</t>
  </si>
  <si>
    <t>do cómo se levantó el bloqueo pretendido de Cádiz. Hallábase anclada la esquadra Inglesa, quando el Capitán Bickerton, Comandante del navio Renómbre , hizo señal de descubrir una esquadra Francesa. Inmediatamente el Almirante Orde mandó picar cables, siendo tal la precipitación y confusión ; que</t>
  </si>
  <si>
    <t>Bickeston, Almirante</t>
  </si>
  <si>
    <t>Almirante Bickeston</t>
  </si>
  <si>
    <t>a á Malta, de donde se cree que pasará á guarnecer la plaza de Alexandría con tropas Británicas. El Almirante Bickeston se ha reunido á la expedición con 4 navios de línea. Hoy se ha hecho á la vela para Constantinopla Sir Home Popham á bordo del Diadema de 64: lleva 50o® libras esterlinas en pesos</t>
  </si>
  <si>
    <t>Biiiot</t>
  </si>
  <si>
    <t>a, reuniéndose para conseguirlo con ios Príncipes Indios. Sus sospechas se fundan, en la llegada de Mr. Biiiot y el General Decaen á Pondichery, después de la conclusión del tratado de Amiens,y efri la conducta que observaron ámbos en aquel establecimiento; pues le parecía ademas que la intenc</t>
  </si>
  <si>
    <t>Biingas, Juan Antonio</t>
  </si>
  <si>
    <t>Juan Antonio Biingas</t>
  </si>
  <si>
    <t>argento Mayoj: del;Regigijento de, Milicias de Ronda: para el Corregimiento de la ciudad de Lorca á D. Juan Antonio Biingas: para el de la villa de Réynosa á D. Froylan Ramón de Araujo ; y para la Vara de. Alcalde mayor de las villas de Bes y las Casas á D. Faustino Peynado.‘ ■ An 'América.- S. M. se h</t>
  </si>
  <si>
    <t>Bikerton, General</t>
  </si>
  <si>
    <t>General Bikerton</t>
  </si>
  <si>
    <t>.......... v 74 A la vela en conserva de un navio Sueco. Aguila................... 74 A la vela. El General Bikerton, Mayor de la esquadra, fue herido en el combate, y murió á las 3 horas. En cumplimiento de lo mandado en Real Pragmática-Sanción de 30 de</t>
  </si>
  <si>
    <t>Billiet, Capitán</t>
  </si>
  <si>
    <t>Capitán Billiet</t>
  </si>
  <si>
    <t>corbetas apresadas por las fragatas de S. M. la Hortensia, Capitán Lameillerie, y la Incorruptible, Capitán Billiet, que intentaron proteger el convoy de 40 velas que escoltaban, se quedaron á la retaguardia para hacer frente á las fragatas Francesas que las daban caza. _^»La Incorruptible atac</t>
  </si>
  <si>
    <t>Binkmane</t>
  </si>
  <si>
    <t>tan complacido y satisfecho de esta respuesta , que ha mandado insertarla en la gazeta de la Corte. Mr. Binkmane, Enviado de Suecia en Berlín, ha comunicado otra nota, r se le ha respondido que j habiendo reclamado .la Suecia la .intervención, de Ía Rusia, S. M. Prusiana ha decidido correspo</t>
  </si>
  <si>
    <t>Bisson, General</t>
  </si>
  <si>
    <t>General Bisson</t>
  </si>
  <si>
    <t>a división de dragones del General Beaumont, y la i.a división del Mariscal Davoust, mandada por el General Bisson, se han situado en Lambach. El puente de Traun estaba cortado, y en su lugar se puso otro de barcas. El enemigo quiso defender la orilla izquierda ; el Coronel Valterre, del Regim</t>
  </si>
  <si>
    <t>y murieron un General Ruso y un Coronel de húsares Austríaco. La herida que recibió en un brazo el General Bisson es bastante grave, de suerte que no le dexará servir el resto de la campaña, bien que no es mortal. El Emperador ha conferido el mando de esta división al General Caffarelli. ' Desd</t>
  </si>
  <si>
    <t>Blakman, Capitán</t>
  </si>
  <si>
    <t>Capitán Blakman</t>
  </si>
  <si>
    <t>embre. El célebre corsario Francés de Dunkerque, nombrado el Contra-Almirante Magon, mandado por el Capitán Blakman, ha sido apresado por la corbeta de S. M. the Crazier, y ha entrado en Yarmouth. Se han recibido ayer noticias en esta capital de haberse celebrado en Dublin una junta de Católica</t>
  </si>
  <si>
    <t>Blancas, Juan</t>
  </si>
  <si>
    <t>Juan Blancas</t>
  </si>
  <si>
    <t>tán, D. Francisco Escaso: y er» el primer batallón de Voluntarios de Aragón Tenencia al Subteniente D. Juan Blancas, y Subtenencia de bandera al Sargento primero D. Jorge Castelnou. El Rey se ha servido conceder Ayudantía en el Regimiento de infantería de Ñapóles al Teniente D. Josef Borlasca:</t>
  </si>
  <si>
    <t>Blanco, Francisco</t>
  </si>
  <si>
    <t>Francisco Blanco</t>
  </si>
  <si>
    <t>nela del Regimiento- de infantería de Africa al Comandante del de la Princesa, graduado de Coronel, D. Francisco Blanco: la Comandancia del tercer Batallón del de León al Sargento mayor del de España, graduado de Coronel, D. Josef Cruells; y Tenencia en el de Voluntarios de Estado al Subteniente D.</t>
  </si>
  <si>
    <t>Id. Art. Francisco Blanco. Hijo de Cipriano y de María García,</t>
  </si>
  <si>
    <t>/■Francisco Blanco... Hijo de Juan , natural de Camarinas en GaO ^</t>
  </si>
  <si>
    <t>Blanco, Juan</t>
  </si>
  <si>
    <t>Juan Blanco</t>
  </si>
  <si>
    <t>ros D. Cayetano Perez, D. Pedro Palao y D. Vicente Fernandez Texéyro ; á Ayudante mayor el Teniente D. Juan Blanco; a Tenientes de granaderos los de fusileros D. Antonio Coudougnan, D. Rafael Croquer y D. JoseF Cortes; á Tenientes los Subtenientes D. Josef Decloiiet, D. Luis</t>
  </si>
  <si>
    <t>Blanco, Juan Manuel</t>
  </si>
  <si>
    <t>Juan Manuel Blanco</t>
  </si>
  <si>
    <t>Id. Ayud. Juan Manuel Blan­ 7 Hijo de Pedro y de María Fernandez,</t>
  </si>
  <si>
    <t>Blanco, Martín</t>
  </si>
  <si>
    <t>Martín Blanco</t>
  </si>
  <si>
    <t>ad, D. Benito Rodríguez, D. Rodrigo Plaza, y D. Josef Benito Florez; y á los segundos de á 16 pesos D. Martin Blanco, D. Henrique Moro, y D. Blas Guirao. Se previene á todas Jas personas á quienes conviniere el aviso, que los Señores F. R. Pcyer y compañía, del comercio de Dresde en el Electorad</t>
  </si>
  <si>
    <t>Blanco, Pedro</t>
  </si>
  <si>
    <t>Pedro Blanco</t>
  </si>
  <si>
    <t>tagena de Indias, las que se expresan, á saber: á la Marquesa de Valdchoyos, difunta, 3500 duros: á D. Pedro Blanco 240: á Doña Salvadora Mendiol 300 pesos fuertes por sí, y 200 dichos por parte de su hermano: á la Señora Meñaca, viuda de D. Patricio Yangíie, 200 pesos fuertes poco mas ó menos:</t>
  </si>
  <si>
    <t>Blandin, Santiago</t>
  </si>
  <si>
    <t>Santiago Blandin</t>
  </si>
  <si>
    <t>Brunwick, de Londres, que fue apresado el 27 de Abril por él corsario Español Napoleón, su armador D. Santiago Blandin, del comercio de esta plaza: la carga de dicha presa consiste en madera de caoba y, palo «ampeche» . » Madrid 2 T de Mayo. S. M. se ha servido nóínbrar para la Iglesia y Obispado</t>
  </si>
  <si>
    <t>Blasco de Sólís, Antonio</t>
  </si>
  <si>
    <t>Antonio Blasco de Sólís</t>
  </si>
  <si>
    <t>: para el Beneficio Sacristía del lugar de IIolgueraven la Diócesis de Coria, por fallecimiento de D. Antonio Blasco de Sólís, á D. León Martin de Valle y Gaseo , con carga de precisa personal residencia; y para el Beneficio simple servidero de la Parroquia de Sto. Domingo de Silos de la ciudad deUbeda,</t>
  </si>
  <si>
    <t>Blasco, Francisco</t>
  </si>
  <si>
    <t>Francisco Blasco</t>
  </si>
  <si>
    <t>n pérdida de todo lo relativo á la expedición de trabajos hidrográficos en que se hallaba empleado. Don Francisco Blasco, Cirujano titular de la villa de Fitero en el Reyrio de Navarra, -y deLReal Monasterio del Orden del Cistér y Baños termales dé la misma, no pudiendo lograr el pus vacuno para la</t>
  </si>
  <si>
    <t>a la inoculación se halla caÍ ificada con otros varios hechos ademas del acreditádo por el referido Don Francisco Blasco, advirtiendo que para conservar las costras por bastante tiempo es suficiente envolverlas en un papel ; cuyo método, ademas de ser muy cómodo y ventajoso para remitirlas á largas</t>
  </si>
  <si>
    <t>Blasco, Juan Antonio</t>
  </si>
  <si>
    <t>Juan Antonio Blasco</t>
  </si>
  <si>
    <t>oquial de la villa de Alagon, Diócesi de Zaragoza, vacante por fallecimiento de D. Agustín Gómez, á D. Juan Antonio Blasco ; y para el Beneficio de los Santos Juanes de la Parroquia de Rusafá, extramuros de la ciudad de Valencia, vacante por muerte de D. Andrés Grau, á Don Vicente Palau. S. M. se ha s</t>
  </si>
  <si>
    <t>Blay, Ramón</t>
  </si>
  <si>
    <t>Ramón Blay</t>
  </si>
  <si>
    <t>ver; y el empleo de segundo Ayudante en el segundo batallón dé Voluntarios de Barcelona al Teniente D. Ramón Blay. El Sr. Generalísimo Príncipe d$ la Paz ha comunicado, con fecha de xi del corriente, alSr. Ministro de Hacienda la Real Orden siguiente. „En el Manifiesto de 14 de Diciembre últi</t>
  </si>
  <si>
    <t>Blazquez, Alonso</t>
  </si>
  <si>
    <t>Alonso Blazquez</t>
  </si>
  <si>
    <t>ciudad : para el Beneficio de la villa de Flores de Avila, en aquel Obispado, vacante por muerte de D. Alonso Blazquez, á D. Ramón Bañez, Gura Párroco del Lugar deValbarda en el mismo Obispado , con obligación de residencia personal y demas cargas que tiene anexas; y para el empleo de Administrado</t>
  </si>
  <si>
    <t>Boades, Juan</t>
  </si>
  <si>
    <t>Juan Boades</t>
  </si>
  <si>
    <t>Juan Boades............ Hijo de Pedro, natural de S. Felipe de Xáti-}</t>
  </si>
  <si>
    <t>Bobadilla y Eslava, Antonio</t>
  </si>
  <si>
    <t>Antonio Bobadilla y Eslava</t>
  </si>
  <si>
    <t>D. Aniceto Perez. ^ ,. ,, . JD. Manuel Briones. Guardias Marinas..................................\D. Antonio Bobadilla y Eslava. Heridos. Teniente de Navio.............................. D. Pedro Nuñez. fD. Josef Linares. ' . j T- ^ J D. Domingo Monteverde. Tenientes de Fragata..................... D vicen</t>
  </si>
  <si>
    <t>Bobadilla, Rafael</t>
  </si>
  <si>
    <t>Rafael Bobadilla</t>
  </si>
  <si>
    <t>uzeta id.: D. Joaquin Jorganes id.: D. Luis Moreno id.: D. Rafael de Luna id. Tenientes de Fragata. D. Rafael Bobadilla, muerto; D. Martin Urias id.: D. Pedro Moriano id.: D. Josef Roso id.: D. Manuel Ribera, herido: D. Juan del Busto id.: D. Ignacio del Valle id. Teniente de Bornbarela. D. Juan de</t>
  </si>
  <si>
    <t>Boinaga, Juan</t>
  </si>
  <si>
    <t>Juan Boinaga</t>
  </si>
  <si>
    <t>r del mismo áD. Martin Garmendia, y ComÍ&gt;añía en el propio á D. Lino Saenz: Tenencia en el de lea á D. Juan Boinaga: Tenencia veterana en la Plana mayor blanca del batallón de Pardos de Lima á D. Ignacio Fraga; y Subtenencia de la misma clase en la Asamblea de Arica á Dj Faustino Zuazo. Igualme</t>
  </si>
  <si>
    <t>Bolangero, Manuel</t>
  </si>
  <si>
    <t>Manuel Bolangero</t>
  </si>
  <si>
    <t>de Capitán, D. Francisco Xaraqúemada: en el de Zamora Ayudantía al Teniente , graduado de Capitán , D. Manuel Bolangero: en el de Sevilla Tenencia al Subteniente de granaderos D. Manuel Aroche; y en el de Irlanda Subtenencia d&amp; bandera al Sargento primero D. Domingo la Crampa.</t>
  </si>
  <si>
    <t>Bolognini, Mateo</t>
  </si>
  <si>
    <t>Mateo Bolognini</t>
  </si>
  <si>
    <t>Ríos, agregado á la misma Legación; á D. Agustín Diiboyfe, Oficial de las Guardias de S. M.C.; y á D. Mateo Bolognini, Te-i mente de Fragata. , ^ FRANCIA. , París 2/ de Mayo. El 23, dia de la coronación del Emperador como Rey de Italia, se manifestó la alegría pública por todas partes en esta cap</t>
  </si>
  <si>
    <t>Bolton</t>
  </si>
  <si>
    <t>4'6S país, y no contribuyen n! con un solo schélin. Se habla de representar sobre este punto. Mr. Bolton, que está encargado dé poner un nuevo cuño sobre los pesos duros de España, que el Banco pone en circulación, ha acuñado 858,24a en un año. Lord Hawkesbury ha reemplazado á Lord M</t>
  </si>
  <si>
    <t>Boltri, Miguel</t>
  </si>
  <si>
    <t>Miguel Boltri</t>
  </si>
  <si>
    <t>el Beneficio simple de la Parroquia de Gallegos, en el Obispado de Oviedo, vacante por renuncia de D. Miguel Boltri, á D. Nicolás Trelles, Capellán del Real hospital de aquella ciudad;, y para ?elBeneficio rural de Alixar en la Vicaría de S. Lúcar, Arzobispado de Sevilla, vacante por no haber t</t>
  </si>
  <si>
    <t>Bona, Gerónimo</t>
  </si>
  <si>
    <t>Gerónimo Bona</t>
  </si>
  <si>
    <t>a, con fecha de 8 de Noviembre, que mas de una semana antes de la salida de las fragatas Francesas, Mr. Gerónimo Bona&gt;arte se habia hecho á la vela con su esposa de Nueva-York á bordo de Ía Dido, que regresaba á Francia. En ios 15 dias que precediéron á la salida de las fragatas , no se admitió á</t>
  </si>
  <si>
    <t>Bonapartc, General</t>
  </si>
  <si>
    <t>General Bonapartc</t>
  </si>
  <si>
    <t>, Alemania, Indias Oriéntales y Occidentales , y en Egipto á la llegada dei exército Francés con el General Bonapartc,han tratado por sí ursinos dichas enfermedades: la tercera trata del conocimiento de las referidas fiebres, y ordena el método mas propio para conseguir su total curación: la quar</t>
  </si>
  <si>
    <t>Bonaparte, Gerónimo</t>
  </si>
  <si>
    <t>Gerónimo Bonaparte</t>
  </si>
  <si>
    <t>rácter y dignidad. $, S. comió» este dia coa la Reyna Regente, que. salió» ¿ recibirle ¿ Cafagiolo. Mr. Gerónimo Bonaparte, pasando por Gónova, se alojp en casa del Ministro Plenipotenciario Salicetti.</t>
  </si>
  <si>
    <t>Mr. de Caulaincourty Caballerizo mayor, y para Mr. JBarbé-'-Miarbdis, Ministro del tesoro público. Mr. Gerónimo Bonaparte se halla todavía en Genova. El Ministro de Hacienda y S. A. S. el Archí-Tesorero han sido llamados por ei Emperador ; lo que hace creer que no vendrán SS. MM. tan pronto como se d</t>
  </si>
  <si>
    <t>mpor-. tante es la reunión de ios exércitos Bávaros, Badeses y Wurtemburgueses al exército Francés. Mr. Gerónimo Bonaparte, que ha sostenido el honor y la dignidad de la bandera Francesa en Argel con tanta actividad como nobleza, se halla en este momento en París. El Príncipe Josef, Gran Elector, perm</t>
  </si>
  <si>
    <t>Bonenzy, Andrés</t>
  </si>
  <si>
    <t>Andrés Bonenzy</t>
  </si>
  <si>
    <t>l de Wimpnen á Teniente al Subteniente D. Pedro Debost; á Subteniente de granaderos al de fusileros Don Andrés Bonenzy ; y á Subteniente de bandera ál Cadete D. Francisco VIVÍS. ' - ■ ^ ’ : y •' S. M. se ha servido conferir el Gobierno militar y político de la. plaza de S. Fernando de Figüeras al</t>
  </si>
  <si>
    <t>Bonet, Antonio</t>
  </si>
  <si>
    <t>Antonio Bonet</t>
  </si>
  <si>
    <t>servido nombrar para una Canongía de la Catedral de Gerona, vacante por muerte de D. Juan Torra, á D. Antonio Bonet, Dignidad de Capiscol de la Colegial de S. Feliu de la misma ciudad: para otra de la Colegial de Barcelona, vacante por promoción de D. Josef Espinos á otra de la Catedral de aque</t>
  </si>
  <si>
    <t>Bonhomme, Teniente General</t>
  </si>
  <si>
    <t>Teniente General Bonhomme</t>
  </si>
  <si>
    <t>chaud se han convenido en repartir la República en cinco divisiones militares. Lá 1.a la mandará el Teniente General Bonhomme, que tendrá su quartel general en Groninga ; la 2.a el General Guerin-Etoquigny, en Utrecht ; la 3.a el General Gratien, en el Helder; la 4.a el General Baccop , en el Brille; y l</t>
  </si>
  <si>
    <t>Bonifacio Glivencia</t>
  </si>
  <si>
    <t>ahora le han ganado D. Ignacio Emparan, D..Manuel Abbad , D.-Ramón de ZuJoága, D..RamouEernandez,'y D. Bonifacio Glivencia, quiénes dieron; por sentado que la: religión cristiana es verdaderamente, revelada por Dios, y lo probáron por los milagros de Jesucristo y de los Apóstoles, por .las protegías y</t>
  </si>
  <si>
    <t>Bonifacio Ulrích</t>
  </si>
  <si>
    <t>Betschart á Subteniente al Cadete D. Domingo Schnuringer; y en el de Reding á Subteniente al Cadete D. Bonifacio Ulrích. En el Regimiento de caballería de laReyna se ha servido el Rey conferir Compañía al Ayudante, graduado de Capitán, D. Josef Cortés: en el de Borbon Ayudantía al Teniente D. Juan</t>
  </si>
  <si>
    <t>Bonilla, Francisco</t>
  </si>
  <si>
    <t>Francisco Bonilla</t>
  </si>
  <si>
    <t>aldés, Comisario Ordenador, Regidor electivo,Diputado de escuelas, asistiendo por convite los Sres. D. Francisco Bonilla, Vicario Eclesiástico, y D. Antonio Martinez, Cura ecónomo de su Parroquial, con un numeroso concurso de Eclesiásticos seculares y regulares, y otras personas ilustradas del puebl</t>
  </si>
  <si>
    <t>Bonilla, Juan</t>
  </si>
  <si>
    <t>Juan Bonilla</t>
  </si>
  <si>
    <t>igera igualmente se ha servido S. M. promover: en el de cazadores de Almansa á Ayudante al Teniente D. Juan Bonilla; y en el de cazadores de la Reyna á Alférez al Cadete D. Ramón Moreno de Guerra. El bergantin correo de la Real Armada, nombrado el Casilda, salió de Montevideo el 13 de Noviembre</t>
  </si>
  <si>
    <t>Bonnefqnt</t>
  </si>
  <si>
    <t>cretó’de ;S. M. I.yR. sobre ios transportes militares désdé T^rin á Ferrará; ;E1 4.Q esiuna nota de Mr. Bonnefqnt-, sift firma, que pidé relaciones ¿stadisticas del Po. Después de este reconocimiento se notificó á Prom y a Costanzo que quedaban ari estados, y se les puso una guardia. No supe s</t>
  </si>
  <si>
    <t>Bonneti, Pedro</t>
  </si>
  <si>
    <t>Pedro Bonneti</t>
  </si>
  <si>
    <t>.. Gerónimo Knapp; á supernumerario al Brigadier D. Bartoloiné Georget; á ¡Brigadier al Subrigadier D. Pedro Bonneti ; á Subrigadier ai Cadete Garzón D- Juan Delaris; á Cadete de número- al supernumeraria D. Juan de Macia; y á supernumerario al Guardia D. Víctor Bourg : y eñ Ja Compañía American</t>
  </si>
  <si>
    <t>Borau, Juan Felipe</t>
  </si>
  <si>
    <t>Juan Felipe Borau</t>
  </si>
  <si>
    <t>la Colegial de Calatayed, Diócesi de Tarazona, vacante por fallecimiento de D. Vicente Martínez, á D. Juan Felipe Borau, Capellán retirado del Regimiento de infantería de Granada: para el Oficio regular de Refitolero del Real Monasterio de S. Cugat del Vallés, vacante por promoción de D. Fr. Tomas</t>
  </si>
  <si>
    <t>Borghese, Príncipe</t>
  </si>
  <si>
    <t>Príncipe Borghese</t>
  </si>
  <si>
    <t>el trono, según les correspondía por sus clases.__ En seguida introduxo el Maestro de Ceremonias al Príncipe Borghese, que igualmente recibió la banda de manos de S. M. El Emperador, sentado y cubierto, habló después en estos términos: „ Señores: La gran decoración os acerca á este trono sin exig</t>
  </si>
  <si>
    <t>Borgia, Cardenal</t>
  </si>
  <si>
    <t>Cardenal Borgia</t>
  </si>
  <si>
    <t>torres de S. Juan, traían á la memoria estas palabras : Christus vincit , regnat, imperat. Ei Emo. Cardenal Borgia salió de Roma acompañando á S. S. en perfecta salud, y sin experimentar ninguna incomodidad, á pesar de las fatigas del víage, hasta llegar á Pont de Beauvoisin, donde pasó la noc</t>
  </si>
  <si>
    <t>gran Capitán Romano, que murió hace 1700 añbs, y se lo regaló á Mr. Blumenbach S. Erna, el difunto Cardenal Borgia, con quien tenia íntima correspondencia. Francfort 21 de Junio. Las cartas de Viena nos especifican mas las noticias concernientes á la situación actual de la Servia. Después de l</t>
  </si>
  <si>
    <t>Boria, Carlos</t>
  </si>
  <si>
    <t>Carlos Boria</t>
  </si>
  <si>
    <t>e Tineo en Asturias................... 3* 14.a AyuJ. Carlos Boria......... tural de la villa deCaleciete, Obispado de Tortosa............................................ IV 12.a id. Fí</t>
  </si>
  <si>
    <t>Borregony, Pedro</t>
  </si>
  <si>
    <t>Pedro Borregony</t>
  </si>
  <si>
    <t>2 de julio de 1805</t>
  </si>
  <si>
    <t>e análisis en un autor castellano y otro latino. Eí segundo dia dixo un discurso sobre la educación Don Pedro Borregony otro sobre el origen de la retórica D. Fernando Mon y Velarde; y luego fueron exáminados los de sintaxis y mayores en las traducciones de Nepote, cartas y oraciones de Cicerón, Li</t>
  </si>
  <si>
    <t>Borruitiner, Joaquín</t>
  </si>
  <si>
    <t>Joaquín Borruitiner</t>
  </si>
  <si>
    <t>anes á los Tenientes D. Domingo Branly, Ayudante mayor, D. Josef María .de Solves, de granaderos, y D. Joaquín Borruitiner, Ayudante mayor graduado de Capitán; á Ayudantes mayores á los Tenientes D. Fernando de la Puente , de granaderos, concediéndole también el grado de Capitán que .tiene afecto por</t>
  </si>
  <si>
    <t>Bourcier, General</t>
  </si>
  <si>
    <t>General Bourcier</t>
  </si>
  <si>
    <t>los caminos de Sokolnitz y de'Tenia consigo tá'división de Frianty los dragones de la división.del. General Bourcier. La división del General Gudin debía ponerse ,-.m¿rx?ha::muy de.'mañana pará'^jcolsburg,• a fia dé* contener el cuerpo enemigo que hubiese podido rodear la derecha. . .El Emperado</t>
  </si>
  <si>
    <t>Bourdon, Coronel</t>
  </si>
  <si>
    <t>Coronel Bourdon</t>
  </si>
  <si>
    <t>o algunos hombres muertos y 6q heridos, y entre ellos el Coronel del 16 de cazadores Durosnes, y el Coronel Bourdon, del ir de dragones* El enemigo se ha retirado á muchas leguas.</t>
  </si>
  <si>
    <t>Bovets, Antonio</t>
  </si>
  <si>
    <t>Antonio Bovets</t>
  </si>
  <si>
    <t>18 de enero de 1805</t>
  </si>
  <si>
    <t>nos; y para una Canongía de la Colegial de Manresa, Diócesis de Vique, vacante por fallecimiento de D. Antonio Bovets, á D. Ramón Montaña. El Rey se ha servido conceder en el Regimiento de infantería de Valencia Tenencias á los Subtenientes D. Cristóbal Alfonso y D. Joaquín Gil de Bernabé; y en e</t>
  </si>
  <si>
    <t>Boy, Capitán</t>
  </si>
  <si>
    <t>Capitán Boy</t>
  </si>
  <si>
    <t>aut, favorito de Holkar, y que mandaba un cuerpo considerable de caballería, ha sido vencido por el Capitán Boy le, y luego muerto por uno de sus compatriotas, en cuya casa se habia retirado. Otros muchos Generales de Holkar, que se le habían juntado en Agrá, se han entregado á discreción d</t>
  </si>
  <si>
    <t>Bpguis</t>
  </si>
  <si>
    <t>, por la escribanía del número de ella, que exerce D. Juan de Répide. Se desea saber el paradero de Mr. Bpguis, Cirujano que fué de Reales Guardias Walonas de España, para comunicarle cierto asunto de intereses, que están á cargo de D. Santiago Gascón, Visitador general de la Renta de Sali</t>
  </si>
  <si>
    <t>Brady, General</t>
  </si>
  <si>
    <t>General Brady</t>
  </si>
  <si>
    <t>muestras de querer apoderarse del territorio que pretende pertenecerle el Obispo de Montenegro. El General Brady envió 6 compañías para arrojar de la montaña la gente que la ocupaba, y los Montenegrinos, que se habian tenido por Ru sos, se retiraron. Escriben de Viena que la Legación Francesa,</t>
  </si>
  <si>
    <t>6 niños en las dos Galitcias. Las noticias de la Dalmacia no dexan de dar todavía algún cuidado. El General Brady ha enviado un Oficial superior á Zara á pedir prontos socorros contra los Montenegrinos, quienes, dicen, han conseguido algunas ventajas. Aseguran que un cuerpo de tropas Austríac</t>
  </si>
  <si>
    <t>ncfort de Febrero. En Viena hay noticias muy lisonjeras de la Dalmacia, cuyo Comandan te en gefe,el General Brady , ha conseguido que los Montenegrinos $e obliguen á no inquietar las fronteras Austríacas, y á suministrar víveres á las tropas Imperiales, restituyendo los desertores Austriacos</t>
  </si>
  <si>
    <t>Brahatn</t>
  </si>
  <si>
    <t>pérdida ha sido por nuestra parte. PARLAMENTO IMPERIAL. Cámara de los Comunes. El .5 de Abril habló Mr. Brahatn acerca dei estado de las islas de las Indias Occidentales. Observó que las últimas noticias habían causado grande consternación, sobre todo en las clases inferiores; por loque cre</t>
  </si>
  <si>
    <t>Brandt, Capitán</t>
  </si>
  <si>
    <t>Capitán Brandt</t>
  </si>
  <si>
    <t>rios, podrían salir para sus destinos ; pero el i.° de Febrero aun no habia tenido contestación. El Capitán Brandt, Comandante del buque la Paciencia, ha hecho publicar en las Gazeta* de Ncrwega, que viniendo de St. Ives, el 23 de Noviembre último, y hallándose á la altura de 49 grados y 18 mi</t>
  </si>
  <si>
    <t>Branly, Domingo</t>
  </si>
  <si>
    <t>Domingo Branly</t>
  </si>
  <si>
    <t>or al Capitán del de la Havana D. Juan Josef de Estrada; y ha promovido á Capitanes á los Tenientes D. Domingo Branly, Ayudante mayor, D. Josef María .de Solves, de granaderos, y D. Joaquín Borruitiner, Ayudante mayor graduado de Capitán; á Ayudantes mayores á los Tenientes D. Fernando de la Puen</t>
  </si>
  <si>
    <t>Brantzen</t>
  </si>
  <si>
    <t>nario estará formada para i.° de Agosto, y la casa se arreglará conforme corresponde á su dignidad. Mr. Brantzen, que asistió como Diputado Bátavo á la coronación del Emperador Napoleón, ha sido nombrado por S. E. Embaxadot de esta República en Francia. El 5 se celebró un Consejo extraordina</t>
  </si>
  <si>
    <t>Braulio Henriquez</t>
  </si>
  <si>
    <t>s á los Tenientes D. Vicente Ten de Arista, D. Joaquín Velarde, D. Gonzalo Cueto, D. Julián Solana, D. Braulio Henriquez y D. Josef Jalón; y á Tenientes á los Subtenientes D. Luis Mazuelo, D. Antonio Ortiz de Zarate, D. Domingo Antonio Loriga, D. Joaquín Montenegro, D. Miguel Panes, D. Ramón Cucalón, D.</t>
  </si>
  <si>
    <t>Bravo, Estéban</t>
  </si>
  <si>
    <t>Estéban Bravo</t>
  </si>
  <si>
    <t>26 de abril de 1805</t>
  </si>
  <si>
    <t>gidor de esta villa, y de conformidad de los interesados en la testamentaría de Estéban Bravo, vecino que fué de está Corte é sé íiiaftda sacar á pública subasta, por término de 20 dias, contados desde el 19 de este mes, una casa perteneciente á la misma, sita en la calle de la Pu</t>
  </si>
  <si>
    <t>Bravo, Francisco</t>
  </si>
  <si>
    <t>Francisco Bravo</t>
  </si>
  <si>
    <t>ero y Fuster, y de fusileros á D. Luis de Heredia, D. Gregorio Hernández Prieto, D. Manuel Bermejo, D. Francisco Bravo, D. Hilario Chavez, D. Josef Pe</t>
  </si>
  <si>
    <t>Brigloer, Pedro</t>
  </si>
  <si>
    <t>Pedro Brigloer</t>
  </si>
  <si>
    <t>muerto: D. Cayetano Picado id.: D. Ramón Echague id.: D. Pedro Nuñez, herido: D. Josef Losada id.: D. Pedro Brigloer id.: D. Manuel Huergo, contuso: D. Simón Londoño id.: D. Pedro Rato, herido. Alféreces de Fragata. D. Benito Bermudez de Castro, muerto: D. Juan Balsola, herido: D. Nicolás del Ri</t>
  </si>
  <si>
    <t>Briones, Manuel</t>
  </si>
  <si>
    <t>Manuel Briones</t>
  </si>
  <si>
    <t>to. Guardias Marinas. DvGerónimo Salas , muerto: D. Josef María Pardo id.: D. Josef Maymó, herido : D. Manuel Briones id.: D. Pedro Saez;Baranda id.: D. Aniceto Diaz Pimienta id.: D. Francisca Rúa id. Primer Piloto. D. Joaquin Hurtado, contuso. También ha dado parte al Sr. Generalísimo el Gefe de</t>
  </si>
  <si>
    <t>Brisson</t>
  </si>
  <si>
    <t>uos como modernos, y confirmados*por la experiencia, escritos en francés por el ciudadano Brisson, del Instituto nacional &amp;**., y traducidos al castellano por D. Julián Antonio Rodríguez? Esta obra consra de 4 tomos, de los quales los 3 primeros comprehende</t>
  </si>
  <si>
    <t>Británicos</t>
  </si>
  <si>
    <t>la qual han vivido hasta hora: en una palabra, el goce de todos los derechos de ciudadanos Británicos, como los que disfrutan los Protestantes. Leída la súplica en la Cámara de los Pares, propuso el Lord Grenville que se aceptase y pusiese sobre la tabla: lo qu</t>
  </si>
  <si>
    <t>Briz, Benito</t>
  </si>
  <si>
    <t>Benito Briz</t>
  </si>
  <si>
    <t>2 j ó mas acciones propias deberán hacerlo constar en la Secretaría del citado Banco, del cargo de D. Benito Briz, exhibiendo las mismas acciones, ó entregando testimonio suficiente que acredite su pertenencia, y los números que comprehendan, y si son adquiridas por endosos, á quien están lle</t>
  </si>
  <si>
    <t>Brochero, Ignacio</t>
  </si>
  <si>
    <t>Ignacio Brochero</t>
  </si>
  <si>
    <t>a Parroquia de Horcajada, en la Diócesi de Avila, vacante por muerte de D. Ramón Gutiérrez Plaza, á D. Ignacio Brochero; y para el de Cardeñosá, en la propia Diócesi, vacante por fallecimiento de D. Juan Fernandez de la Fuente, á D. Agustín Iglesias y Cervantes, Capellán curado del lugar de Nava-És</t>
  </si>
  <si>
    <t>Brousseín, Martín</t>
  </si>
  <si>
    <t>Martín Brousseín</t>
  </si>
  <si>
    <t>16 de abril de 1805</t>
  </si>
  <si>
    <t>l despacho de la Imprenta Real. j . : Ciencia del giro : dedicada al Exctnó. Sr. Duque de Osuna por D. Martin Brousseín, Presbítero y Catedrático de matemáticas: esta obra completa contiene muchas cosas nuevas y originales, útilísimas á los girantes, que parte de ellas son una correspondencia de lo</t>
  </si>
  <si>
    <t>Brown, Juan</t>
  </si>
  <si>
    <t>Juan Brown</t>
  </si>
  <si>
    <t>de Barcelona y de Cartagena. En este escrito se demuestra por los mismos principios del sistema del Dr. Juan Brown, que una enfermedad asténica, nacida de un contagio debilitativo, como el de la peste, puede curarse aumentando el mismo agente nocivo que la produxoj de donde se infiere que para</t>
  </si>
  <si>
    <t>Bruce, General</t>
  </si>
  <si>
    <t>General Bruce</t>
  </si>
  <si>
    <t>que viene á asegurar nuestra tranquilidad, no está distante de nuestras fronteras. ; ^‘ •' El Mayor General Bruce, Gobernador del Haya, y cuñado del Gran Pensionario, ha partido de esta ciudad para el quartel general del Emperador Napoleón, con encargo de felicitar á S. M. I. sobre los.asombr</t>
  </si>
  <si>
    <t>ordenanzas militares. Concedido.-rKuffstein á 10 de Noviembre de 1805. Siguen las firmas. El 15 el General Bruce» cuñado del Gran Pensionario de Holanda, lia</t>
  </si>
  <si>
    <t>Bruix, Almirante</t>
  </si>
  <si>
    <t>Almirante Bruix</t>
  </si>
  <si>
    <t>Boloña g de Abril. Ayer se celebraron en esta Parroquia las honras fúnebres á la buena memoria del Almirante Bruix. Los Oficiales militares y civiles de la marina, los Estados mayores y las Administraciones del exército, se reuniéron en casa dél Mariscal, Comandante en gefe, y le acompañáron a</t>
  </si>
  <si>
    <t>ficio divino^ un Oficial del Estado mayor de la esquadrilla leyó el papel de ios servicios., que el Almirante Bruix había hecho á su patria. Troyes 7 de Abril. El Emperador salió de aquí ayer por la mañana después de haber dexado bastantes ihuestras de sú bondad. Al dia siguiente de su llegada</t>
  </si>
  <si>
    <t>Brune de Constantinopla, Mariscal</t>
  </si>
  <si>
    <t>Mariscal Brune de Constantinopla</t>
  </si>
  <si>
    <t>DEL MARTES 19 DE MARZO DE 180J. TURQUIA. Constantinopla jo de Diciembre de 1804, Antes de salir el Mariscal Bruñe de Constantinopla remitió al ReissEffendi una copia de la nota que el Ministro de Relaciones exteriores de Francia, Mr. Tailleyrand, entregó á Aleb-Effendi, Embaxador de la Puerta en Paris. En ella</t>
  </si>
  <si>
    <t>Brune, General</t>
  </si>
  <si>
    <t>General Brune</t>
  </si>
  <si>
    <t>ha ocasionado la detención del corsario. El 9 de este mes ha celebrado, con la mayor solemnidad, el General Bruñe la fiesta de la coronación de su Soberano : se ha cantado un TV De itm en la ig'esia de S. Luis &gt; y después ha habido un suntuoso banquete, y salvas de artillería de todas las embarc</t>
  </si>
  <si>
    <t>ID DEL MARTES 12 DE FEBRERO DE 180y. TURQUIA. Constan!impla jo de Noviembre de 1804. A petición del General Bruñe, Embaxador de Francia, se le ha concedido una escolta para acompañarle en su travesía por la Turquía Europea. Esta escolta se compone de un Oficial, y suficiente número de tropa;</t>
  </si>
  <si>
    <t>Brune, Mariscal</t>
  </si>
  <si>
    <t>Mariscal Brune</t>
  </si>
  <si>
    <t>do de Rusia en particular. El Egipto continúa presentando la imagen de la mas horrible anarquía. El Mariscal Bruñe, Embaxador Francés, ha conseguido por último una declaración por escrito, en la qual promete el Gran Señor reconocer á Napoleón 1 baxo los títulos de Emperador y de Padischach, de</t>
  </si>
  <si>
    <t>Francesa, residente en aquella capital, ha recibido varios despachos , con orden de entregarlos al Mariscal Bruñe al paso por allí de vuelta de Constantincpla. Se ha confirmado la triste noticia de haber recaído peligrosamente enfermo el Elector de Hesse,por lo qual se han reunido en Cassel t</t>
  </si>
  <si>
    <t>s freqiientemente entre ambos partidos; pero hasta ahora no se han dado ningún combate decisivo. El Mariscal Bruñe , Embaxador de Francia, ha recibido estos últimos dias un correo de París con las instrucciones que aguardaba de su Corte. Inmediatamente entregó una nota de oficio, exponiendo qu</t>
  </si>
  <si>
    <t>tantinofia 20 deDiciembre. , . En la semana anterior llegó aquí; el correo que esperaba de París el Mariscal Bruñe, Embaxador de Francia; Tráxole con efecto la orden de su Corte para salir de esta capital dentro de 4 dias, en el caso de no haber reconocido la Puerta formalmente al Emperador, h</t>
  </si>
  <si>
    <t>ier , Comisario de Relaciones comerciales del Imperio Francés en Amsterdam. Leyden $ de Febrero. El Mariscal Bruñe , que se hallaba de Embaxador de Francia cerca de la Puerta Otomana, ha escrito ai Encargado de Negocios de su nación en Viena, Mr. Dodun, su salida de Constantinopla. La carta es</t>
  </si>
  <si>
    <t>eron al banquete y al bayle muchos miembros del Cuerpo Diplomático. Se han recibido aquí cartas del Mariscal Bruñe, con fecha de Bucharest. El Hospodar de Valaquia envió, á algunas leguas de distancia, un grueso destacamento de caballería para que le sirviese de escolta hasta aquella capital.</t>
  </si>
  <si>
    <t>modamente soportar el gasto que requiere el nuevo uniforme. Todavía no ha llegado á esta capital el Mariscal Bruñe, ni se sabe de positivo cosa alguna concerniente á su viage sino que en Buchare^t le recibió con la mayor solemnidad el Hospodar de Valaquia, que habia ido á su encuentro. Nuestro</t>
  </si>
  <si>
    <t>dispensables se venderán á precios mas tativos. ’ ALEMANIA. 1 * Viena / z t.s, de Febrero. , ... El Mariscal Bruñe, Embaxador de Francia en Constantinopla, ha pasado ya la frontera de Hungría, y se le espera en esta, capital muy en</t>
  </si>
  <si>
    <t>fragata Inglesa la Leda. El Sund está todavía cubierto de yelo. ■ ALEMANIA. Viena 20-de Febrero. El Mariscal Bruñe, Embaxador de Francia cerca de la Puerta Otomana , llegó el 2 del corriente á HeTmanstadt en Transilvania , acompasado de su. esposa. Le ha recibido y cumplimentado en la frontera</t>
  </si>
  <si>
    <t>representan á Baco tqdavía niño, á Mercurio, y á varias ninfas. FRANCIA. Strasburgo $ de Marzo. El Mariscal Bruñe, Embaxador del Emperador de los Franceses cerca de la Puerta Otomana, ha llegado aquí con su esposa y una comitiva de 13 personas. Hace 10 dias que salió de Viena, en donde pensab</t>
  </si>
  <si>
    <t>MARTES 18 DE JUNIO DE 1807. TURQUIA. Constantinopía 18 de Abril. Desde que salió de esta capital el Mariscal Bruñe no ha habido co— municacion ninguna de oficio entre el Encargado de Negocios de Francia y la Sublime Puerta. No sabemos qual e^ la maligna estrella que influye secretamente en los</t>
  </si>
  <si>
    <t>formarán tres exércitos de reserva: el primero tendrá su quartel general en Boloña, y lo mandará el Mariscal Bruñe, y se extenderá desde el Soma hasta el Escalda: el segundo se reuní</t>
  </si>
  <si>
    <t>Bruneti, Juan</t>
  </si>
  <si>
    <t>Juan Bruneti</t>
  </si>
  <si>
    <t>rca mayor de la milagrosa imagen del EcceHomo, contra las pestes, muy venerado en Roma, grabada por D. Juan Bruneti. Se hallará en la librería de Escribano, calle de las Carretas, á 6 rs. EN LA IMPRENTA REAL»</t>
  </si>
  <si>
    <t>Brunetti, Juan</t>
  </si>
  <si>
    <t>Juan Brunetti</t>
  </si>
  <si>
    <t>or, con que hace juego, en casa de Castillo, frente á S. Felipe el Real» Nueva estampa, grabada por D. Juan Brunetti, de la milagrosa imagen de Jesús Nazareno, que se venera en el convento de Monjas del Niño Jesús en Roma. En el año de 1579 acudiéron á esta efigie los Santos Cárlos Borromeo , Fe</t>
  </si>
  <si>
    <t>se venera en Roma en la Iglesia de S. Ignacio, pintado por Pompeo Battoni, y grabado en Madrid por D. Juan Brunetti. Se hallará en la librería de Escribano, -calle de las Carretas,'á 6 ts.: EN LA IMPRENTA KHAJlT</t>
  </si>
  <si>
    <t>Bruno Barrera</t>
  </si>
  <si>
    <t>r en el Regimiento de infantería de Sabaya la Tenencia Coronela al Comandante de su tercer batallón D. Bruno Barrera, y Subtenencias de bandera al Cadere del batallón de Voluntarios de Barbastro D Mariano Villaespesa y Oquendo, y al Sargento primero de granaderos D. Antonio Graciano: en el de Ar</t>
  </si>
  <si>
    <t>Bruno de Heceta</t>
  </si>
  <si>
    <t>jar, Diócesi de Jaén , á D. Francisco de la Peña. El Comandante General del apostadero de Algeciras D. Bruno de Heceta ha dado cuenta al Excmo. Sr. Generalísimo Príncipe de la Paz de que en la mañana del 9 de este mes se presentó á la vista de Punta de Camero un convoy Ingles de 20 barcos mercante</t>
  </si>
  <si>
    <t>Bruno de Hezeta</t>
  </si>
  <si>
    <t>permanecen sin novedad en su importante salud. ' El Comandante general del apostadero de Algeciras D. Bruno de Hezeta ha dado cuenta al Excmo. Sr. Príncipe de la Paz, de que en la mañana del 21 de Setiembre se presento á la vista un bergantin sin bandera, á quien, después de reconocerlo una balan</t>
  </si>
  <si>
    <t>Bruno Villarino</t>
  </si>
  <si>
    <t>citada casa acudan a dicho juzgado, sitó en la Dirección general de Correos. Por el juzgado del Sr. D. Bruno Villarino, comisionado para entender en las étiagenaciones de fincas de obras pías, que existen en la ciudad de Cádiz, y escribanía del número de ella de'D. Ramón García Meneses, se ha mand</t>
  </si>
  <si>
    <t>Bruno, Juan Antonio</t>
  </si>
  <si>
    <t>Juan Antonio Bruno</t>
  </si>
  <si>
    <t>lesia Metropolitana de México, vacante por fallecimiento de D. Josef Ruiz de Conejares, al Tesorero D. Juan Antonio Bruno: para la Tesorería al Canónigo D. Juan Josef de Gamboa: para la Canongía al Racionero D. Juan Pablo Chaves; y para esta resulta á D. Josef María Bucheli, Medio- Racionero de la mi</t>
  </si>
  <si>
    <t>Bucareli, Antonio</t>
  </si>
  <si>
    <t>Antonio Bucareli</t>
  </si>
  <si>
    <t>697 movido el Rey á Capitán al Ayudante mayor de los mismos D. Antonio Bucareli. En América. El Rey se ha servido nombrar para una Ración de la Catedral de Santa Cruz de la Sierra, vacante por ascenso de D. Josef Manuel Seoane á la Canongía Lectora! de la mis</t>
  </si>
  <si>
    <t>Buélga, Juan</t>
  </si>
  <si>
    <t>Juan Buélga</t>
  </si>
  <si>
    <t>ls. Se adjudicó el premio ofrecido en la Gazmia de 2S de Junio de 1803 á una memoria presentada por D. Juan Buélga, Cura Párroco de la villa de Cartaya, sobre la estadística del territorio de este pueblo. Los premios publicados en la Gazeta del año pasado se prorcgan por el presente* .</t>
  </si>
  <si>
    <t>Buergo, Salvador</t>
  </si>
  <si>
    <t>Salvador Buergo</t>
  </si>
  <si>
    <t>eros D. Jacinto Cplomer; á Ayudante y Teniente .de, granaderos á los de fusileros D. Juan Roldan, y D. Salvador Buergo ; á Tenientes de -fusileros á los Subtenientes D. Antonio Vela, y D. Ramón Aiisoategui, este de granaderos, y á Subteniente de fusileros al Cadete D. Jo-sef Martínez. - • -‘un ) S</t>
  </si>
  <si>
    <t>Bugedo, Ignacio Alonso</t>
  </si>
  <si>
    <t>Ignacio Alonso Bugedo</t>
  </si>
  <si>
    <t>acionero de. la Metropolitana de Burgos, para una Canongía de ella que debia vacar por promoción de D. Ignacio Alonso Bugedo al Arcedianato titular de la misma, por haberse suscitado ciertas dudas sobre la colación de esta Dignidad; ha venido en nombrar al referido Puenté para otra Canongía que ha vacad</t>
  </si>
  <si>
    <t>Büil, Francisco</t>
  </si>
  <si>
    <t>Francisco Büil</t>
  </si>
  <si>
    <t>y. S. M. se ha servido nombrar para una Canongía de la Catedral de Bárbastro, vacante por muerte de D. Francisco Büil, á D. Ventura Carees y Escudero, Cura de Castriilonnoy, en el Arciprestazgo de Ager: para otra de la Colegial de Calatayed, Diócesi de Tarazona, vacante por fallecimiento de D. Vi</t>
  </si>
  <si>
    <t>Bunbury, Coronel</t>
  </si>
  <si>
    <t>Coronel Bunbury</t>
  </si>
  <si>
    <t>4T7 y él Coronel Bunbury como Quartel Maestre general. La opinión mas acreditada es que esta expedición está destinada al Mediterráneo: algunos dicen que se trata de asegurar la posesión de Alexandría, pa</t>
  </si>
  <si>
    <t>Burguera, Mateo</t>
  </si>
  <si>
    <t>Mateo Burguera</t>
  </si>
  <si>
    <t>Málaga y Voluntarios de Estado á los Sargentos primeros Don Cristóbal Vergara, Di Rafael Arroyo, y D. Mateo Burguera; y en los de la Corona, Sevilla, León y el expresado de Málaga.á los Cadetes D. Antonio Parreño, D. Francisco Benmidez de Castro, D. Manuel de la Iglesia Smith, y D. Saturnino Fig</t>
  </si>
  <si>
    <t>Burr</t>
  </si>
  <si>
    <t>■ - - ■ • ■' • ‘ í ESTADOS-UNIDOS DE: AMERICA. ■■ 1 n ; ! í- ’ -..J' í I Washington $ de Marzo. &gt; : Mr. Burr se ha despedido dei Senado en la sesión de 2 del corriente, y se ha ausentado de esta ciudad en el mismo día. • , En la sesión de ayer 4 Tomas Jeíferson ha tomado posesión de I* P</t>
  </si>
  <si>
    <t>Bustamahte, Antonio María</t>
  </si>
  <si>
    <t>Antonio María Bustamahte</t>
  </si>
  <si>
    <t>a numeraria de D. Ramón ,de Milla Cuellar, dictada en los-autos de concurso y dimisión de bienes de D. Antonio María Bustamahte, vecino que fué de ésta Corte, de que está conociendo S. S , se ha mandado se haga saber i -los acreedores del referido concurso, que en el término preciso y perentorio de 15 dias</t>
  </si>
  <si>
    <t>Bustinza, Pedro</t>
  </si>
  <si>
    <t>Pedro Bustinza</t>
  </si>
  <si>
    <t>Santander y D. Joaquín Tejada; Subtenencia de granaderos á Don Eugenio de Castro, y de fusileros á D. Pedro Bustinza, D. Vicente Béjar, D. Manuel Céspedes, D. Higidio Mariaca, D. Paulino Deza, D. Eugenio Dueñas , D. Pedro Cegarra , D. Mariano García Romani; y Subtenencias de bandera á f). Simón</t>
  </si>
  <si>
    <t>Butragueño, Miguel</t>
  </si>
  <si>
    <t>Miguel Butragueño</t>
  </si>
  <si>
    <t>uez y escribanía del número de D. Tomas de Sancha y Prado á acreditarlo, así en la testamentaría de D. Miguel Butragueño, natural que fué del lugar de Getafe, y vecino de esta Corte, que »e les oirá y administrará justicia. En el juzgado del Sr. D. Torquatq Antonio Collado, del Consejo de S. M.# Ten</t>
  </si>
  <si>
    <t>Buxhowden, General</t>
  </si>
  <si>
    <t>General Buxhowden</t>
  </si>
  <si>
    <t>peligro. Los Generales Marisy y Demont están heridos, pero no gravemente. El cuerpo de exército del General Buxhowden, que estaba á la izquierda, constaba dé 27$ hombres,;y tal uno de ellos ha escapado. Estuvo algunas horas expuesto á la metralla de -40 cañones , parte de ellos de la artilleríade</t>
  </si>
  <si>
    <t>Caballero de Anduaga</t>
  </si>
  <si>
    <t>HOLANDA. Amsterdam 14 de Febrero. Las noticias de Inglaterra aseguraban que el Caballero de Anduaga, Ministro de S. M. C. en Londres, desembarcaría en un puerto de Francia , para desde allí pasar á España; pero esta noticia se ha desmentido ayer con la llegada de este Caballero á la Haya</t>
  </si>
  <si>
    <t>Caballero de Lobo</t>
  </si>
  <si>
    <t>e caballería, 7 de húsares y de 24 batallones ae infantería. Ha llegado aquí el Caballero de Lobo, Ministro de Portugal cerca de la Corte de Suecia.__ Según las noticias de la Islandía ha sido muy suave y benigna la temperatura en aquella isla en el invierno y primavera última, por lo q</t>
  </si>
  <si>
    <t>Caballero Viérgol</t>
  </si>
  <si>
    <t>erónimo de la Grúa; á D. Nicolás Orózco, Ministro plenipotenciario en Milán; al Caballero Viérgol, Secretario de la Legación en Milán; á Don Fernando de los Ríos, agregado á la misma Legación; á D. Agustín Diiboyfe, Oficial de las Guardias de S. M.C.; y á D. Mateo Bolognini, Te-i mente de</t>
  </si>
  <si>
    <t>Caballero, Francisco</t>
  </si>
  <si>
    <t>Francisco Caballero</t>
  </si>
  <si>
    <t>Ignacio de Merlos; á Comandante del tercer Batallón al Sargento mayor, también graduado de Coronel, D. Francisco Caballero; y á Sargento mayor al Capitán D. Juan Antonio Martínez. En el Regimiento de infantería Provincial de Valladolid, en NuevaE. spaña, sé ha servido el;Rey promover á Subteniente de</t>
  </si>
  <si>
    <t>Caballero, Manuel</t>
  </si>
  <si>
    <t>Manuel Caballero</t>
  </si>
  <si>
    <t>ntía mayor á D. Martin Rodríguez de Cea; Compañía de granaderos á D. Juan Carrion, y de fusileros á D. Manuel Caballero, D. Josef Matías de Paredes, D. Diego de Sosa, D. Mauricio Zamalloa, D. Teodoro Martínez dei Campo, D. Mariano Mallea, Don Josef Marcelino de Molina y D. Manuel Melchor Vargas; Ay</t>
  </si>
  <si>
    <t>Cabanellas, Miguel</t>
  </si>
  <si>
    <t>Miguel Cabanellas</t>
  </si>
  <si>
    <t>res , libre de lanzas y media anata en sola su persona, con la denominación de Marques del Norte. 3 Don Miguel Cabanellas , uno de los facultativos que mas se han distinguido durante la epidemia de Cartagena, y coyas atrevidas experiencias para probar el poder desinfectante de los ácidos minerales so</t>
  </si>
  <si>
    <t>Cabanis</t>
  </si>
  <si>
    <t>ión de realidad que causan las representaciones dramáticas; y concluye con un anuncio de la obra de Mr. Cabanis sobre los grados de certidumbre en la medicina, de la qual se publicará prontamente un extracto en este periódico. Se vende á 3 rs. en las librerías de Escribano , calle de las Ca</t>
  </si>
  <si>
    <t>neciente al dia 10 de Abril, y primero del segundo trimestre. Contiene el extracto de la memoria de Mr. Cabanis sobre los grados de certidumbre de la medicina; Ja descripción del tigre-gato, y de otros animales del Cabo de Buena-Esperanza Scc.; la paráfrasis del salmo undécimo Salvum mejac</t>
  </si>
  <si>
    <t>úm. 11, perteneciente al dia 30 deAbril : comprehende la continuación del extracto de la Memoria de Mr. Cabanis, sobre los grados de certidumbre de la medicina, principiado en el núm. lo: reflexiones sobre el estudio de la historia: conclusión de la carta de Y. J. M. R. en contestación á la</t>
  </si>
  <si>
    <t>deray, traducida al español por IX Oaspar Zavala y Zamora: conclusión del extracto de la memoria de Mr. Cabanis, sobre los grados de certidumbre de la medicina: observaciones acerca de la materia colorante, que se extrae de la planta, conocida por Linneo baxo el nombre de Mercurialís perenn</t>
  </si>
  <si>
    <t>Cabellos, Miguel</t>
  </si>
  <si>
    <t>Miguel Cabellos</t>
  </si>
  <si>
    <t>steado por los individuos de la Junta y algunos zelosos vecinos; y fueron premiados D. Luis Kicola, D. Miguel Cabellos, D. Vicente Tortilla, D. Ensebio Carda, D. Juan Bautista Cruz, Doña Peregrina Gosalbó, Doña Teresa Lamaneta y Doña Manuela Lamaneta. Después recitáron los niños quatro letrillas e</t>
  </si>
  <si>
    <t>Cabero Tagle, Ignacio</t>
  </si>
  <si>
    <t>Ignacio Cabero Tagle</t>
  </si>
  <si>
    <t>e Milicias de Lima Tenencia de granaderos al Terniente D. Vicente Salinas ; Tenencia al Subteniente D. Ignacio Cabero Tagle, y empleo de Portaguión al'Cadete. D. Josef Escovar y Fuente.</t>
  </si>
  <si>
    <t>Cabeza de Vaca, Antonio</t>
  </si>
  <si>
    <t>Antonio Cabeza de Vaca</t>
  </si>
  <si>
    <t>El Rey se ha servido promover á Subtenientes de bandera en el Regimiento de infantería de Saboya á D. Antonio Cabeza de Vaca, Cade</t>
  </si>
  <si>
    <t>Cabrera, Marcos</t>
  </si>
  <si>
    <t>Marcos Cabrera</t>
  </si>
  <si>
    <t>a servido nombrar Subteniente de bandera del Regimiento de infantería de Puebla, en Nueva-España, á D. Marcos Cabrera, Sargento primero del Provincial de Cuenca. En la extracción extraordinaria de la Real lotería executada el lunes 16 del corriente,'salieron los números 29, 5 , 53, 49 y 87; y con</t>
  </si>
  <si>
    <t>Cáceres, Juan</t>
  </si>
  <si>
    <t>Juan Cáceres</t>
  </si>
  <si>
    <t>Compañía de granaderos á D. Martin Rivarola, y de fusileros á D. Evaristo Franco, D. Diego Aliaga, D. Juan Cáceres, D. Josef Camacho, D. Martin Terroba, D. Gregorio Zuloaga, D. Josef García y D. Juan Peralta; Ayudantía á D. Josef Romero; Tenencia de granaderos á D. Juan Estevez,y de fusileros</t>
  </si>
  <si>
    <t>María Perez, D. Santiago Montesinos, D. Nicolás Perales y D. Esteban Perales ; y de Portaguiones á D. Juan Cáceres, D. Mariano Pinedo, Don Gregorio Perales y D. Matías Perlado. Igualmente se ha servido S. M. conferir Compañía en el esquadron de dragones Vblüntarios del Corozal, én el Reyno de</t>
  </si>
  <si>
    <t>Cadet-de-Vaux</t>
  </si>
  <si>
    <t>lones ; vinos 4.900®; libros 62®; especería 200®; café 826®; colores 1.400® rublos. Los escritos de Mr. Cadet-de-Vaux, de París, acerca de la gelatina de huesos, han excitado á Mr. Rafu, individuo del Colegio de comercio de Copenhague, y al Profesor Wiborg, la idea de hacer muchos ensayos , cuyas</t>
  </si>
  <si>
    <t>Cadogant, Capitán</t>
  </si>
  <si>
    <t>Capitán Cadogant</t>
  </si>
  <si>
    <t>do apresada la corbeta Inglesa la Cyane, de 24 cañones y 125 hombres de tripulación, mandada por el Capitán Cadogant. El mismo dia descubrieron la Martinica, y el 14 arribó á aquella isla el Vi ce-Al mirante Villeneuve con la esquadra de su mando, y con 2 navios y una fragata Españoles que se Ie</t>
  </si>
  <si>
    <t>Caffarelli, General</t>
  </si>
  <si>
    <t>General Caffarelli</t>
  </si>
  <si>
    <t>resto de la campaña, bien que no es mortal. El Emperador ha conferido el mando de esta división al General Caffarelli. ' Desde el paso del Inn se han tomado de 1500 á 1800 prisioneros entre Austríacos y Rusos , sin incluir los enfermos. El cuerpo de exército del GeneralrMarmont ha salido de Lamba</t>
  </si>
  <si>
    <t>Caflareliy, General</t>
  </si>
  <si>
    <t>General Caflareliy</t>
  </si>
  <si>
    <t>erda, mandada por el Mariscal Lannes, embistió varias veces, y siempre con ventaja. La división del General Caflareliy se ha distinguido. Las divisiones de coraceros se apoderaron de las baterías del enemigo. A la una del día estaba ya decidida la victoria , que no había sido dudosa ni un solo ins</t>
  </si>
  <si>
    <t>Caflfarelly, General</t>
  </si>
  <si>
    <t>General Caflfarelly</t>
  </si>
  <si>
    <t>infantería ligera. La división del General Suchet formaba la izquierda del Mariscal Lannes: la del General Caflfarelly formaba su derecha, la qual estaba apoyada en la caballería del Prípcipe Murat. Esta tenia delante los húsares y cazadores á las órdenes del General Kellerman, y las divisiones de</t>
  </si>
  <si>
    <t>Caialina Germán y Llugalde</t>
  </si>
  <si>
    <t>ón......... ...... D. Pedro Gil de Tejada. En Malaga.......... D. Juan Ximeno. En Mahon............ Doña Caialina Germán y Llugalde. En Murcia........... Sres. Moreda y Iadalid. En Oviedo............. D. Manuel Rubiano. En Palencia......... Viuda de D. Nicolás Calonge é hijo mayor.</t>
  </si>
  <si>
    <t>Caíder, Almirante</t>
  </si>
  <si>
    <t>Almirante Caíder</t>
  </si>
  <si>
    <t>ro de 27 ó 28 navios de línea, y varias fragatas. El Enríalo, que ha traído este aviso, encontró al Almirante Caíder el dia 24 á 29 leguas N. O. del Cabo de S. Vicente, y le comunicó esta noticia. Es probable que la primera tentativa del enemigo tenga por objeto entrar en el Mediterráneo. Aumentad</t>
  </si>
  <si>
    <t>Caírne</t>
  </si>
  <si>
    <t>AN BRETAÑA. ¡Londres rrx de lidio. Extracto de ¿a Gazeta the Star. Copia de la carta escrita por el Doctor Caírne, Cirujano á bordo del navio Princesa Real de la esquadra del Almirante Cornwallis, al Dr. Gartshore, con fecha de 25 de Julio. ^Hemos estado cruzando durante tres semanas en el go</t>
  </si>
  <si>
    <t>Calder, Almirante</t>
  </si>
  <si>
    <t>Almirante Calder</t>
  </si>
  <si>
    <t>ares. El 21 por la mañana salieron de Plimouth para unirse con el Almirante Nelson, y con el Contra-Almirante Calder, que está delante del Ferrol, un navio de 98 cañones, uno de 80, ocho de 74, y uno de 64* Gran parte del convoy de Terranova ha sido apresada por un bergantín y algunos corsarios</t>
  </si>
  <si>
    <t>a de Irlanda, Almi-, rante Drury : 7 delante de Rochefort, Almirante Graves : 9 delante del Ferrol, Almirante Calder; y 9 delante de Cádiz, Almirante Collingwood. No se hacen mas que conjeturas sobre el destino de las esquadras combinadas. Se habla del Brasil y del Cabo de Buena-Esperanza, de qu</t>
  </si>
  <si>
    <t>das ha tomado el Ferrol y la Coruña el 2 de Agosto, sin que se lo estorbase la esquadra Inglesa del Almirante Calder, que guarda y bloquea aquella entrada. Esta esquadra, compuesta hoy de 14 navios, parece que es la que con 16 dio el combate el día 22 de Julio, pues desde el 1 j del mismo desapa</t>
  </si>
  <si>
    <t>en et combate hubo 14 navios Franceses y 6 Españoles ; pero no lo es que hubiese 3 navios de 50. El Almirante Calder conviere en qué él cesó primero el combate. La razón que da para ello, efe asegurar los 2 navios Españoles, apresados, está desmentida con lo que se sabe de. que estos cayeron en</t>
  </si>
  <si>
    <t>La Gazeta de la Corte del 7 contiene algunas líneas del Almirante Calder. Es muy extraordinario que aun no se hayan publicado de oficia los nombres de los Oficiales muertosiy heridos en el combate del 22. Sir Roberto Calder no posee todavía el arte de</t>
  </si>
  <si>
    <t>an con nuestras esquadras en caso de necesidad. No se tienen noticias algunas de Lord Nelson ni del Almirante Calder,. ni de las esquadras combinadas. : .. El Gobierno há recibido pliegos del Almirante Cdrnwallis , anunciando que en la noche del 8 del corriente la fragata Nayade: avistó á 25 leg</t>
  </si>
  <si>
    <t>stificarse de una acción desgraciada. El Morning Post hace varias reflexiones sobre la conducta del Almirante Calder en el combate del 22, en que dice no ha manifestado el espíritu, la prontitud y la resolución, que eran indispensablemente necesarias. Concluye así: ¿,La situación en que se hallaba</t>
  </si>
  <si>
    <t>Almirante Cornwallis, la que se compondrá muy pronto de 30^ navios de línea, sin contar los 2*0 del Almirante Calder. El 2 5 ha muerto el Duque de Glocester, hermano del Rey, á los 63 año$ de edad; con cuyo motivo habrá luto general, y se cerrarán los teatros. El 24 por la mañana el Duque de Yor</t>
  </si>
  <si>
    <t>ntería se ha transportado en carros. ^ GRAN BRETAÑA. Landres 2 ¿ de Setiembre. Parece cierto que el Almirante Calder se ha reunido con la esquadra del Almirante Collingwood.</t>
  </si>
  <si>
    <t>CalderLas, Almirante</t>
  </si>
  <si>
    <t>Almirante CalderLas</t>
  </si>
  <si>
    <t>uestra esquadra á la vista de Brest se compone de 22. ó 23 navios» sin contar los, 20, que manda el Almirante CalderLas noticias; que se han recibido de Weymout el viernes; último; sobre la salud de S. M- son satisfactorias t con lo, que vemos con grande complacencia que son infundadas las. voces,</t>
  </si>
  <si>
    <t>Calderón, Francisco</t>
  </si>
  <si>
    <t>Francisco Calderón</t>
  </si>
  <si>
    <t>e Salas id.: D. Juan Matute id.: D. Agustín Monzon id. : D. Juan Donesteve id.: D. Ramón Amaya id.: D. Francisco Calderón, herido: D. Marcos Guruzeta id.: D. Joaquin Jorganes id.: D. Luis Moreno id.: D. Rafael de Luna id. Tenientes de Fragata. D. Rafael Bobadilla, muerto; D. Martin Urias id.: D. Pedr</t>
  </si>
  <si>
    <t>s á D. Josef Meneses, D. Mariano Hinojosa, D. Andrés Losa, D. Manuel Calderón, D. Estéban Carvajal, D. Francisco Calderón, D. Domingo del Castillo y D. MarianoGab do; y de bandera á D. Eladio de la Riba y D. Bernardo Portugal. El Rey se ha dignado conceder en el Batallón de Milicias urbanas de Puno,</t>
  </si>
  <si>
    <t>Calderón, Manuel</t>
  </si>
  <si>
    <t>Manuel Calderón</t>
  </si>
  <si>
    <t>os á D. Juan de Dios Tapia; y de fusileros á D. Josef Meneses, D. Mariano Hinojosa, D. Andrés Losa, D. Manuel Calderón, D. Estéban Carvajal, D. Francisco Calderón, D. Domingo del Castillo y D. MarianoGab do; y de bandera á D. Eladio de la Riba y D. Bernardo Portugal. El Rey se ha dignado conceder</t>
  </si>
  <si>
    <t>Calderón, Pedro Antonio</t>
  </si>
  <si>
    <t>Pedro Antonio Calderón</t>
  </si>
  <si>
    <t>: para&lt;el Beneficio Préstamo del-lugar de Carcaboso, en la Diócesis de Coria, vacante por muerte;de Don Pedro Antonio Calderón, á D. Manuel Ducasi, también Capellán de Altar de su Real Capilla: para el Préstamo de Valdeobispo, en la misma Diócesis, vacante por fallecimiento del referido Calderón, á D. Ram</t>
  </si>
  <si>
    <t>ara el Beneficio Sacristía del lugar de Valdeobispo, en la Diócesis de Coria, vacante por muerte de D. Pedro Antonio Calderón, á D. Cayetano Muñiz y. Bouvier. S. M. ha conferido en el Regimiento de. infantería de Ultbnia Compañía ai Ayudante, graduado de Capitán, D. Fernando Campero; y en el de Sevilla S</t>
  </si>
  <si>
    <t>Calixto Ramos</t>
  </si>
  <si>
    <t>acinto Aréstegui, D. Tomas Miguel Salazar, D. Miguel Mariano Ramiro y D. Pedro Salcedo; Ayudantía á D. Calixto Ramos; Tenencia de granaderos á D. Timoteo Ramos, D. Pedro Béjar, D. Melchor Ramos, D.Josef Vicente Andrade , D. Alberto de Castro , D. Manuel Antonio Gómez, Don Ramón de Santander y D.</t>
  </si>
  <si>
    <t>Callan, Capitán</t>
  </si>
  <si>
    <t>Capitán Callan</t>
  </si>
  <si>
    <t>, traída por el Capitán Callan, dará tina idea de la situación de nuestras Antiiias. Acabamos de recibir la noticia de que St. Kitts ha caído también en poder de los Franceses, quienes han destruido todo, excep</t>
  </si>
  <si>
    <t>Calleja, Pablo Marcos</t>
  </si>
  <si>
    <t>Pablo Marcos Calleja</t>
  </si>
  <si>
    <t>e peligró: se proveerá el dia 20 de Setiembre próximo. Los pretendientes dirigirán sus memoriales á D. Pablo Marcos Calleja, Escribano de Ayuntamiento. Memorial literario, ó Biblioteca periódica de ciencias y artes, núm. 22, perteneciente al dia r o de Agosto. Contiene el método para impedir que se que</t>
  </si>
  <si>
    <t>Calonge, Nicolás</t>
  </si>
  <si>
    <t>Nicolás Calonge</t>
  </si>
  <si>
    <t>............Sres. Moreda y Ladalid. En Oviedo............. D. Manuel Rubiano. En Patencia.......... D. Nicolás Calonge. En Palma.......... D. Martin Mayol. En Pamplona........ Sres. viuda de Barbería é hijo. En Salamanca...... Sres. Urrero y Casaseca. En Santander........Sres. Vial é hijo y compañ</t>
  </si>
  <si>
    <t>... Sres. Moreda y Iadalid. En Oviedo............. D. Manuel Rubiano. En Palencia......... Viuda de D. Nicolás Calonge é hijo mayor.</t>
  </si>
  <si>
    <t>Calvo, Juan Félix</t>
  </si>
  <si>
    <t>Juan Félix Calvo</t>
  </si>
  <si>
    <t>laga, que se digno conferir á D. Juan Félix Calvo , promovido antes de sacar el despacho de ella á la Canongía que resultó vacante en la misma Iglesia por ascenso de D. Josef Antonio Priego, á D. Josef de Molina y Martel; y para</t>
  </si>
  <si>
    <t>Calvo, Manuel</t>
  </si>
  <si>
    <t>Manuel Calvo</t>
  </si>
  <si>
    <t>o Yepes; y sencillas á D* Manuel,Gómez, D. Antonio Talavera , D.Juan del Rivero, Don Simón Geldres, D. Manuel Calvo, D. Antonio Arguero, D. Mariano Bustamante, D» Manuel García, D. Pedro Iraciburu, D. Juan Valenzuela, Don Silvestre de Arpe y D. Juan de Dios Fonce; empleo de Alférez de carabi</t>
  </si>
  <si>
    <t>Cambaceres</t>
  </si>
  <si>
    <t>a el Emperador Napoleón, el Mariscal Bernadotte, el Ministro Berthier, Mr. de Talleyrand-Perigord &gt; Mr. Cambaceres y el Príncipe Murat. El Doctor Portal, individuo del Instituto nacional de Francia, ha remitido á S. M. una obra suya tituladaCurso de anatomía médica, seguido aquí con buen éxito por</t>
  </si>
  <si>
    <t>Cambaceres, Cardenal</t>
  </si>
  <si>
    <t>Cardenal Cambaceres</t>
  </si>
  <si>
    <t>sidente. S. M. I. ha nombrado para las plazas de Senadores al Cardenal Fesch, Arzobispo de León; ai Cardenal Cambaceres, Arzobispo de Rúan; al General Beurnonville, Embaxador cerca de S. M. Católica; á Mr. Semonville, Embaxador cerca del Gobierno Bátavo; á Mr. Daguesseau, Ministro Plenipotenciario</t>
  </si>
  <si>
    <t>Cambacerés, Cardenal</t>
  </si>
  <si>
    <t>Cardenal Cambacerés</t>
  </si>
  <si>
    <t>perio, y prestaron el juramento acostumbrado, como tales Senadores, el Gran Almirante Mr. Murat, el Cardenal Cambacerés, y otros varios nombrados recientemente.__ Concluida esta ceremonia se presento Mr. Talleyrand, Ministro de Relaciones exteriores, para informar al Senado como S. M. I., deseoso d</t>
  </si>
  <si>
    <t>Cambaceres, Príncipe</t>
  </si>
  <si>
    <t>Príncipe Cambaceres</t>
  </si>
  <si>
    <t>rusia ha conferido la Orden de la Aguila Negra al Emperador de los Franceses, al Príncipe Murat, al Príncipe Cambaceres, al Mariscal Berthier, al Ministro de Relaciones exteriores, al Mariscal Bernadotte y ai General Duroc. Se sabe de cierto que la esquadra de Rochefort ha vuelto á entrar en este p</t>
  </si>
  <si>
    <t>Camborda, Juan de Dios</t>
  </si>
  <si>
    <t>Juan de Dios Camborda</t>
  </si>
  <si>
    <t>r Ramos;y sencillas á D. Laureano Cabrera , D. Mariano Anaya, D. Blas Cuenca , I). Faustino Aragón, D. Juan de Dios Camborda, Don Josef Bobadilla, D. Silverio Mogrovejo, D. Paulino Roxas, D. Tomas Herencia, D. Josef Perez del Portillo, D. Simón Aguirre y D. Manuel Oreilana; el empleo de Alférez de grana</t>
  </si>
  <si>
    <t>Camilo Borghese, Príncipe</t>
  </si>
  <si>
    <t>Príncipe Camilo Borghese</t>
  </si>
  <si>
    <t>o á la vuelta de Italia. París 2 de Abril. El 27 de Marzo se declaró, en un senado-consulto, que el Príncipe Camilo Borghese, cuñado del Emperador, podrá gozar de los derecho* de ciudadano Francés, sin necesidad de la residencia que exige el artículo 111 del Acta constitucional de 13 de Diciembre de 179</t>
  </si>
  <si>
    <t>Camilo Borgia, Conde</t>
  </si>
  <si>
    <t>Conde Camilo Borgia</t>
  </si>
  <si>
    <t>nhague 31 de Mayo. S. M. ha nombrado Secretario íntimo de Legación en Roma y Consejero de Estado al Conde Camilo Borgia. La comisión de quarentena, en virtud de los avisos que ha recibido de oficio, ha declarado que todas las personas, géneros y las embarcaciones que vengan directamente de la costa</t>
  </si>
  <si>
    <t>Campero, Fernando</t>
  </si>
  <si>
    <t>Fernando Campero</t>
  </si>
  <si>
    <t>ha conferido en el Regimiento de. infantería de Ultbnia Compañía ai Ayudante, graduado de Capitán, D. Fernando Campero; y en el de Sevilla Subtenencia de bandera al Sargento1 primero D. Julián Moreno. El Rey se ha servido conceder en el Regimiento de caballería del Príncipe empleo de Portaestandar</t>
  </si>
  <si>
    <t>Campobane, Capitán</t>
  </si>
  <si>
    <t>Capitán Campobane</t>
  </si>
  <si>
    <t>nfantería ligera la acometieron con denuedo. El General Werlé hizo tomar la vuelta al fuerte por el Capitán Campobane por sendas intransitables. Quedaron- prisioneros 5© hombres, entre ellos tres Oficiales. La coluna enemiga, que era; de 3® hombres, quedó dispersa; y se ha hallado tal cantidad de</t>
  </si>
  <si>
    <t>Campos, Agustín</t>
  </si>
  <si>
    <t>Agustín Campos</t>
  </si>
  <si>
    <t>f Agustín Campos.. . Hijo de Juan, naturalde la villa de Vades,-*</t>
  </si>
  <si>
    <t>Campos, Manuel</t>
  </si>
  <si>
    <t>Manuel Campos</t>
  </si>
  <si>
    <t>por la Sociedad, que baxo la dirección de su maestro D. Juan Vigier, sostuvieron D. Josef Martínez, D. Manuel Campos y D. Josef Escovar, habiendo sido preguntados de todas las partes de la gramática Francesa, y respondido con facilidad é inteligencia, traduciendo y leyendo igualmente con perfección;</t>
  </si>
  <si>
    <t>Canam, Antonio</t>
  </si>
  <si>
    <t>Antonio Canam</t>
  </si>
  <si>
    <t>D. Benito Cardón y D; Manuel Lebon: en el de Alcántara Ayudantía ai Teniente, graduado de Capitán, D. Antonio Canam; y en el de Santiago Compañía al Ayudante, graduado de Capitán , D. Josef del Campo. Igualmente se ha servido el Rey conceder Tenencia en el Regimiento de dragones de la Reyna al</t>
  </si>
  <si>
    <t>Canciller, Lord</t>
  </si>
  <si>
    <t>Lord Canciller</t>
  </si>
  <si>
    <t>on habláron en favor de la propuesta; él Conde de Buckihghamshire , el Arzobispo de Cantorbery y el Lord Canciller opinaron en contria. —^Se dividió la Cámara. --¿.Hubo 49 votos por la propuesta,í y 178 en contra..— Jamas han concurrido tantos Pares á la Cámara como durante ésta importante dis</t>
  </si>
  <si>
    <t>a barra, Mr. Whitbread leyó la orden.de acusación en un tono firme y noble, y entregó el mensage al Lord Canciller, quien lo comunicó inmediatamenteálaGámara. Restituido á la Gámara de los Comunes, se presentó en la barra , «e informó de haber executado.sus órdenes. Después se levantó y pidió</t>
  </si>
  <si>
    <t>ciones.” Ayer se ha prorogado el Parlamento hasta el dia 2% de Agosto en virtud de una comisión. El Lord Canciller ha dirigido á ambas Cámaras el discurso que sigue: „Miloresy Señores'. Hemos recibido la orden de S. M. de manifestaros su satisfacción por las pruebas que le habéis dado, en el d</t>
  </si>
  <si>
    <t>beneficio inestimable de la paz en dichas provincias. GRAN BRETAÑA. Londres 18 de Octubre. Ayer él Lord Canciller acompañado de Mr. Pitt fué á las 3 de la tarde ai despacho de Lord Muí grave, donde se tuvo un consejo de Gabinete. El Embaxador de Rusia había trabajado algunas horas antes Con e</t>
  </si>
  <si>
    <t>Cándido de Paz, Francisco</t>
  </si>
  <si>
    <t>Francisco Cándido de Paz</t>
  </si>
  <si>
    <t>z de Gonzalo, á Don Ramón Antonio,Tirado, Alcalde de Corte de aquel Tribunal; y para está resulta á D. Francisco Cándido de Paz. En América. El Rey se ha servido nombrar para el Obispado de Santa Cruz de la Sierra, vacante por fallecimiento de D. Manuel Nicolás de Roxas y Argandoña, á Fr. Antonio de S. Fer</t>
  </si>
  <si>
    <t>Cándido Faura</t>
  </si>
  <si>
    <t>or Coiombier; el extracto dei Decameron Español, por D. Vicente Rodríguez de ArelJano; una carta de D. Cándido Faura á los editores acerca de la novela original intitulada eL Emprendedor,, ó Aventuras de un Español en el Asia; noticias de los premios propuestos por la Sociedad económica de Peter</t>
  </si>
  <si>
    <t>Cándido María Trigueros</t>
  </si>
  <si>
    <t>ribas, calle, de las Carretas. ^ Teatro español burlesco, ó Quixote de los teatros: obra postuma de D. Cándido María Trigueros, de mucha instrucción, y muy divertida para los aficionados. Se hallará en la librería de Castillo, frente á las gradas de S. Felipe. Numa Pompilio, segundo Rey de Roma, poema del</t>
  </si>
  <si>
    <t>la, que se tuvieren el año de 1790 en la Biblioteca de los Reales Estudios de esta Corte, leído por D. Cándido María Trigueros, Bibliotecario segundo de ellos: un quaderno en 8.° Se hallarán, en la librería de Baylo, calle de las Carretas. Los dos Robinsones, ó Aventuras de Carlos y Fany , dos niños Ingle</t>
  </si>
  <si>
    <t>Sicología, que está ya impreso. Mis Pasatiempos, ó Almacén de fruslerías agradables: obrapóstuma de Don Cándido María Trigueros, Bibliotecario que fué de la Real Biblioteca de S. Isidro de Madrid, y Catedrático de Historia literaria. El autor, después de formar una fuerte crítica del prodigioso número de n</t>
  </si>
  <si>
    <t>Cándido Moreno, Manuel</t>
  </si>
  <si>
    <t>Manuel Cándido Moreno</t>
  </si>
  <si>
    <t>os. Madrid g de "Diciembre. Muy satisfecho de la aptitud y circunstancias que concurren en el Señor D. Manuel Cándido Moreno, Conde de Fuenteblanca, ha venido &lt;1 Rey en conferirle el Gobierno del Consejo de Hacienda, vacante por fallecimiento del Sr. D. Josef de Godoy. ,, S. M. ha venido en nombrar para</t>
  </si>
  <si>
    <t>Canellas, Juan</t>
  </si>
  <si>
    <t>Juan Canellas</t>
  </si>
  <si>
    <t>Josef Nieto. En el Regimiento de dragones del Rey se lia servido S. M. conceder Tenencia al Alférez D. Juan Canellas; y empleo de Alférez al Sargento primero D. Josef Gómez. t En América, El Rey se ha servido nombrar para el Obispado de Arequipa , en el Reyno del Perú, vacante „por haberlo renun</t>
  </si>
  <si>
    <t>Canét, Tomás</t>
  </si>
  <si>
    <t>Tomás Canét</t>
  </si>
  <si>
    <t>rrer y May rata. S. M. se ha servido nombrar para la Vara de Alcalde mayor de la ciudad de Teruel á D. Tomas Canét: para la de la ciudad de Tortosa á Don Juan Pedro de Martino; y para la de la villa de Cullera á D. Miguel Anto* nio Rodrigo: todas tres de segunda clase. En América. El Rey se ha</t>
  </si>
  <si>
    <t>Canibano, Manuel</t>
  </si>
  <si>
    <t>Manuel Canibano</t>
  </si>
  <si>
    <t>Id. Ayud. Manuel Canibano.. Hijo de Francisco y de María Vegas,</t>
  </si>
  <si>
    <t>Canivel, Francisco</t>
  </si>
  <si>
    <t>Francisco Canivel</t>
  </si>
  <si>
    <t>iembre le hizo la operación el mismo D. Mateo por el aparato lateral, según el método de su maestro D. Francisco Canivel, Cirujano mayor que fué de la Real Armada, y Vice-Presídente del Real Colegio de Cirugía de Cádiz; pero no le fué posible, á pesar de las muchas tentativas que hizo, extraerle la</t>
  </si>
  <si>
    <t>Canning</t>
  </si>
  <si>
    <t>motivo de sus achaques , y se le dará una pensión en atención á sus servicios,y que su sucesor será Mr. Canning. Qué verdad tengan estas voces, el tiempo lo dirá. Al público le importa muy poco que se verifiquen semejantes mo-. danzas ; nada se le da, de que este ó aquel sea Secretario de E</t>
  </si>
  <si>
    <t>Cano Manuel, Antonio</t>
  </si>
  <si>
    <t>Antonio Cano Manuel</t>
  </si>
  <si>
    <t>ado, se ha mandado, á instancia del Defensor judicial, en 3 6 de Noviembre de dicho año, por «1 Sr. D. Antonio Cano Manuel, del Consejo de S. M., y Alcalde de su Real Casa y Corte, como Juez que conoce de los autos de inventario y tasación de los bienes quedados por fallecimiento de dicha Josefa, se c</t>
  </si>
  <si>
    <t>su Real y Supremo Consejo de la Cámara de Castilla, cometida al Sr. Alcalde de la Real Casa y Corte D. Antonio Cano Manuel, se subastaban, entre otras fincas, una casa sita en la plazuela de Santo Domingo de.esta Corte, núm. 3, manz. 446, valuada en 537,135 rs., la qual el referido Sr. Alcaide ha mand</t>
  </si>
  <si>
    <t>Cáno Manuel, Antonio</t>
  </si>
  <si>
    <t>Antonio Cáno Manuel</t>
  </si>
  <si>
    <t>Real" Supremo Consejo de la Cámara de Castilla, cometí;.. da al Sr. Alcalde de la Rea Casa y Corte D. Antonio Cáno Manuel" 'se subastl, cntre otras fincas, una casa, lita en la plazuela d~ Santo Domingo de c;lla, núm. &amp;, , Jl)anz. 446, valuada en S87,ISS r$.; la qual :4ltimamente ~e mandó publicar ,p</t>
  </si>
  <si>
    <t>er la providencia se libró despacho en el 13 del mismo mes, cometido al Sr. Alcalde de Casa y Corte D. Antonio Cano Manuel; y por las diligencias obradas resulta no haber podido ser habido el D. Felipe Mari: en vísta de lo qual se mandó por aquel Gobierno, en 31 del citado A-gosto, proceder al apeo y</t>
  </si>
  <si>
    <t>para que los lidiadores concurran al acto del citado remate. En virtud de auto proveído por el Sr. D. Antonio Cano Manuel, del Consejo de S. M., Al .aíde de su Real Casa v Corte, an e el Escribano de provincia D011 Julián Alonso y Estrada, se ha mandado sacar á pública subasta, por el término de 30 d</t>
  </si>
  <si>
    <t>Cano, Francisco Xavier</t>
  </si>
  <si>
    <t>Francisco Xavier Cano</t>
  </si>
  <si>
    <t>ara el empleo de Administrador ,deí Colegio de Sta. Isabel de Madrid , vacante por fallecimiento de D. Francisco Xavier Cano, á D. Manuel López Gallardo * Capellán de Honor de S. M. S. M. se ha servido promover en el Regimiento de infantería del Prín</t>
  </si>
  <si>
    <t>Cano, Juan</t>
  </si>
  <si>
    <t>Juan Cano</t>
  </si>
  <si>
    <t>Paulino Rodríguez Mutiosabal, D. Josef Joaquin de Vera, D. Joaquín de Garay Artabe, Don Lucas Cano, D. Juan Cano, D. Matías Angulo, y el octavo se sorteo entre D. Antonio Hernando Cárabes, D. Miguel Arguelles Cifuentes y Don Manuel de Iduate, y recayó en este. Don Josef Joaquin Cano renunció</t>
  </si>
  <si>
    <t>Cano, Lucas</t>
  </si>
  <si>
    <t>Lucas Cano</t>
  </si>
  <si>
    <t>o de Guinea, D. Paulino Rodríguez Mutiosabal, D. Josef Joaquin de Vera, D. Joaquín de Garay Artabe, Don Lucas Cano, D. Juan Cano, D. Matías Angulo, y el octavo se sorteo entre D. Antonio Hernando Cárabes, D. Miguel Arguelles Cifuentes y Don Manuel de Iduate, y recayó en este. Don Josef Joaquin</t>
  </si>
  <si>
    <t>Canobas, Agustín</t>
  </si>
  <si>
    <t>Agustín Canobas</t>
  </si>
  <si>
    <t>murió en 17 de Noviembre de 97....... 849 24. Id. Ayud. AgUStinCanobas... Hijo de Juan y de María Martinez, na­ tural de Lorca: murió en 12 de Octu­ bre de 94........... .............................</t>
  </si>
  <si>
    <t>Canseco, Juan</t>
  </si>
  <si>
    <t>Juan Canseco</t>
  </si>
  <si>
    <t>* teniente de granaderos al de fusileros!).Francisco de Falla, y á Subteniente de bandera al Cadete D. Juan Canseco. En el Regimiento de milicias disciplinadas de infantería de la Havana se ha servido S. M. promover á Teniente veterano de granaderos al de fusileros D. Francisco Macias; y á esta</t>
  </si>
  <si>
    <t>Caparros, Juan Julián</t>
  </si>
  <si>
    <t>Juan Julián Caparros</t>
  </si>
  <si>
    <t>iosas de los enemigos del evangelio: la que, compuesta en 8 tomos por el Dr. D; Juan Julián Caparros, Presbítero, se vende en la librería de Villareal, calle de las Carretas, ¿ 110 rs. en papel. Carta del Abate D. Lorenzo Hervás al Exento. Sr. D. Antonio Ponce de León, Duque de MontemarScc.,</t>
  </si>
  <si>
    <t>Capetillo, Julián (coronel)</t>
  </si>
  <si>
    <t>Coronel Julián Capetillo</t>
  </si>
  <si>
    <t>a misma en el Tribunal de la Auditoría de Guerra de Madrid, contra la testamentaría y herederos del Coronel Don Julián Capetillo, sobre pago de 20© rs.; apercibida que pasado dicho término, y no habiendo comparecido, se procederá á la final determinación de dicho expediente, con arreglo á justicia. Instituc</t>
  </si>
  <si>
    <t>Capilla, Vicente</t>
  </si>
  <si>
    <t>Vicente Capilla</t>
  </si>
  <si>
    <t>proyectados para la formación del puerto, que se ha principiado á construir en 1803 , grabadas por D. Vicente Capilla. Se hallarán en las librerías de Campo, calle de Alcalá, y de Escribano, calle de las Carretas; y en Valencia en la de Minguet, á 10 rs cada una. = En las mismas librerías deCampo</t>
  </si>
  <si>
    <t>Capistrano Torrpo, Juan</t>
  </si>
  <si>
    <t>Juan Capistrano Torrpo</t>
  </si>
  <si>
    <t>ñayQr de blancos del esqüadron de Mil icias disciplinadas! dé caballería de pardos libres de Lima á D. Juan Capistrano Torrpo , Teniente veterano de Milicias disciplinadas de Españoles de dicha capital :r Ayudante mayor ,de la plaza de Ghiloe á D. Ga? vino Mansijla v&lt;LÍa;dete devla^iConíp^ñíiaír.de la, d</t>
  </si>
  <si>
    <t>Capmany, Antonio</t>
  </si>
  <si>
    <t>Antonio Capmany</t>
  </si>
  <si>
    <t>muy copiosa del diccionario de lengua Francesa y su correspondencia con la Española, compuesto por D. Antonio Capmany. El Rey nuestro Señor se ha dignado ¡conceder su Real permiso á Don Manuel Sardina, profesor de su Real Capilla, para que pueda establecer en su casa una escuela de primeros rudim</t>
  </si>
  <si>
    <t>Caprara, Cardenal</t>
  </si>
  <si>
    <t>Cardenal Caprara</t>
  </si>
  <si>
    <t>horas; lo que hace 15 leguas por hora__ Ha comunicado esta noticia el Cardenal Gonsalvi á S. E. él_ Cardenal Caprara. *&gt; ESPAÑA. Madrid 2$ de Enero. y En el Regimiento de Reales Guardias de infantería Waípna se ha servido el Rey promover á Capitán al Coronel graduado D. Juan Bernardo la Porte d’</t>
  </si>
  <si>
    <t>é instrucciones convenientes de los interesados., emprenderá su viage á París para negociar con ei Cardenal Caprara ; bien que varios Gobiernos deseaban que se concluyese este asunto en Lucerna cón Monseñor Testa-Ferrata , Nuncio de S. S.</t>
  </si>
  <si>
    <t>i. =De la de la Guerra, Paradisi, Presidente; Birago, Guastaviüani y CLognara.srDe la del Culto, el Cardenal Caprara, Arzobispo de Milán, Presidente; el Cardenal Oppizzcni, Arzobispo de Bolonia; Allegri, Canónigo de Novara, y Roña, Cura de S. Babil de Milán, v. Mr. Compagnoni está también nombra</t>
  </si>
  <si>
    <t>ía. Al llegar 1 la¡ puerta de ?la Catedral la comitiva que la conducía, salió nuestro Arzobispo, el Cardenal Caprara, al frente del Cabildo, á recibir la coro na, el qpal la llevó procesionalmente, y la colocó en el altar mayor__ _ La Diputación que ha escoltado la corona conservará su guardia d</t>
  </si>
  <si>
    <t>Caprara, Carlos</t>
  </si>
  <si>
    <t>Carlos Caprara</t>
  </si>
  <si>
    <t>snero mayor, el Arzobispo de Ravena; de Sumiller de Córps, Mr. Antonio Litta; de Caballerizo mayor, Mr. Carlos Caprara; y de Mayordomo mayor, Mr. Fenaroli.__ Todo el pueblo ha estado sumamente regocijado, y la iluminación ha sido muy vistosa» FRANCIA» París 18 de Mayo. El Diario oficial confirma e</t>
  </si>
  <si>
    <t>Captara, Cardenal</t>
  </si>
  <si>
    <t>Cardenal Captara</t>
  </si>
  <si>
    <t>iones Europeas de que se componía mucha parte de aquellos cargamentos. ITALIA. Milán■$ de Jimio¿ Eí Cardenal Captara, Arzobispo de esta capital, ha presentado á S. M. I. sus cartas credenciales como legado a latere cerca del Rey de Italia, y al mismo tiempo puso en manos de S. M. una carta del.</t>
  </si>
  <si>
    <t>de noche había unos 60 baxeles enemigos á la vista. Parts 16 de Agosto. Ha llegado á esta ciudad el Cardenal Captara, Legado d latere de S. S. cerca dé S. M. el Emperador de los Franceses y Rey dé Italia. El Ministro de la Guerra, en las revistas que ha pasado á diferentes Cuerpos, ha notado que</t>
  </si>
  <si>
    <t>Car, Rafael</t>
  </si>
  <si>
    <t>Rafael Car</t>
  </si>
  <si>
    <t>milicias de dragones de Matanzas á Capitán al Teniente D. Tomas Alfonso; á Teniente al Subteniente D. Rafael Car bailo; á Sub•tenienre al de bandera D. Joséf María Chaves, y á esta resulta al Cadete D. Francisco Alfonso; y en el Esquadron montado del propio Cuerpo á 7Capitan al Teniente D. F</t>
  </si>
  <si>
    <t>Caraballo y Vera, Juan</t>
  </si>
  <si>
    <t>Juan Caraballo y Vera</t>
  </si>
  <si>
    <t>reo del día 6 del corriente dirigió D. Francisco Saenz Ruiz, vecino y del comercio de esta Corte, á D. Juan Caraballo y Vera, del de Sevilla, 15 vales Reales de á 300 pesos, de i.° de Mayo, con los núms. 461865 , 451732, 452691,448826, 451093, 455835* 461866, 467152, 467773,472834,468966, 472110, 469166</t>
  </si>
  <si>
    <t>Caracholi, Francisco</t>
  </si>
  <si>
    <t>Francisco Caracholi</t>
  </si>
  <si>
    <t>buru y O. Vicente ’Nacero; la Sargentía mayor á D. Juan Pinto del Postigo; Compañía de granaderos á D. Francisco Caracholi; y sencillas á D. Bernardo Manrique, D. Francisco Alcántara, D. Nicolás Gódiel, D. Manuel Orihuela, D. Vicente Herencia, D.Vicente Portugal,D. Miguel Carrasco y D. Martin Vargas;</t>
  </si>
  <si>
    <t>Caracholi, Juan</t>
  </si>
  <si>
    <t>Juan Caracholi</t>
  </si>
  <si>
    <t>do y D. Diego Felipe Cevallos; y de Portaguiones á D. Pablo Portugal y Cevallos, D. Martin Pacheco, D. Juan Caracholi y D. Juan de Dios Valdés. S. M. se ha servido conferir el Gobierno Militar y Política é Intendencia de la Provincia de Puno á D. Antonio Ortega y Rengel, Capitán del Regimiento de inf</t>
  </si>
  <si>
    <t>Carballo, Joaquín</t>
  </si>
  <si>
    <t>Joaquín Carballo</t>
  </si>
  <si>
    <t>icente Duran; á Ayudante al Teniente D. Francisco de Arce ; á Teniente al Subteniente de granaderos D. Joaquín Carballo; á Subteniente, de granaderos aí de fusileros D. Manuel Fermín: García; á Subteniente dé Compañía al de bandera D. Josef María Bayot, y á Subteniente de bandera al Cadete D. Juan</t>
  </si>
  <si>
    <t>CarbcneM y Bravo, Francisco</t>
  </si>
  <si>
    <t>Francisco CarbcneM y Bravo</t>
  </si>
  <si>
    <t>sonas de literatura y distinción, y Jos; alumnos de estas' escuelas. Por ,el Catedrático de Química D. Francisco CarbcneM y Bravo se harleido un eloqíiente discurso relativo á lo tan útil de este estudio , y á las ventajas que han de derivar al Estado,, agricultura y artes; y otro por el de Taquigrafía D. Fr</t>
  </si>
  <si>
    <t>Carbón, Manuel</t>
  </si>
  <si>
    <t>Manuel Carbón</t>
  </si>
  <si>
    <t>63x D, Manuel Carbón; y á Subteniente de bandera en el segundo de Voluntarios del mismo Reynó al Sargento primero D. Antonio Izquierdo. I I Rey se ha servido conceder Tenencias en los Regimientos de i</t>
  </si>
  <si>
    <t>Carbonel, Antonio</t>
  </si>
  <si>
    <t>Antonio Carbonel</t>
  </si>
  <si>
    <t>mala, vacante por fallecimiento de D. Juan de Dios Juarros, á D. Isidro Sicilia: para la Chantría á D. Antonio Carbonel: para la Maestrescolía á D. Antonio García:para la Tesorería á D. Blas Josef Clá; y para la Canongía que este dexa á D. Bernardo Martinez, Cura del Sagrario de aquella Santa Igles</t>
  </si>
  <si>
    <t>Carbonell, Juan</t>
  </si>
  <si>
    <t>Juan Carbonell</t>
  </si>
  <si>
    <t>e una medalla de 4 onzas de plata á D. Angel Marti; el 2.0 de otra medalla de plata de igual peso á D. Juan Carbonell, y un premio extraordinario de otra medalla también de plata de 4 onzas, que costeó el Profesor de la escuela Don Francisco de Paula Marti, á D. Francisco Ginesta; y asimismo se h</t>
  </si>
  <si>
    <t>Cárdenas, Juan</t>
  </si>
  <si>
    <t>Juan Cárdenas</t>
  </si>
  <si>
    <t>Juan Cárdenas. Hijo de Sebastian , nat. de Bruzena, Reyno! ^</t>
  </si>
  <si>
    <t>Cardón, Benito</t>
  </si>
  <si>
    <t>Benito Cardón</t>
  </si>
  <si>
    <t>ferir empleos de Alférez en los Regimientos de caballería de Borbon y España á los Portaestandartes D. Benito Cardón y D; Manuel Lebon: en el de Alcántara Ayudantía ai Teniente, graduado de Capitán, D. Antonio Canam; y en el de Santiago Compañía al Ayudante, graduado de Capitán , D. Josef del Campo.</t>
  </si>
  <si>
    <t>Cardona y Antonio Losada, Matías</t>
  </si>
  <si>
    <t>Matías Cardona y Antonio Losada</t>
  </si>
  <si>
    <t>ervido conceder Ayudantías en los Regimientos de infantería de Guadalaxara y Toledo á los Tenientes D. Matías Cardona y Don Antonio Losada: Tenencia en el de Zamora al Subteniente de granaderos D* Rafael del Hoyo; y Subtenencias de bandera en el de la Reyna ai Cadete D. Manuel Delgado; y en el de Valencia al Cadete D</t>
  </si>
  <si>
    <t>Cardona, Francisco</t>
  </si>
  <si>
    <t>Francisco Cardona</t>
  </si>
  <si>
    <t>e ha dignado S. M, concedér en el de Dragones de Almansa Compañía al Ayudante, graduado de Capitán, D. Francisco Cardona; Tenencia al Alférez D. Antonio Yaques, y empleos de Alférez á los Cadetes D. Josef Moreno del Castillo y D. Cárlos Rubira. Deseosa la Real Junta de hospitales General y Pasión de</t>
  </si>
  <si>
    <t>Cardona, Ignacio</t>
  </si>
  <si>
    <t>Ignacio Cardona</t>
  </si>
  <si>
    <t>roquial de la villa de Berga, Diócesis de Solsona, vacante por fallecimiento de D. Jayme Cotrina, á D. Ignacio Cardona. Jrin de los Exámenes generales de la Real Sociedad Aragonesa. Escuela de Matemáticas. Habiéndose dado fin á la enseñanza de todas las partes de-Matemática pura y mixta, qué' abra</t>
  </si>
  <si>
    <t>CardónTambién, Luis</t>
  </si>
  <si>
    <t>Luis CardónTambién</t>
  </si>
  <si>
    <t>. promover á Ayudante al Teniente D. Juan López Dolz; y en el de Borbon á Portaestandarte al Cadete D. Luis CardónTambién se ha servido el Rey conceder empleo de Alférez en el Regimiento de dragones de la Reyna al Portaguión D./Bartolomé Galindo; y Tenencia en el de Almansa á D.. Francisco Quiñones,</t>
  </si>
  <si>
    <t>Carees y Escudero, Ventura</t>
  </si>
  <si>
    <t>Ventura Carees y Escudero</t>
  </si>
  <si>
    <t>o nombrar para una Canongía de la Catedral de Bárbastro, vacante por muerte de D. Francisco Büil, á D. Ventura Carees y Escudero, Cura de Castriilonnoy, en el Arciprestazgo de Ager: para otra de la Colegial de Calatayed, Diócesi de Tarazona, vacante por fallecimiento de D. Vicente Martínez, á D. Juan Felipe</t>
  </si>
  <si>
    <t>Careno de Viena</t>
  </si>
  <si>
    <t>do aquí la vacuna, gracias al zelo del infatigable Médico Stulli, y á las reiteradas instancias del Dr. Careno de Viena. El manual sobre la vacuna de este facultativo se ha traducido á la lengua Ilírica , y los Curas lo han distribuido en las ciudades, y aldeas; y sU lectura ha contribuido poderosa</t>
  </si>
  <si>
    <t>Caries, Pedro</t>
  </si>
  <si>
    <t>Pedro Caries</t>
  </si>
  <si>
    <t>Tarragona , 66. 12. Pedro Caries............... Otro. .... María Constanti, , Upellar , , Barcelona, , 66. 12. Pablo Falqués........... Pedro. : Eulalia, , , , , , SanAndreu</t>
  </si>
  <si>
    <t>Cariñena, Ambrosio</t>
  </si>
  <si>
    <t>Ambrosio Cariñena</t>
  </si>
  <si>
    <t>pia Iglesia, vacante por promoción de D. Juan Antonio Franco á la Dignidad de Arcipreste de ella, á D. Ambrosio Cariñena, Cura de aquel Obispado; y para un Beneficio de residencia, baxo la invocación de Sta. Tecla unido á otro de Sta. Catalina, de la Parroquial de la villa de Berga, Diócesis de Sols</t>
  </si>
  <si>
    <t>Cários, Príncipe</t>
  </si>
  <si>
    <t>Príncipe Cários</t>
  </si>
  <si>
    <t>honra de anunciaros, Sr. Mariscal, que luego que .espí-, rase el término que habia convenido con el Príncipe Cários, no dexaria pa</t>
  </si>
  <si>
    <t>Carlisie, Lord</t>
  </si>
  <si>
    <t>Lord Carlisie</t>
  </si>
  <si>
    <t>no lo entiendo.’* Contestó Lord Harrowby, Ministro que acaba de ser de Negocios extrangeros, que el Lord Carlisie no habia comprehendido ios Oradores que votaron y apoyáron el discurso; que no habian hablado del rompimiento con España de modo que la Cámara, al dar su consentimiento, se obl ig</t>
  </si>
  <si>
    <t>ara examinar las diferentes partes de nuestro sistema militar, y proveer a los medios de mejorarlo. Lord Carlisie opinó del mismo modo. Lord Hawkesbury dixo que habia sobre las armas 400© hombres, sin contar los voluntarios: ,,Se ha calculado, añadió, que una quarta parte de la población está</t>
  </si>
  <si>
    <t>Carlisle, Lord</t>
  </si>
  <si>
    <t>Lord Carlisle</t>
  </si>
  <si>
    <t>ó en la necesidad de sostener el honor y los derechos de la Corona. Lord Gwydir apoyó la propuesta. Lord Carlisle habló en esta forma: ,, Lejos de mí el pensamiento de turbar la armonía que debe reynar entre los miembros de esta Cámara. En ocasión tan importante, y quando he oido la lectura d</t>
  </si>
  <si>
    <t>Carlos Luis</t>
  </si>
  <si>
    <t>se vistió la Corte de gala en el Real Sitio de S. Lorenzo con motivo del cumpleaños del Sr. lnlante Don Carlos Luis, Rey de Etruria. El Rey se ha servido nombrar para la Canongía Doctoral de la Colegial de Antequera, Diócesi de Málaga, á D. Francisco de Paula Diaz : para la Dignidad de Prior de</t>
  </si>
  <si>
    <t>Carlos María</t>
  </si>
  <si>
    <t>s personas de distinción, que con tan plausible motivo, y el de ser igualmente dias del Sr. Infante D. Carlos María, de la Sra. Infanta Princesa del Brasil, del Sr. Infante Rey de'Etruria y de la Reyna de Nápoles, concurrieron á cumplimentar áSS. MM.yAA. El Gefe de Esquadra D. Antonio de Escaño</t>
  </si>
  <si>
    <t>to de sus deberes, y justo obsequio á los dias de nuestro augusto Soberano y del Sermo. Sr. Infante D. Carlos María, Hermano mayor de dicho Real Cuerpo, celebró el 4 del corriente un lucido manejo de caballos, que concluyó con lances de cañas y parejas á los retratos del Rey nuestro Señor y de</t>
  </si>
  <si>
    <t>Carlos, Archiduque</t>
  </si>
  <si>
    <t>Archiduque Carlos</t>
  </si>
  <si>
    <t>do muchos reglamentos para consolidar el nuevo sistema de administración militar introducido por el Archiduque Carlos. Se piensa en aumentar el número de fragatas , corbetas y demas buques de guerra de la marina Imperial; y después se darán órdenes para construir navios de línea. El puerto de Ven</t>
  </si>
  <si>
    <t>uentan 15$ de caballería. El General de Chasteller, Comandante en el Tirol, y nombrado por S. A. el Archiduque Carlos, en su calidad de Minisrro de la Guerra, al mando de todas las tropas que formarán.el cordon por el lado de aquella provincia, ha salido el</t>
  </si>
  <si>
    <t>Italia y al Tirol para el próximo mes de Abril, y le acompañarán, según se dice, la Emperatriz y el Archiduque Cárlos. Están tratándose actualmente asuntos de la mayor importancia entre las Cortes de Viena y de Petersburgo: se cruzan ios correos, qué van y vienen con suma freqüencia. La Legación</t>
  </si>
  <si>
    <t>ítr como cierto, que el Emperador y la Emperatriz de Alemania saldrán el 26 de Marzo próximo con el Archiduque Cárlos y algunos otros Archiduques para Gratz y Trieste; y de aquí pasarán á Venecia, y visitarán todos los pueblos principales del Ducado de este nombre, y el campamento de Palmanova, que</t>
  </si>
  <si>
    <t>rqueses, 8 con bandera de la República de las Siete-Islas, 6 Americanos, 6 Italianos y 6 Suecos. El Archiduque Carlos saldrá de aquí muy pronto á inspeccionar las fronteras militares; y sin detenerse en parte alguna pasará á Italia. Escriben de Lcmberg que S. A. I. el Gran Duque Constantino debía</t>
  </si>
  <si>
    <t>adre de Rusia, y por consiguiente tio del Huir perador Alexandro y de la Princesa que se destina ai Archiduque Carlos. Se espera enViena, muy pronto, al Elector Archi-Canciller deL Imperio Germánico para arreglar algunos artículos del concordato entre el Imperio Germánico y la Corte de Roma. Escr</t>
  </si>
  <si>
    <t>Francia cerca demuestra Corte , debe ir á Milán para asistir á la coronación del Rey de Italia. El Archiduque Carlos ha hecho dimisión de la Presidencia del Consejo central de Guerra , y S. M. ha nombrado en su lugar al Conde de BaiUet de Latour, General de Artillería, yt Capitán general de la M</t>
  </si>
  <si>
    <t>bierno crear un papel-moneda: y añade, que jamas el Emperador de Alemania pensó en ir á Venecia, el Archiduque Carlos á Milán, el Gran Duque Constantino á Viena, ni el Emperador de Alemania á Polonia; y en una palabra, desmiente los Diarios de Ilamburgo , de Francrfort y de Augsburgo, que no cesa</t>
  </si>
  <si>
    <t>á" capital otra subscripción. El Emperador ha librado inmediatamente la cantidad de 6® florines; el Archiduque Carlos 2®; los Archiduques Juan, Ranerio, Luis y Rodolfo 4®; el Duque de Saxonia-Teschén 6®. Los magnates dé la Córte han librado también crecidas sumas; y según el tenor de’Ia lista de</t>
  </si>
  <si>
    <t>las nuevas evoluciones que han execurado. sus tropas. Casi alariamente visitan dicho campamento el Archiduque Carlos y el Duque de Saxoñia-Teschen.---- El Conde.de Grenville, Capitau de la Marina Imperial, ha ido á Ven'ecia encargado de dirigir la construcción de dos fragatas, y de informar á,S. M.</t>
  </si>
  <si>
    <t>Austríacos el reclutamiento ó leva extraordinaria para completar los exércitos; y se asegura que el Archiduque Carlos estaba á punto de partir de Viena para Italia acompañado del General Mack y de Mr. de Eassbender. GRAN BRETAÑA. ¡Londres rrx de lidio. Extracto de ¿a Gazeta the Star. Copia de la ca</t>
  </si>
  <si>
    <t>el qual se haya evadido por esta omisión ó qualquiera otra. = Firmado, Jhikirsch. S. A. I. y R. el Archiduque Cárlos, Ministro de la Guerra, emprenderá el mes que viene un viage al Austria anterior y á Italia, para pasar revista á las tropas que hay allí. Lintz 13 de Julio. De día en dia vamos p</t>
  </si>
  <si>
    <t>erca de Menkendorff, á 4 leguas de esta capital, y se compondrá de los Regimientos de Averberg, del Archiduque Carlos, de Saboya, y de nuestra guarnición___ !E1 dia 13 salió de aquí para Italia un convoy de artillería de 102 cañones, y del competente numero de carros de municiones. En suma, el ca</t>
  </si>
  <si>
    <t>Emperador y el General Mack , el segundo el Archiduque Juan y el General Lindenan, y el tercero el Archiduque Carlos y el General Schwidt. París 12 Setiembre* •Mr. Bacher , Encargado !de Negocios dé S. M. en Ratisboria, ha recibido orden de presentar á la Dieta la Nota, cuyo tenor es como sigue: „En</t>
  </si>
  <si>
    <t>rá para el exército quando las negociaciones se hayan roto enteramente. No sabemos quando saldrá el Archiduque Cárlos; pero su Quartel-Maestre general ; el General Zach, ha salido ya para Padua. Dícese que el Conde de Apraxin ha sido nombrado Generalísimo de to-f das las tropas Rusas, y que vendr</t>
  </si>
  <si>
    <t>cio del Príncipe Guillermo para alojamiento del Emperador de Alemania y del Archiduque Fernando. El Archiduque Carlos salid de Viena el 15 del corriente para Italia;y durante su ausencia queda encargado del despacho de la Guerra el Feld-Mariscal Conde Josef de Colloredo, Ministro de Estado----- .</t>
  </si>
  <si>
    <t>Oficial era uno de los mas sobresalientes del exército Austríaco-, y había acompañado á S. A. R. el Archiduque Cárlos en todas sus campañas, y merecido su mayor confianza. Altona 20 de Setiembre. Escriben de Petersburgo, con fecha de 3 del corriente, que el embarco de las tropas Rusas que se dicen</t>
  </si>
  <si>
    <t>to del Regimiento del Emperador. Granaderos, un batallónidel Regimiento de Hildbourghausen; id. del Archiduque Carlos; id. de Manfredini; id. de Colloredo; id. de Stuart. Diario 7 del exército grande. . Elchingen 19 de Octubre de 1805. = Ayer á las 5 de la mañana el Prín-* cipe Murat llegó á Norl</t>
  </si>
  <si>
    <t>rá-" pidos progresos de los Franceses, que tal vez estarán ya en Saltzburgo, nos hacen temer por el Archiduque Carlos, en quien está nuestra última esperanza. GRAN BRETAÑA. Londres 2 j de Octubre. El 15 del corriente se experimentó en las Dunas la máquina de que Sft ha hablado hace algún tiempo,</t>
  </si>
  <si>
    <t>os llenado de sobresalto , el qual se aumenta con la reflexión de que es inevitable la retirada dei Archiduque Carlos,= En las últimas cartas de Venecia escribían haberse publicado allí ün decreto Imperial, mandandoque se exija un impuesto extraordinario de guerra de 1.160$ florines, cuyo pago ha</t>
  </si>
  <si>
    <t>s, sin abandonar sus puestos, prefiriéron morir antes que rendirse, entre otros los Regimientos del Archiduque Carlos y e 1 de ErbacH, que consiguieron una muerte gloriosa.- Después de una larga carnicería la victoria,se decidió por ios Franceses. Memmingen cayó en sus manos, y como el ala derecha de</t>
  </si>
  <si>
    <t>Carlos, Príncipe</t>
  </si>
  <si>
    <t>Príncipe Carlos</t>
  </si>
  <si>
    <t>librería de Gómez, calle de las Carretas; á-4;o rs. en paita. Empresas, victorias.y desgracias del Príncipe Carlos (Eduardo Stuai$dv*P¡reten-; diente de Inglaterra, residente en Roma: traducido ai castellano por E&gt;¿ Víctor Amadeo María, Caballero de la Borie, Capitán agregado al Estado mayor'd</t>
  </si>
  <si>
    <t>e Viena para Italia, y otro crecido tren de artillería va caminando para el campamento de W els. El Príncipe Carlos ha comprado ya los caballos necesarios para sus «quipages ; el Archiduque Juan saldrá para su destino á fines de este mes; y los 30 batallones que hay en las fronteras de Turquía</t>
  </si>
  <si>
    <t>bar de común acuerdo las empresas que puedan traer el menor perjuicio á su seguridad.. S. A. R.. el Príncipe Carlos, Ministro de la Guerra,, ha mandado que no tengan caballos para su uso en tiempo de guerra los Oficiales de infantería del exército Austríaco desde el Capitán hasta el Alférez inc</t>
  </si>
  <si>
    <t>el puerto de Goedereede una ballena viva de 10 varas de largo. ITALIA. Verona ■ 24 de Setiembre. El Príncipe Carlos llegó el 20 al quartel general de Padua, y al dia siguiente dirigió al exército la proclama, cuyo tenor es como sigue: „Ayer llegué al quartel general!, y tengo la mayor satisfacc</t>
  </si>
  <si>
    <t>recibir noticias de Italia. Parece.. que habían llegado allí muchos correos del quartel general del Príncipe Carlos, que estaba en Vicenza, y pensaba muy en breve pasar el Adige; sus principales fuerzas se hábian reunido en la orilla izquierda del rio, y señaladamente en las inmediaciones de Ve</t>
  </si>
  <si>
    <t>fue desbaratado y perseguido hasta las alturas. Por todas partes llegaban refuerzos que enviaba el Príncipe Carlos: se ha peleado con grande obstinación desde las 4 de la mañana hasta las 6 de la tarde. Los Austríacos no cedían el terreno que nos disputaron con vigor: al cabo los arrojamos de</t>
  </si>
  <si>
    <t>a voz¿ de arva el Emperador jpersiguiendo luego al enemigo hasta las alturas-----A las 4 y media el Príncipe Carlos mandó ravanzar su reserva,con lo que se' encendió mas. la batalla.; Las tropas!de S; M. manifestároh su intrepidez., y la hayo-? lleta decidió la suerte del combate. El ¡enemigo h</t>
  </si>
  <si>
    <t>ioneros con armas y equipages, 70 Oficiales, un Brigadier, un Mayor, un Coronel, 80 caballos &amp;c. El Príncipe Carlos, viendo por su parte que se hallaba cortada una coluna de su exército, y temiendo serlo en la posición en que se hallaba, pensó en efectuar su retirada. Se supo que durante la noc</t>
  </si>
  <si>
    <t>s, en S. Vitto y en Valvasona, por donde debían de pasar el rio para rodear y cortar ai enemigo. El Príncipe Carlos temió sin duda la execucion de este plan, y juzgó que no debía esperar el dia en su posición, por lo qual se retiró á media noche por el camino de Palma-Nova. El exército pasó el</t>
  </si>
  <si>
    <t>ocupan esta plaza, ó ya operar por Filtro y Bellum para juntarse con las reliquias del exército del Príncipe Carlos por Leybach. En la primera hipótesis estaba seguro de que el ala derecha que había dexado para observar á Venecia, mandada por el Teniente General Gouvion-Saint-Cyr, en la posició</t>
  </si>
  <si>
    <t>Carlota de Gales, Princesa</t>
  </si>
  <si>
    <t>Princesa Carlota de Gales</t>
  </si>
  <si>
    <t>tan feliz reconciliación. El objeto particular de esta conferencia ha sido el establecimiento de la Princesa Carlota de Gales en Windsor, pues S. M. desea tener en su compañía á la Princesa en el castillo de Windsor, donde se propone residir de aquí en adelante.__ El Príncipe de Gales, acompañado de su her</t>
  </si>
  <si>
    <t>mucho que hablar: y se atribuye generalmente al proyectado establecimiento para la educación de la Princesa Carlota de Gales. El na vio Hibernta, de 130 cañones, que acaba de botarse al agua en Plimouth, es el mayor que se ha construido en Inglaterra. Su mayor longitud de proa á popa es de 241 pies Ingl</t>
  </si>
  <si>
    <t>delante de Brest. --j'f Como se hable tanto en el dia del establecimiento y de. la educación de la Princesa Carlota de Gales , publica el Morning Cnr onicle ¡ la opinión que diéron los Jueces sobre la qüestion que les sometió Jorge 1. Diez fuéron de opinión que el Monarca reynante tenia el derecho de di</t>
  </si>
  <si>
    <t>Carlota, Princesa</t>
  </si>
  <si>
    <t>Princesa Carlota</t>
  </si>
  <si>
    <t>la esquadra Francesa de Linois, se apoderaba una fragata de aquella nación del navio de la India la Princesa Carlota. También se ha confirmado la presa de los buques d¿ la India el Stirling-Castle y el Berambore. El ?mártes&gt;/&gt;Lord Fingal y los demas diputados de los Irlandeses Católicos:}} se ¿p</t>
  </si>
  <si>
    <t>Carmona del de Murcia, Juan Manuel</t>
  </si>
  <si>
    <t>Juan Manuel Carmona del de Murcia</t>
  </si>
  <si>
    <t>a del de Toledo, D. Diego Tolosa del del Príncipe ; D. Joaqui» Luzuriaga del de Órdenes Militares ; D. Juan Manuel Carmona del de Murcia; al Teniente dei Regimiento provincial de Santiago D. Ramón Rivadulla ;álos Subtenientes de los de infantería de Córdoba, Sevilla y América D- Josef Montes, D. Ildefonso Rifá y D.</t>
  </si>
  <si>
    <t>Carmona, Francisco</t>
  </si>
  <si>
    <t>Francisco Carmona</t>
  </si>
  <si>
    <t>urg : y eñ Ja Compañía Americana del propio Real Cuerpo ha conferido el empleo de Alférez al Exento D. Francisco Carmona; el de Exento de número al supernumerario D. Francisco Arteaga; el de supernumerario al Brigadier Don Vicente Iglesias; el de Brigadier ai Subrigadier D. Francisco González; el de</t>
  </si>
  <si>
    <t>tancias del Brigadier de caballería, y Alférez de la Compañía Americana de Reales Guardias de Corps D. Francisco Carmona, se ha servidq S. M. conferirle el Gobierno del Real Sitio de S. Lorenzo, vacante por fallecimiento del Brigadier de los Reales exércitos D. Vicente Perales. En América. En el Reg</t>
  </si>
  <si>
    <t>D vicen ® Laina y Montes. vD. Joaquín Aróstegui. Alférez de Navio................................. D. Francisco Carmona. fD. Juan Josef Carranza. |D. Josef Navarro. • Alféreces de Fragata.....................i.D. Sebastian Rodríguez de Ar&amp;sli ID. Gabriel de Pazos. {.D. Manuel Díaz. Alféreces de Fra</t>
  </si>
  <si>
    <t>Carmona, Manuel Salvador</t>
  </si>
  <si>
    <t>Manuel Salvador Carmona</t>
  </si>
  <si>
    <t>ina de Sena , de la Tercera Orden de Santo Domingo, dibuxadas por D. Josef Maea, y grabadas dos por D. Manuel Salvador Carmona, y la otra por su discípulo D Blas Amóler: la primera representa quando Gregorio xr trasladó la silla de S. Pedro de Aviñon á Roma*, en la segunda está la Santa predicando al Papa</t>
  </si>
  <si>
    <t>gida» Lleva el texto latino en mejor carácter de letra que LTprimera, el busto de César grabado por D. Manuel Salvador Carmona, y dos mapas, el uño de las Galías, y él otro de España, según se hallaba dividida por aquel tiempo. Los militares miran con admiración esta obra, por sus singulares exemplos de v</t>
  </si>
  <si>
    <t>Carnicero, Antonio</t>
  </si>
  <si>
    <t>Antonio Carnicero</t>
  </si>
  <si>
    <t>del público. Colección de retratos de sus Magestades, Príncipes é Infantes de España, dibuxados por D. Antonio Carnicero, Pintor de Cámara, y grabados por D. Juan Rrunetti. Se hallarán en el despacho de la Calcografía de la Real Imprenta. A mediados del mes de Diciembre último se remitió por el corr</t>
  </si>
  <si>
    <t>Carpani, Carlos</t>
  </si>
  <si>
    <t>Carlos Carpani</t>
  </si>
  <si>
    <t>es al Cadete del Regimiento de Reales Guardias Españolas D. Fermín de Meneos, y al Sargento primero D. Cárlos Carpani. En América. El Rey se ha servido nombrar para una plaza de Oidor de la Audiencia de México, vacante por promoción de D. Cosme dé Mier á la Regencia de la misma, á D. Francisco Al</t>
  </si>
  <si>
    <t>Carpió, Manuel</t>
  </si>
  <si>
    <t>Manuel Carpió</t>
  </si>
  <si>
    <t>granaderos á D. Juan Estevez,y de fusileros á D. Tomas Carreri,D. Juan Anglés, Don Pascual Toledo, D. Manuel Carpió, D. Francisco Grambel,D. Josef Cordero, D. Ramón Oviedo y D. Juan Cornejo; Subtenencia de granaderos á D. Miguel San Román, y de fusileros á D. Julián Antezana, D. Evaristo Ximene</t>
  </si>
  <si>
    <t>Carralero, Juan Manuel</t>
  </si>
  <si>
    <t>Juan Manuel Carralero</t>
  </si>
  <si>
    <t>n Beneficio de la Parroquial de la villa de Calaceyte, Obispado de Tortosa, vacante, por ascenso de D. Juan Manuel Carralero al empleo de Bibliotecario del.mismo Obispado,.a D. Roque Claramunt; y para otro enría Parroquia de Alcoberj* ;Diópe$i$ 'de -Tarragona, vacante por fallecimiento de D. Jayme Abell</t>
  </si>
  <si>
    <t>Carrancio, Manuel Ángel</t>
  </si>
  <si>
    <t>Manuel Ángel Carrancio</t>
  </si>
  <si>
    <t>ciales, tasada en 35&gt;95° rSt * Y rematada en 50$ á vales Reales. Por el juzgado de comisión del Sr. D. Manuel Angel Carrancio se está subastando la casa, calle de las Fuentes, núm. 5 * manz. 414, propia de las fundaciones pías que en la villa de Valdemorillo estableció el Lie. D. Alonso Zarzal: su area c</t>
  </si>
  <si>
    <t>Carrasco, Antonio</t>
  </si>
  <si>
    <t>Antonio Carrasco</t>
  </si>
  <si>
    <t>á Capitanes de granaderos de los de Córdoba y Toro á los de fusileros D. Josef de Vi— llacevallos y D. Antonio Carrasco: á Capitán de fusileros del de Soria al Teniente de granaderos D. Josef Paredes: ¿Teniente de granaderos del de Betanzos al de fusileros D. Felipe de Senra: á Teniente de fusilero</t>
  </si>
  <si>
    <t>Carrasco, Francisco</t>
  </si>
  <si>
    <t>Francisco Carrasco</t>
  </si>
  <si>
    <t>de Artillería de Mallorca al Sargento primero del quinto Regimiento del Real* Cuerpo de Artillería D. Francisco Carrasco. El Rey ha promovido en los Cuerpos de Milicias Provinciales á Capitán de granaderos en el de Toro al de fusileros D. Cesáreo Escovar: á Capitanes de fusileros en los de Santiago</t>
  </si>
  <si>
    <t>Carrasco, Juan Vicente</t>
  </si>
  <si>
    <t>Juan Vicente Carrasco</t>
  </si>
  <si>
    <t>rancia, profesor de Anatomía y Fisiología cn la escuela de Medicina de Mompeller &amp;c., traducida por D. Juan Vicente Carrasco, Médico de los Reales hospitales General y Pasión de esta Corte: tomo 2.0 El retraso que ha tenido este tomo en su publicación ha consistido en que el editor ha tenido necesidad d</t>
  </si>
  <si>
    <t>Carrasco, Miguel</t>
  </si>
  <si>
    <t>Miguel Carrasco</t>
  </si>
  <si>
    <t>Francisco Alcántara, D. Nicolás Gódiel, D. Manuel Orihuela, D. Vicente Herencia, D.Vicente Portugal,D. Miguel Carrasco y D. Martin Vargas; Ayudantías á D. Jorge Santos García y D. Melchor Olaquibel; Tenencia de granaderos á D. Melchor Ramos;y sencillas á D. Laureano Cabrera , D. Mariano Anaya, D. Blas</t>
  </si>
  <si>
    <t>Carrasco, Vicente</t>
  </si>
  <si>
    <t>Vicente Carrasco</t>
  </si>
  <si>
    <t>sado él verano próximo. El 19 de Febrero último falleció en esta Corte, álos 78 años de edad, elSr. D. Vicente Carrasco, Intendente de los Reales Exércitos, deL .Consejo de S. M. en el Supremo de Hacienda, y Director general jubilado de Correos y Caminos. Sirvió á S. M. de Superintendente de las Re</t>
  </si>
  <si>
    <t>Carreño, Antonio</t>
  </si>
  <si>
    <t>Antonio Carreño</t>
  </si>
  <si>
    <t>nado S. M. promover á Capitán de Ja Compañía de infantería fixa de Acapulco al Teniente de la misma D. Antonio Carreño. En el Batallón de infantería Provincial de Guanaxuato, en Nueva-España, se ha servido S. M. promover á Teniente al Subteniente de granaderos D. Gerónimo Gómez Torre; á Subtenient</t>
  </si>
  <si>
    <t>Carreri, Tomás</t>
  </si>
  <si>
    <t>Tomás Carreri</t>
  </si>
  <si>
    <t>uan Peralta; Ayudantía á D. Josef Romero; Tenencia de granaderos á D. Juan Estevez,y de fusileros á D. Tomas Carreri,D. Juan Anglés, Don Pascual Toledo, D. Manuel Carpió, D. Francisco Grambel,D. Josef Cordero, D. Ramón Oviedo y D. Juan Cornejo; Subtenencia de granaderos á D. Miguel San Román, y</t>
  </si>
  <si>
    <t>Carretero, Miguel</t>
  </si>
  <si>
    <t>Miguel Carretero</t>
  </si>
  <si>
    <t>al Subteniente D. Francisco Céspedes; y en el de Jaén á Subtenientes de bandera al Sargento primero D. Miguel Carretero, y al Cadete de Voluntarios de Estado D- Rafael Osorno. Igualmente ha conferido S. M. el empleo de primer Ayudante en el primer batallón de Voluntarios de Aragón al Capitán segund</t>
  </si>
  <si>
    <t>Carrillo Mayoral, Joaquín</t>
  </si>
  <si>
    <t>Joaquín Carrillo Mayoral</t>
  </si>
  <si>
    <t>stras, lo propuso á la Real Junta de Beneficencia presidida por el R. Obispo de Zamora el limo. Sr. D. Joaquín Carrillo Mayoral, que se halla en esta ciudad á su santa visita. Éste Prelado generoso, y cuya piedad es bien conocida, no solo accedió con la Junta á una propuesta tan útil y benéfica, sí también</t>
  </si>
  <si>
    <t>Carrillo, Francisco</t>
  </si>
  <si>
    <t>Francisco Carrillo</t>
  </si>
  <si>
    <t>y D. Josef de la Bársena; á Tenientes á los Alféreces D. Leonardo Sánchez, D. Miguel Arroyo Ríos y.D. Francisco Carrillo ; á Alféreces á los Portaguiones D. Manuel Fernandez Alonso, D. Mariano de Otero y D. Pedro de Otero; y á Portaguiones á D. Antonio de Velasco y Pérea Galvez, D. Andrés de Obregoa</t>
  </si>
  <si>
    <t>Carrion, Juan</t>
  </si>
  <si>
    <t>Juan Carrion</t>
  </si>
  <si>
    <t>á D. Julián de los Ríos; la Sargentía mayor á D. Martin Rodríguez de Cea; Compañía de granaderos á D. Juan Carrion, y de fusileros á D. Manuel Caballero, D. Josef Matías de Paredes, D. Diego de Sosa, D. Mauricio Zamalloa, D. Teodoro Martínez dei Campo, D. Mariano Mallea, Don Josef Marcelino de</t>
  </si>
  <si>
    <t>Carro</t>
  </si>
  <si>
    <t>a del Rhin, y que tenían fincas en la orilla izquierda. Según los últimos avisos que ha recibido el Dr. Carro acerca de los progresos de la vacunación en las Indias Orientales, el Gobernador ha intimado por un edicto de 19 de Enero de 803 á los Europeos y Nacionales, sujetos á la Presiden</t>
  </si>
  <si>
    <t>Cartwright</t>
  </si>
  <si>
    <t>unes: 110 obstante, uno de los mas ardientes defensores de la libertad de los Católicos Irlandeses, Mr. Cartwright, se admiró de que se hubiese escogido este momento para proponer una disposición, que se sabia no podía pasar en el estado actual de las cosas. Respondió Mr. Fox, que no concebía</t>
  </si>
  <si>
    <t>Caruncho, Ramón</t>
  </si>
  <si>
    <t>Ramón Caruncho</t>
  </si>
  <si>
    <t>da: á Teniente de fusileros y Subteniente de Bandera en el de Betanzos al Subteniente de granaderos D. Ramón Caruncho y á D. Josef Benito Montenegro*, á Teniente de fusileros en el de Cuenca al Subteniente D. Josef Martin Ruiz: á Subtenientes de granaderos y de Bandera en los de Jaén y Ciudad-Rodri</t>
  </si>
  <si>
    <t>Carvajal, Estéban</t>
  </si>
  <si>
    <t>Estéban Carvajal</t>
  </si>
  <si>
    <t>Tapia; y de fusileros á D. Josef Meneses, D. Mariano Hinojosa, D. Andrés Losa, D. Manuel Calderón, D. Estéban Carvajal, D. Francisco Calderón, D. Domingo del Castillo y D. MarianoGab do; y de bandera á D. Eladio de la Riba y D. Bernardo Portugal. El Rey se ha dignado conceder en el Batallón de Mil</t>
  </si>
  <si>
    <t>Carvajal, Juan</t>
  </si>
  <si>
    <t>Juan Carvajal</t>
  </si>
  <si>
    <t>al Teniente, graduado de Capitán, D. Josef Escovar: á Teniente en el de la Princesa al Subteniente D. Juan Carvajal; y á Subteniente de bandera en el de Toledo al Sargento primero de granaderos D. Pedro Payo. En América. £1 Rby se ha dignado conceder la Tenencia Coronela deFRegimiento de infant</t>
  </si>
  <si>
    <t>Carvajales, Antonio</t>
  </si>
  <si>
    <t>Antonio Carvajales</t>
  </si>
  <si>
    <t>S. M. se ha servido nombrar Guarda-Almacén ordinario de Artillería de la plaza de Ciudad-Rodrigo á D. Antonio Carvajales, Guarda-Almacén extraordinario de la del Ferrol; y para este último empleo ha nombrado á D. Tomas Merita , Guarda-Almacén de Artillería de la plaza de Vigo. En América. En el Regi</t>
  </si>
  <si>
    <t>Casa y Corte</t>
  </si>
  <si>
    <t>de Alcalde del Crimen y Oidor de la Real Chancillería de Granada, Alcalde de su Casa y Corte, Ministro del Consejo Real; y últimamente en el de la Suprema general Inquisición: en cuyos empleos, y en las muchas y graves comisiones, que tuvo á bien S. M. fiar á su cuidado, acreditó e</t>
  </si>
  <si>
    <t>Casado, Isidoro</t>
  </si>
  <si>
    <t>Isidoro Casado</t>
  </si>
  <si>
    <t>: Compañías'dé granaderos en los de León, Orense y Alcázar de S. Juan á los. Capitanes de fusileros D. Isidoro Casado, Don Bernardo González y D. Pedro Tabarra , este graduado de Teniente Coronel; Compañías de fusileros en los de Ecijay Monterey á los Tenientes de granaderos D. Francisco Pretel y</t>
  </si>
  <si>
    <t>Casado, Matías</t>
  </si>
  <si>
    <t>Matías Casado</t>
  </si>
  <si>
    <t>de la Colegial de Roa en el Obispado de Osma, vacante por haber fallecido sin posesionarse de ella D. Matías Casado, á quien nombré por decreto de 20 de Mayo del año próximo pasado, á D. Manuel Zapatero, Capellán de la Parroquia de la Santísima Trinidad de la propia villa de Roa: para la plaza</t>
  </si>
  <si>
    <t>Casal, Gerónimo</t>
  </si>
  <si>
    <t>Gerónimo Casal</t>
  </si>
  <si>
    <t>o Escovedo ; Compañía de granaderos á D. Luis Sánchez Toro ; y sencillas á D. Sebastian Benavente , D. Gerónimo Casal, D. Nicolás Montesinos, D. Eugenio Figueroa, D. Josef Alvaro de Arias, D. Juan Pablo Molina, D. Mariano Cáceres y D. Andrés de Cárdenas; Ayudantías á D. Cayetano Castro y D. Josef</t>
  </si>
  <si>
    <t>Casal, Manuel</t>
  </si>
  <si>
    <t>Manuel Casal</t>
  </si>
  <si>
    <t>Id. id. Manuel Casal. Hijo de Josef y de María López, natu­</t>
  </si>
  <si>
    <t>Casañas, Tomás</t>
  </si>
  <si>
    <t>Tomás Casañas</t>
  </si>
  <si>
    <t>a Media-Ración de la Metropolitana de Manila, en Filipinas, vacante por ascenso á Ración de ella de D. Tomas Casañas, á D. Josef Vicente de Arcega, Sacristán mayor de dicha Catedral. También ha conferido el Rey la plaza de Regente de la Audiencia de México, vacante por fallecimiento de D. Cosme</t>
  </si>
  <si>
    <t>Casano, Antonio</t>
  </si>
  <si>
    <t>Antonio Casano</t>
  </si>
  <si>
    <t>ervido conferir el Gobierno militar y político de la. plaza de S. Fernando de Figüeras al Brigadier D. Antonio Casano, Coronel del primer Régimíentó dei Real Cuerpo de Artillería. El 29 del mes próximo pasado presentó á público examen de pura Gramática latina y traducción sus discípulos el Precep</t>
  </si>
  <si>
    <t>Casanova, Juan</t>
  </si>
  <si>
    <t>Juan Casanova</t>
  </si>
  <si>
    <t>................... . madura: murió en ,18 de Feb. de 1805.....J 9 ío [uan Casanova........ Hijo de Josef, natural de Onteniente en Va 1 , ^ lencia: murió en 19 de Marzo de 1805..... J ' * a8...¿ Pedro Romanos. Hijo de M</t>
  </si>
  <si>
    <t>Casasola, Joaquín</t>
  </si>
  <si>
    <t>Joaquín Casasola</t>
  </si>
  <si>
    <t>mpero; y empleos de Portaestandarte en los del Rey y Reyna á los Cadetes del de Calatrava é Infante D. Joaquín Casasola y D. Joaquín Fonseca. i —La Real Sociedad económica de esta Corte, con asistencia de la Junta de Señoras de honor y mérito, que está unida á dicho Cuerpo patriótico, celebró el dia 9</t>
  </si>
  <si>
    <t>Casenave, Bernardo</t>
  </si>
  <si>
    <t>Bernardo Casenave</t>
  </si>
  <si>
    <t>érrez Camberos y España; y en el de Borbon al Cadete D. Henrique de Valadous, y al Sargento primero D. Bernardo Casenave. El Rey se ha servido conceder empleo de Alférez en el Regimiento de caballería del Príncipe al Portaestandarte D. Alvaro Maldonado: en el de Alcántara empleo de Portaestandarte á</t>
  </si>
  <si>
    <t>Cases, Jacinto</t>
  </si>
  <si>
    <t>Jacinto Cases</t>
  </si>
  <si>
    <t>rcelona , , 66. 12- Jacinto Cases..............Sebastian. . Teresa, , 99999 Gradell , , , Tarragona , 66. 12. Rafael Puig................Josef...,. Margarita, , , , , Sampeire , ,</t>
  </si>
  <si>
    <t>Casim</t>
  </si>
  <si>
    <t>Vicente de Torres Cónsul, del Consejo de S. M., Tepíente Corregidor de esta villa, y escribanía de D. Casim.ro Antonio Gómez; y en Badajoz al Sr. Corregidor de ella, y oficio de D. Benito Gil y Nogues, en el término de «‘o dias contados desde el 6 del presente. Por la audiencia del Sr.</t>
  </si>
  <si>
    <t>Casimiro Antonio Gómez</t>
  </si>
  <si>
    <t>e venden para pago de acreedores. Quien quisiere hacer postura, acuda á la escribanía del número de D. Casimiro Antonio Gómez, en el término de 30 dias contados desde el 8 del presente. En virtud de providencia del referido Sr. Teniente se ha sacado á pública subasta, por término de 30 dias contados desd</t>
  </si>
  <si>
    <t>rs., que se venden para pago de acreedores. Quien quisiere hacer postura, acuda á la escribanía de D. Casimiro Antonio Gómez. Por ,1a audiencia del citado Sr. Teniente, y escribanía del número de D. Rarnon de Milla Cuellar, á virtud de la aprobación hecha del remate celebrado en el dia 22' de Julio próx</t>
  </si>
  <si>
    <t>Casimiro Contreras</t>
  </si>
  <si>
    <t>sef Perez del Portillo, D. Simón Aguirre y D. Manuel Oreilana; el empleo de Alférez de granaderos á D. Casimiro Contreras; y sencillos á D. Miguel Riquelme, D. Josef Mendez, D. Matías Aguirre, D. Mariano Llanos, D. Lorenzo Portugal, D. Francisco Gamarra, D. Pedrb Godiel, D. Juan de Dios Va'dés, D. Ma</t>
  </si>
  <si>
    <t>Casimiro Gómez Ortega</t>
  </si>
  <si>
    <t>ro Señor, é ilustrado con láminas por el primer Catedrático, que ha sido del Real Jardín de Madrid, D. Casimiro Gómez Ortega: segunda edición en 2 tomos Cn 4.0, á 24 rs. en rústica, en la librería de Castillo, frente á las gradas de S. Felipe, donde también se hallarán la Filosofía botánica de Linneo, i</t>
  </si>
  <si>
    <t>r montes y bosques; y de conservar y restablecer los deteriorados: ilustrado con notas por el mismo D. Casimiro Gómez Ortega: un tomo en 8.° marquilla, á 14 rs. en rústica y 16 en pasta. Catálogo de las lenguas de las naciones conocidas, y numeración, división y clases de estas según la diversidad de su</t>
  </si>
  <si>
    <t>Casimiro Lasala, Martín</t>
  </si>
  <si>
    <t>Martín Casimiro Lasala</t>
  </si>
  <si>
    <t>ante: á esta resulta al Capitán primero D. Nicolás Barceíd; y á la que este dexa al Capitán segundo D. Martin Casimiro Lasala. S. M. se ha servido conferir empleos de Alférez en los Regimientos de caballería de Borbon y España á los Portaestandartes D. Benito Cardón y D; Manuel Lebon: en el de Alcántara</t>
  </si>
  <si>
    <t>Casimiro Mendez</t>
  </si>
  <si>
    <t>dicha Metropolitana por fallecimiento de D. Andrés Perez Biachoí para la Ración que este obtiene á D. Casimiro Mendez, Guardia de Corps de la Compañía Española: para la primera Ración de la Parroquia de la villa de Hinojosa de Duero, en la Diócesi de Ciudad-Rodrigo, vacante por muerte de D. Juan</t>
  </si>
  <si>
    <t>Casimiro Monté</t>
  </si>
  <si>
    <t>egundo Batallón de Voluntarios de Barcelona se ha servido el Rey promover á Teniente al Subteniente D. Casimiro Monté. El Rey se ha servido conceder Tenencia en el Regimiento de caballería del Príncipe al Alférez D. Vicente San Román: empleos de Alférez en los del Infante y Alcántara á los Portae</t>
  </si>
  <si>
    <t>Caslmi</t>
  </si>
  <si>
    <t>y Subtenencias de bandera de los primeros Batallones de Voluntarios de Ajragon y Cataluña al Cadete D. Caslmi</t>
  </si>
  <si>
    <t>Casou, Juan</t>
  </si>
  <si>
    <t>Juan Casou</t>
  </si>
  <si>
    <t>25* En Alicante.... D. Juan Casou y compañía. En Avila..... .......... D. Josef Pigneras Gómez. En Badajoz.......... . D. Francisco Fernandez de la Peña y de S. Miguel. En Barcelona....... D. Ramón Ltordella é hijo.</t>
  </si>
  <si>
    <t>en la Real Aduana, y en las provincias á los comisionados siguientes : . r j En Alicante....,..... D. Juan Casou y compañía. En Avila:............ D. Josef Pigneras Gómez. En Badajoz......... D. Francisco Fernandez de. la Peña y de S. Miguel. , ’ En B'arcelona....... D. Ramón Llordella é hijo.</t>
  </si>
  <si>
    <t>Casquete y Villaran, Vicente</t>
  </si>
  <si>
    <t>Vicente Casquete y Villaran</t>
  </si>
  <si>
    <t>ía unida de la Colegial de Soria, Diócesis de Osma, vacante por muerte de D. Juan Josef Martínez, á D. Vicente Casquete y Villaran , Dignidad de Chantre de la misma Colegial: para esta resulta í D. Diego Moreno Alvarez; y para una Canongía de la Colegial de Uxijar, en el Arzobispado de Granada, vacante por fa</t>
  </si>
  <si>
    <t>Castañera, Joaquín</t>
  </si>
  <si>
    <t>Joaquín Castañera</t>
  </si>
  <si>
    <t>, dirigirán sus memoriales, con los méritos que á cada uno acompañen, al Secretario de Ayuntamiento D. Joaquin Castañera; en la inteligencia que el pueblo es bien situado, sano, y se compone de 700 vecinos. Memorial literario, ó Biblioteca periódica de ciencias y artes, núm. 4.0, perteneciente al dt</t>
  </si>
  <si>
    <t>Castaños, Antonio</t>
  </si>
  <si>
    <t>Antonio Castaños</t>
  </si>
  <si>
    <t>ndante del Montañés, fué muerto en la acción , y herido gravemente su segundo el Capitán de Fragata D. Antonio Castaños. Otras muchas pérdidas de excelentes Oficiales debe haber hecho sin duda el Cuerpo general de la Armada, pues varios buques nuestros fueron enteramente desarbolados de todos sus p</t>
  </si>
  <si>
    <t>ante, herido en el Argonauta: D. Teodoro Argumosa, id., herido en el Monarca. Capitanes de Fragata. D. Antonio Castaños, segundo Comandante, muerto en el Montañés: D. Francisco Moyua, id., muerto en el Nepomuceno: D. Joaquin Somoza, id., herido en el Neptuno. D. Tomas Ramerí, id., herido en el Baha</t>
  </si>
  <si>
    <t>Castberg</t>
  </si>
  <si>
    <t>en las 5 Parroquias de esta ciudad á 2843, el de los muertos á 3326, y el de matrimonios á 1078. Ei Doctor Castberg habia recibido de su Gobierno (la Dinamarca) el encargo de visitar rodos los establecimientos de sordo-mudos que hay en Europa, y -de informarse acerca de los experimentos y aplic</t>
  </si>
  <si>
    <t>Castellano Cabrejano, Cipriano</t>
  </si>
  <si>
    <t>Cipriano Castellano Cabrejano</t>
  </si>
  <si>
    <t>ra: para otra de lá Catedral de Cuenca, vacante por fallecimiento de D. Josef Clemente Aróstegui, á D. Cipriano Castellano Cabrejano, Racionero de ella: para otra de la Colegial de S. Salvador de la ciudad de Sevilla, vacante por muerte de D. Pedro Julián Donado , á D. Juan Ignacio Xetrero y Torrado , Cura de l</t>
  </si>
  <si>
    <t>anónigo de la Catedral de Almería: para la Ración de la Catedral de Cuenca , vacante por ascenso de D. Cipriano Castellano Cabrejano á Canongía de la misma Catedral, á D. Antonio Torriol y Alvarez, Vicario perpetuo de la Parroquia de la Villa de Sueca, Diócesis de Valencia: para una Capellanía de Coro de la Igl</t>
  </si>
  <si>
    <t>: para el Beneficio de la Parroquia del Castellar, en el Obispado de Jaén, vacante por promoción de D. Cipriano Castellano Cabrejano á Canongía de la Catedral de Cuenca, á D. Josef Andujar; y para las Prestameras de Constanzana y S. Vicente , Diócesi de Avila, vacantes por muerte de D. Gregorio López, á quien s</t>
  </si>
  <si>
    <t>Castellanos, Francisco</t>
  </si>
  <si>
    <t>Francisco Castellanos</t>
  </si>
  <si>
    <t>Francisco Castella • Hijo del mismo, nat. de Fuente de la Cam-n</t>
  </si>
  <si>
    <t>Castelnou, Jorge</t>
  </si>
  <si>
    <t>Jorge Castelnou</t>
  </si>
  <si>
    <t>ios de Aragón Tenencia al Subteniente D. Juan Blancas, y Subtenencia de bandera al Sargento primero D. Jorge Castelnou. El Rey se ha servido conceder Ayudantía en el Regimiento de infantería de Ñapóles al Teniente D. Josef Borlasca: Tenencias en los de América y Ordenes Militares á los Subteniente</t>
  </si>
  <si>
    <t>Castilla, Tomás</t>
  </si>
  <si>
    <t>Tomás Castilla</t>
  </si>
  <si>
    <t>al Brigadier D. Antonio Ruano; á Brigadier al Subrigadier D. Diego Oviedo.; á Subrigadier al Cadete D. Tomas Castilla; á Cadete de número al supernumerario D. Josef de la Cueva, y á supernumerario al Guardia D. Joaquín Somaio. En el Regimiento de infantería de Córdoba se ha servido el Rey promove</t>
  </si>
  <si>
    <t>Castlereagh, Lord</t>
  </si>
  <si>
    <t>Lord Castlereagh</t>
  </si>
  <si>
    <t>de 5o, otra de 36, y una de 18, á las quales se cree se hayan juntado la fragata Bombay de 36 y el Lord Castlereagh de 44.—_Nüéstra esquadra, en la Iridia, se compone del Tremendo de 74, dél Lancáster de 04 Í de la Terpsícore de 32, y del Faetonte de 36. El Avien y el Cetro, cada uno de 74', están</t>
  </si>
  <si>
    <t>de este Ministro , la que parece ha recibido el Rey con satisfacción.___Se cree generalmente que el Lord Castlereagh despachará interinamente por el Lord Meiville. Dicen que será su sucesor el Conde de Buckinghamshire: otros dicen que le reemplazará Mr. Yorke. El Gobierno ha mandado enviar Inmediat</t>
  </si>
  <si>
    <t>fin , objeto y resultado de las negociaciones actualmente-pendientes entre S. M. y otras rotencias. Lord Castlereagh replica á Mr. Grey. Dice que la deuda publica, aumentada en 30 millones de libras esterlinas, no es mas que un aumenta puramente nominal. Observa que el exército se ha aumentado:</t>
  </si>
  <si>
    <t>te del Consejo en lugar de Lord Sidmouth (Addington). En el Ministerio 'de la Guerra ha sucedido el Lord Castlereagh. Estos1 dias últimos Lord Grenville ha tenido una larga audiencia de S. M. En conseqiiencía de un pliego del Almirante Sir John Orde, de fecha de io de Abril, á bordo del navio Gl</t>
  </si>
  <si>
    <t>a altura prodigiosa, y cayeron lejos con un estrépito aun mayor que quando se dispararon. Al saltar Lord Castlereagh de un barco á otro para observar de cerca la construcción del bote doble, cayó en el rio, y desapareció debaxo de los barcos por uft instante. Por fortuna es un excelente nadador ; y</t>
  </si>
  <si>
    <t>Castrillon, Félix</t>
  </si>
  <si>
    <t>Félix Castrillon</t>
  </si>
  <si>
    <t>rente á las gradas de S. Felipe, y en la de Ranz, calle de la Cruz. La Dorotea, comedia original de D. Félix Castrillon, representada en el teatro de los Caños del Peral. Se hallará, con las del Reconciliador y el Distraído, del mismo autor, todas en 8.°, en las librerías de Castillo, frente a las</t>
  </si>
  <si>
    <t>Castro y Barbeyto</t>
  </si>
  <si>
    <t>calle de la Cruz, y de Barco y compañía, calle de las Carretas. Sermones morales y panegíricos del Dr. Castro y Barbeyto, formados sobre los tres estilos que divide la retórica sublime, mediocre y familiar, para los Predicadores jóvenes: 3 tomos en 8.° = Sermones para la Novena de nuestra Señora de</t>
  </si>
  <si>
    <t>Castro, Antonio</t>
  </si>
  <si>
    <t>Antonio Castro</t>
  </si>
  <si>
    <t>o Fariñas, D. Santiago de Alboniga y‘Romero , Di Antonio María Vitoria Hernaez, D. Mamerto Vázquez, D. Antonio Castro; D.' Crisanto Viguera y D. Santiago García. Respondiéron tan acertadamente y tan á satisfacción del concurso literato, que los repetidos vivas y aclamaciones‘que se les tributaban</t>
  </si>
  <si>
    <t>Castro, Cayetano</t>
  </si>
  <si>
    <t>Cayetano Castro</t>
  </si>
  <si>
    <t>sef Alvaro de Arias, D. Juan Pablo Molina, D. Mariano Cáceres y D. Andrés de Cárdenas; Ayudantías á D. Cayetano Castro y D. Josef Molina; Tenencia de granaderos á D. Josef Rosello; y sencillas á D. Alexandro Benavente, D. Mariano Aragón, D. Josef Escovedo, D. Pablo Muñoz, D. Lorenzo Lencinas, Don Jose</t>
  </si>
  <si>
    <t>Castro, Lorenzo</t>
  </si>
  <si>
    <t>Lorenzo Castro</t>
  </si>
  <si>
    <t>8... Lorenzo Castro.... Hijo de Isidro, nat. de Castellano, Obisp.!</t>
  </si>
  <si>
    <t>Catalan, Dionisio</t>
  </si>
  <si>
    <t>Dionisio Catalan</t>
  </si>
  <si>
    <t>Muzquiz : para igual Corregimiento del Estado de los Pedroches de Córdoba, su capital Pozoblanco, á D. Dionisio Catalan ; y para la Vara de Alcalde mayor de la ciudad de Almería á D. Dalmacio Alpuente. En atención á los méritos, servicios y distinguida nobleza de D. Juan Clemente Nuñez del Castillo</t>
  </si>
  <si>
    <t>Catalina Germán y Hugalde</t>
  </si>
  <si>
    <t>................D. Pedro Gil de Tejada. En Málaga.......... . D. Juan Ximeno. En Mahon..............Doña Catalina Germán y Hugalde. En Murcia.............Sres. Moreda y Ladalid. En Oviedo............. D. Manuel Rubiano. En Patencia.......... D. Nicolás Calonge. En Palma.......... D. Martin Mayol. En Pamplona.</t>
  </si>
  <si>
    <t>Catalina Germán' y Hugáfde</t>
  </si>
  <si>
    <t>............. D. Pedro Gil de Tejada. ' En Málaga.......... D. Jtfafl Ximenó. ' Eñ Mahon........... Doña Catalina Germán' y Hugáfde". En Murcia........... Sres»Moreda y Ladalid. ; . En Oviedo. ..../.id..-D.^Manuel Riibiáno. En Patencia...... Viuda de D» Nicolás Calónge d hijo mayor. En Palma...... D. Martin Ma</t>
  </si>
  <si>
    <t>Catedrático de Agricultura</t>
  </si>
  <si>
    <t>principal: asistieron en calidad de Examinadores los Socios D. Serapio Sinués, Catedrático de Agricultura, Médico Colegial, D. Josef Hernando y D. Tomas Xopez, Secretarios de las clases de Agricultura y Artes, también Médicos Colegiales, D. Josef Benito de Cistué y D. Josef Duaso, Catedrático</t>
  </si>
  <si>
    <t>Catheart, General</t>
  </si>
  <si>
    <t>General Catheart</t>
  </si>
  <si>
    <t>la brigada de Montañeses, y los Regimientos 43 , 52 y 78 se embarcarán en portsmouth. Creese que el General Catheart mandará la cabaílería,,el General Moore la infantería, y el Duque de Yorck mandará en .xefe la expedición----- En las Dunas solo se cuenta el numero suficiente de transportes para</t>
  </si>
  <si>
    <t>Catheart, Lord</t>
  </si>
  <si>
    <t>Lord Catheart</t>
  </si>
  <si>
    <t>o se embarcará hasta la primavera1 próxima. .. ¿ • El Rey ha prorogado el Parlamento al 7 de Enero: Lord Catheart ha sido presentado al Rey por Lord Mulgrave, con motivo de su próximo viage á Petersburgo, adonde va en calidad de Embaxador. También ha sido presentado al Rey Sir Arturo Wellesle</t>
  </si>
  <si>
    <t>Católico de Wirtemberg, Obispo</t>
  </si>
  <si>
    <t>Obispo Católico de Wirtemberg</t>
  </si>
  <si>
    <t>Los Tenientes Generales quedan en la segunda cíase. Entre los que ocupan la primera se ha notado al Obispo Católico de Wirtemberg, que tendrá su residencia en Eliwangen ; este Preladoes al mismo tiempo Principe d Conde del Imperio. Hasta ahora ignorábamos la erección de este nuevo Obispado; pero, vista la me</t>
  </si>
  <si>
    <t>Cattaneo</t>
  </si>
  <si>
    <t>Mrs. Belluomini, Cotenua y Luchesini, Enviado extraordinario y Diputados de la República de Lúea; y Mr. Cattaneo , Ministro plenipotenciario de lá República Ligústica. ;E1 dia 19 por la mañana tuvo audiencia de S. M* I. .el Príncipe de Maserano, Embaxador de S. M. C., en la que presentó sus</t>
  </si>
  <si>
    <t>Cauchois, Coronel</t>
  </si>
  <si>
    <t>Coronel Cauchois</t>
  </si>
  <si>
    <t>del primero de húsares, y los Edecanes Flahault y Lagrange, se han distinguido particularmente. El Coronel Cauchois ha sido herido. — El 21 pasó la noche el Príncipe Murat en Nuremberga, donde descansa hoy 22. En el combate de Elchingen del 15 del corriente se distinguió el 69 Regimiento de lín</t>
  </si>
  <si>
    <t>caudillo Czaravitz</t>
  </si>
  <si>
    <t>ino; la primera mandada por el General en gefe Czeriii-Jorge; la segunda por el caudillo Czaravitz; la tercera está acabando de completarse, y todas se reunirán en la ciudad de Ostronitza. El Comandante Servio, acampado en las inmediaciones de dicha ciudad;</t>
  </si>
  <si>
    <t>caudillo Dergori</t>
  </si>
  <si>
    <t>alla quedó cabierto de sus cadáveres, y regado con ríos de sangre suya. Los dos caudillos Rusos Lewid y Dergori, muchos Oficiales y mas de 6® soldados quedáron tendidos en el campó; Con esta victoria memorable hemos ganado 34 piezas de canon, muchas municiones de guerra</t>
  </si>
  <si>
    <t>caudillo Elíi-Bey</t>
  </si>
  <si>
    <t>a tarde para estorbar que los Mamelucos se apoderen de Alexandría y lloseta. Su caudillo Elíi-Bey es el mismo que estuvo bastante tiempo en Inglaterra, y sospechamos que obra con arreglo á las instrucciones de los Ingleses; quienes piensan desembarcar tropas</t>
  </si>
  <si>
    <t>caudillo Indios</t>
  </si>
  <si>
    <t>Presidente Jefferson ha dirigido un discurso á la diputación de los guerreros y caudillos Indios de la tribu de los Osages, cuya lectura basta para traslucir algún tanto sus ulteriores designios. HUNGRIA. Semlin t.° de Diciembre. Es tan extremada la carestía de</t>
  </si>
  <si>
    <t>caudillo Kusanzy-AIi</t>
  </si>
  <si>
    <t>in 8 de Agosto. El Baxá de Belgrado está todavía en poder de los Kersates, cuyo caudillo Kusanzy-AIi está en ánimo de deponerlo de sil empleo, y nombrar en su lugar á un Turco acaudalado que entre con la carga de pagar las deudas de. su predecesor. Este proyecto</t>
  </si>
  <si>
    <t>caudillo los</t>
  </si>
  <si>
    <t>l. HUNGRIA. Setnlin 25 de Diciembre. El Congreso celebrado en Semendria por los caudillos Servios y los</t>
  </si>
  <si>
    <t>caudillo Rusos Lewid</t>
  </si>
  <si>
    <t>caudillo Sáud</t>
  </si>
  <si>
    <t>tan de día en día crecidos cuerpos de tropas: tres tiene ya listos y prontos su caudillo Sáud, y piensa invadir muy luego por tres partes diferentes lá rica ciudad de Bassdra. ■ Los varios rebeldes, qué á mano armada se han hecho dueños de la'Romelia, h</t>
  </si>
  <si>
    <t>caudillo Servio</t>
  </si>
  <si>
    <t>lágrimas, imploraron su clemencia. Inflexible a este espectáculo tan tierno el caudillo Servio, pregunto a quanto ascendía el número los Turcos extrangeros que había en la plaza: dixéronle que eran 400,que habían venido con el objeto de visitar á sus ami</t>
  </si>
  <si>
    <t>caudillo Servios</t>
  </si>
  <si>
    <t>ra por cierto que ha sido infructuoso el viage á Rusia de Czerdakli, uno de los caudillos Servios. Francfort 28 de Febrero. El Gabinete Imperial, según escriben de Viena, hace ya algún tiempo que está muy alerta sobre lo que pasa en Italia , de donde recibe</t>
  </si>
  <si>
    <t>s asuntos de la Servia,,de Egipto , de Arabia, y de las provincias vecinas. Los caudillos Servios continúan negociando, y disponiéndose al mismo tiempo para renovar con mayort vigor las hostilidades , si así -lo exigieren las- circunstancias. La Puerta node</t>
  </si>
  <si>
    <t>urcos han hecho nuevas propuestas, pidiendo que pasen á Belgrado algunos de los caudillos Servios , á fin de asentar las basas de una paz definitiva. Han consentido en ello con la condición de que 30 Turcos, de los mas acaudalados y distinguidos de Belgrado</t>
  </si>
  <si>
    <t>caudillo Turco</t>
  </si>
  <si>
    <t>quejaban del exceso de autoridad que, en su dictámen, se habia apropiado dicho caudillo Turco.__Deseaban sacudir su yugo á toda</t>
  </si>
  <si>
    <t>Cauiaincourt</t>
  </si>
  <si>
    <t>de Ingenieros; á Mr. DoulcetPontecoulant, Prefecto del Dyle; á Mr. Colchen, Prefecto del Mosela; á Mr. Cauiaincourt, Presidente del Colegio Electoral del Aisne; á Mr. St.-Vallier, Presidente del Colegio del Droma; á Mr. Papin, Presidente de la Asamblea del Cantón de Aire; y á Mr. Valence, Presi</t>
  </si>
  <si>
    <t>Cavado, Pedro</t>
  </si>
  <si>
    <t>Pedro Cavado</t>
  </si>
  <si>
    <t>antría de la Catedral de Lugo, vacante por promoción de Don Antonio Lence al Deanato de la misma, á D. Pedro Cavado, Cura en aquella Diócesi; y para el Beneficio simple servidero de la villa de Mombeltran, Obispado de Avila, vacante por fallecimiento de D. Bartolomé Ramírez , á D. Julián Fernan</t>
  </si>
  <si>
    <t>Cavaleri y Arana, Manuel</t>
  </si>
  <si>
    <t>Manuel Cavaleri y Arana</t>
  </si>
  <si>
    <t>era Dávila y Albear, D. Francisco de Paula Uclés de Herrera y Ramírez, D. Diego Entrena y Mosquera, D. Manuel Cavaleri y Arana, D. Agustín del Barco y la Cendeja, D. Francisco Rio Espina y Aracil. D. Pablo de la Puente y Aranguren* D. Luis Cepeda y Ruliere, D. Francisco Andrada Wanderwilde, D. Cipriano Pa</t>
  </si>
  <si>
    <t>Caxide, Santiago Luis</t>
  </si>
  <si>
    <t>Santiago Luis Caxide</t>
  </si>
  <si>
    <t>izo D. Francisco Val verde, á quien nombró por decreto de 11 de Diciembre dei año pasado de 1803, á D. Santiago Luis Caxide: para una Media Ración de la de Sigüenza, vacante por premoción de D. Santiago Fernandez de Bulnes á Ración entera de la misma, á I&gt;. Juan Ruiz Moreno, Vicario de la Parroquia de</t>
  </si>
  <si>
    <t>Cdrnwallis, Almirante</t>
  </si>
  <si>
    <t>Almirante Cdrnwallis</t>
  </si>
  <si>
    <t>ni del Almirante Calder,. ni de las esquadras combinadas. : .. El Gobierno há recibido pliegos del Almirante Cdrnwallis , anunciando que en la noche del 8 del corriente la fragata Nayade: avistó á 25 leguas de Ouessant una esquadra Francesa de 4 navios de línea, uno de ellos de 3 puentes , 4 fragat</t>
  </si>
  <si>
    <t>Cean Bermudez, Juan Agustín</t>
  </si>
  <si>
    <t>Juan Agustín Cean Bermudez</t>
  </si>
  <si>
    <t>D. Gabriel Quijano, Presbítero. =: Descripción artística del hospital de la Sangre de Sevilla, por D. Juan Agustín Cean Bermudez. Se bailarán en la librería de Martínez, calle de las Carretas. El nuevo Robinson, historia moral , reducida á diálogos para instrucción y entretenimiento de niños y jóvenes de ám</t>
  </si>
  <si>
    <t>Cebolledo, Gregorio</t>
  </si>
  <si>
    <t>Gregorio Cebolledo</t>
  </si>
  <si>
    <t>sla ha promovido el Rey á Capitán al Teniente D. Pedro Guerra; á Teniente al Alférez de carabineros D. Gregorio Cebolledo; á Alférez de carabineros á D. Antonio Estéban; y á Alféreces al Sargento primero D. Josef Miguel Pagan y al Cadete D. Vicente Ramírez de Arellano. Don Francisco Xavier Trelles ha</t>
  </si>
  <si>
    <t>Cebrian, Joaquín</t>
  </si>
  <si>
    <t>Joaquín Cebrian</t>
  </si>
  <si>
    <t>de la Parroquial de Santiago de Villena, en la Diócesis de Cartagena , vacante por fallecimiento de D. Joaquín Cebrian, á D. Luis Santiago de Vado , con obligación de residirle, y ayudar al Párroco en la administración de Sacramentos. El Rey se ha servido nombrar para una Canongía de la Catedral d</t>
  </si>
  <si>
    <t>Cebriari, Miguel</t>
  </si>
  <si>
    <t>Miguel Cebriari</t>
  </si>
  <si>
    <t>aldo. Graduado de Capitán de la Corona.. D. Bernardo Corral. Teniente de Artillería dé Exército.... D. Miguel Cebriari. Alférez de Artillería de Exército...... D. Cárlos Velorado. Heridos. Capitán del Regimiento de la Corona. D. Timoteo OkifF. Alféreces de la Corona............. ........ D. Marian</t>
  </si>
  <si>
    <t>Cegarra, Pedro</t>
  </si>
  <si>
    <t>Pedro Cegarra</t>
  </si>
  <si>
    <t>nza, D. Vicente Béjar, D. Manuel Céspedes, D. Higidio Mariaca, D. Paulino Deza, D. Eugenio Dueñas , D. Pedro Cegarra , D. Mariano García Romani; y Subtenencias de bandera á f). Simón Aguirre y D. Gregorio Santander. En el Batallón de nueva creación de Milicias disciplinadas de Goatemala se ha di</t>
  </si>
  <si>
    <t>Celestino Sánchez, Pedro</t>
  </si>
  <si>
    <t>Pedro Celestino Sánchez</t>
  </si>
  <si>
    <t>sulta al Subteniente dé fusileros Don Francisco Menocal , y ¿ Subtenientes de bandera á Los Cadetes D. Pedro Celestino Sánchez y D. Domingo de Armona. En el Regimiento provincial de Dragones del Príncipe en Nueva-España se ha servido S. M. promover á Capitanes á los Tenientes D. Josef Ga«* miño y D. Josef de</t>
  </si>
  <si>
    <t>Celestino, Papa</t>
  </si>
  <si>
    <t>Papa Celestino</t>
  </si>
  <si>
    <t>n de los diezmos entre el Obispo y e! Capítulo de la Santa Iglesia de Segorve, inédita. = Breve del Papa Celestino 111 en que concede al Cabildo de la Iglesia de Toledo, que, vacando su Silla, pueda entender en las apelaciones de los sufragáneos , inedito. = Donación hecha A la Iglesia Segobri</t>
  </si>
  <si>
    <t>Celie, Andrés</t>
  </si>
  <si>
    <t>Andrés Celie</t>
  </si>
  <si>
    <t>ración de Sacramentos; y para el Beneficio de Candeleda, en la Avila , vacante por fallecimiento de D. Andrés Celie, con la carga de alternar con el Párroco en la misa conventual, á D. Antonio Gutiérrez, con dimisión del de el lugar de Codorniz ,que obtiene en la misma Diócesis. El Rey se ha se</t>
  </si>
  <si>
    <t>Cendrera, Francisco Xavier</t>
  </si>
  <si>
    <t>Francisco Xavier Cendrera</t>
  </si>
  <si>
    <t>udante, graduado de Capitán, D. Mariano Vázquez: en el de Valencia Subtenencia de bandera al Cadete D. Francisco Xavier Cendrera: en el de Toledo Subtenencias de bandera al Sargento primero D. Juan Espinar, y al Cadete D. Josef Antonio Ruisuarez y Diz: en el de América Compañía al Capitán D. Francisco Caler</t>
  </si>
  <si>
    <t>Cenebruno</t>
  </si>
  <si>
    <t>o Diocesano de Valencia, por el B. Juan de Ribera, en Mayo de 15 99. TOMO III. I. Constituciones de D. Cenebruno, Arzobispo de Toledo, extendiendo el número de Canónigos á quarenta, inéditas. = II. Donación de las primicias hechas á la Iglesia Se sobó cense, por D. Pedro Fernandez, tercer Se</t>
  </si>
  <si>
    <t>Cenon Calvo, Lorenzo</t>
  </si>
  <si>
    <t>Lorenzo Cenon Calvo</t>
  </si>
  <si>
    <t>ería de Jaén se ha servido el Rey conferir Compañía al Teniente de granaderos, graduado de Capitán, D. Lorenzo Cenon Calvo; Tenencias en el mismo Cuerpo á los Subtenientes D. Josef Salido y D. Fernanda Mena , el primero de granaderas : la Comandancia del Batallón 'de Voiuntaribs dé Valencia al iTcuici</t>
  </si>
  <si>
    <t>Cepeda y Ruliere, Luis</t>
  </si>
  <si>
    <t>Luis Cepeda y Ruliere</t>
  </si>
  <si>
    <t>gustín del Barco y la Cendeja, D. Francisco Rio Espina y Aracil. D. Pablo de la Puente y Aranguren* D. Luis Cepeda y Ruliere, D. Francisco Andrada Wanderwilde, D. Cipriano Palafox, Marques de Fuente el Sol, D. Josef Povil y Correger, D. Juan Lliñas y Repiso, D. Joaquín Alvarez Maldonado Abadelanzana, D.</t>
  </si>
  <si>
    <t>Cerain, Juan Bautista</t>
  </si>
  <si>
    <t>Juan Bautista Cerain</t>
  </si>
  <si>
    <t>de ordenanza por motivo grave ni leve, y estos fueron de la clase de Académicos D. Rodrigo Tavira, D. Juan Bautista Cerain, D. Blas de Lezo, D. Ignacio de Emparan, D. Juan Cevallos, y el Cadete de Reales Guardias Walonas D* Antonio Gilman: el Seminarista mayor D. Iñigo Órtés de Velasco, los Gefes de s</t>
  </si>
  <si>
    <t>Cerezal, Manuel</t>
  </si>
  <si>
    <t>Manuel Cerezal</t>
  </si>
  <si>
    <t>remate de los frutos y rentas de la Encomienda de Aceuche, Orden de Alcántara, celebrado á favor de D. Manuel Cerezal, vecino de esta Corte, con calidad:de renunciarle en quien Apareciere, por la cantidad de 50$) rs. á metálico en cada uno de los tres años que comprehende, se han señalado 30 dias</t>
  </si>
  <si>
    <t>Cerezo, Ignacio</t>
  </si>
  <si>
    <t>Ignacio Cerezo</t>
  </si>
  <si>
    <t>no: para una Media-Ración de la Catedral de Sto.:pommgo de la Calzada, vacante por fallecimiento de D. Ignacio Cerezo, a D. Manuel Valer,Cura de a villa de Fuentes de Magaña, en aquella Diócesi: para un Beneficio simple servidero de S. Nicolás de Ubeda, en la de Jaén , vacante por muerte de D Tua</t>
  </si>
  <si>
    <t>Cervera, Juan Ignacio</t>
  </si>
  <si>
    <t>Juan Ignacio Cervera</t>
  </si>
  <si>
    <t>án primero del mismo Cuerpo al segundo D. Manuel de Miramond; y la Subtenencia de bandera al Cadete D. Juan Ignacio Cervera. En los Regimientos de infantería de Africa, Sevilla y Voluntarios dé la Corona se ha servido el Rey conceder Subtenencias de bandera á los Cadetes D. Demetrio de Tejada, D. Ferna</t>
  </si>
  <si>
    <t>Cervera, Matias</t>
  </si>
  <si>
    <t>Matias Cervera</t>
  </si>
  <si>
    <t>do y quinto de granaderos; á Subtenientes de granaderos los.de fusileros D. Francisco Perez y Muro, D. Matias Cervera y D. Ffancisco Morejon ; á Subtenientes de Compañía los de oandera D. Esteban Folch, D. Carlos de Grand-pré, D. Juan Josef Bon , Don Antonio Balde ras, D, Arnaldo GuUlemard y D. Juan</t>
  </si>
  <si>
    <t>Cesáreo de Gardoqui</t>
  </si>
  <si>
    <t>iente trasladar á Vaíiadolid la Intendencia de Exército de Castilla la Vieja, mandando que la sirva D. Cesáreo de Gardoqui con la de Provincia de aquella ciudad, ha venido en nombrar al mismo Gardoqui para el Corregimiento político, que está unido á dicha Intendencia. Asimismo se ha servido el Rey nom</t>
  </si>
  <si>
    <t>Cesáreo de la Torre y Cevallos</t>
  </si>
  <si>
    <t>ha dignado conferir, la Sargentía mayor veterana, del Regimiento de Milicias de dragones de Lima.á D. Cesáreo de la Torre y Cevallos, Capitán del. de infantería de Guimar en Canarias. S. M, se ha servido, conferir la. Ayudantía, del: castillo, de la Cabaña de</t>
  </si>
  <si>
    <t>Cesáreo Escovar</t>
  </si>
  <si>
    <t>ovido en los Cuerpos de Milicias Provinciales á Capitán de granaderos en el de Toro al de fusileros D. Cesáreo Escovar: á Capitanes de fusileros en los de Santiago yGuadix al Capitán, agregado al primero, D. Francisco Xavier Losada Pardo de Figueroa, y al Teniente del segundo D. Josef Castillo: á</t>
  </si>
  <si>
    <t>Céspedes, Francisco</t>
  </si>
  <si>
    <t>Francisco Céspedes</t>
  </si>
  <si>
    <t>en el de Burgos á Capitán al Teniente de granaderos D. Manuel Gestido; y á Teniente al Subteniente D. Francisco Céspedes; y en el de Jaén á Subtenientes de bandera al Sargento primero D. Miguel Carretero, y al Cadete de Voluntarios de Estado D- Rafael Osorno. Igualmente ha conferido S. M. el empleo</t>
  </si>
  <si>
    <t>Céspedes, Manuel</t>
  </si>
  <si>
    <t>Manuel Céspedes</t>
  </si>
  <si>
    <t>nencia de granaderos á Don Eugenio de Castro, y de fusileros á D. Pedro Bustinza, D. Vicente Béjar, D. Manuel Céspedes, D. Higidio Mariaca, D. Paulino Deza, D. Eugenio Dueñas , D. Pedro Cegarra , D. Mariano García Romani; y Subtenencias de bandera á f). Simón Aguirre y D. Gregorio Santander. En el</t>
  </si>
  <si>
    <t>Cevailos, Felipe</t>
  </si>
  <si>
    <t>Felipe Cevailos</t>
  </si>
  <si>
    <t>ación de la Colegial de Castroxeriz, en el Arzobispado de Burgos, vacante por renuncia que ha hecho D. Felipe Cevailos &gt; en manos de aquel Arzobispo, á D. Tomas</t>
  </si>
  <si>
    <t>Cevailos, Pedro</t>
  </si>
  <si>
    <t>Pedro Cevailos</t>
  </si>
  <si>
    <t>♦■ ESPAÑA.- : ' .* Madrid 28 de Jimio„ Con fecha de 22 del corriente ha comunicado el Excmo. Sr. D. Pedro Cevailos al limo. Sr. D. Miguel de Mendinueta , Decano Gobernador interino del Consejo, la Real orden siguiente: „Ilmo. Señor. El Rey ha determinado que'todas las pérso-nas domiciliadas ó</t>
  </si>
  <si>
    <t>Cevailos, Rafael</t>
  </si>
  <si>
    <t>Rafael Cevailos</t>
  </si>
  <si>
    <t>se ha servido conceder Ayudantía en el Regimiento de infantería de Málaga al Teniente de granaderos D. Rafael Cevailos: Tenencias en los de Voluntarios de Estado y de la Corona á les Subtenientes de granaderos D. Francisco Manjon y D. Pascual Rovira; y Subtenencia de bandera en el de la Princesa a</t>
  </si>
  <si>
    <t>Cevalios, Pedro</t>
  </si>
  <si>
    <t>Pedro Cevalios</t>
  </si>
  <si>
    <t>y Menorca.__Parala debida inteligencia del público se previene asimismo, que habiendo el Excmo. Sr. D. Pedro Cevalios hecho extensiva la franquicia de portes á los dominios ultramarinos de S. M., por efecto de beneficencia á favor de las familias pobres á quienes está destinado el producto, se ha</t>
  </si>
  <si>
    <t>Cevallos, Juan</t>
  </si>
  <si>
    <t>Juan Cevallos</t>
  </si>
  <si>
    <t>e de Académicos D. Rodrigo Tavira, D. Juan Bautista Cerain, D. Blas de Lezo, D. Ignacio de Emparan, D. Juan Cevallos, y el Cadete de Reales Guardias Walonas D* Antonio Gilman: el Seminarista mayor D. Iñigo Órtés de Velasco, los Gefes de sala D. Josef Ortés de Velasco, D. Francisco Barraycua, D.</t>
  </si>
  <si>
    <t>que sea, y fueron les Académicos. D. Rodrigo Tavirá,.D. Juan ¡Bautista Cérain* D« Ignacio -Empatan, D. Juan Cevallos,.y X). Fernando .Adán de Yarza ; el ,Seminarista nuyo.r Don Iñigo Ortes de Velasco ; los Gefcs. de sala. D. Jo.sef Ortes de Velasco, Don Francisco Barraycua, D. Alonso .AIvarado,</t>
  </si>
  <si>
    <t>Cevallos, Pedro</t>
  </si>
  <si>
    <t>Pedro Cevallos</t>
  </si>
  <si>
    <t>s demas, según sus inclinaciones, quandó lleguen á edad madura. Madrid 8 de Febrero. El Exento. Sr. D. Pedro Cevallos, primer Secretario de Estado y del Despacho, ha comunicado, con fecha de ántes de ayer, á todos los Con-í sejos copia del Real Decreto que S. M. acababa de dirigirle, y es dei te-</t>
  </si>
  <si>
    <t>ales á bordo. Sin embargo, Mr. Frere continuaba entonces las negociaciones en Madrid, y el Exc. Sr. D. Pedro Cevallos, en su nota de 3 de Noviembre , no dexaba nada que desear en razón de la satisfacción que se habia pedido. Y en ' el supuesto de que los Ministros estuviesen enteramente convencid</t>
  </si>
  <si>
    <t>entes podrán acudir con sus memoriales al Ayuntamiento de la referida villa. Enterado el Excmo. Sr. D. Pedro Cevallos de haberse destinado, con aprobación del Sr. Generalísimo Príncipe de la Paz, él producto del papel intitulado Conducta de España comparada con la de Inglaterra en el presente rompim</t>
  </si>
  <si>
    <t>de Medicina práctica de esta ciudad. Madrid $ de Agosto. El Rey se ha dignado expedir al Excmo. Sr. D. Pedro Cevallos, primer Secretario de Estado y del Despacho, el Real Decreto del tenor siguiente: „Por mi Real Decreto de 2 de Julio último tuve á bien mandar, que durante la indisposición de D.</t>
  </si>
  <si>
    <t>Cévallos, Pedro</t>
  </si>
  <si>
    <t>Pedro Cévallos</t>
  </si>
  <si>
    <t>onda para su cumplimiento. = Señalado de la Real mario.:=En S. Ildefonso á 7 de Agosto de 1805. = A D. Pedro Cévallos.” - . Continuando el General D. Federico Gravina las noticias de lo ociirrido en el combate que sostuvo lá esqüadifa combinada de España y Francia contra la Inglesa en 22 de Julio</t>
  </si>
  <si>
    <t>tropas de la misma nación, ESPAÑA, Madrid jo de Agosto. El Rey se ha servido expedir al Excmo. Sr. D. Pedro Cevallos, primer Secretario de Estado y del Despacho , el Real Decreto siguiente. „ Deseando evitar los graves perjuicios que se causan al Estado por la voluntaria expatriación de muchos i</t>
  </si>
  <si>
    <t>mas exacto cumplimiento. = Señalado de la Real mano. = En S. Ildefonso á 25 de Agosto de 1805. = A D. Pedro Cevallos.” El Capitán general de Cataluña ha dado cuenta de que en la mañana del dia 17 de este mes se presento en las aguas de Malgrat, á distancia de unas dos leguas de tierra, un corsar</t>
  </si>
  <si>
    <t>Ceynos Domínguez, Benito</t>
  </si>
  <si>
    <t>Benito Ceynos Domínguez</t>
  </si>
  <si>
    <t>o de Santander : para una Capellanía dotada con juros compuestos de Medias Anatas en la de Toledo á D. Benito Ceynos Domínguez , Clérigo de prima , y cursante de Teología moral en el Convento de Sto. Tomas de es-, ta Corte: para la Prestamera de Tresjuncos, en el-Obispado de Cuenca, vacante por renuncia q</t>
  </si>
  <si>
    <t>Chabaneau, Francisco</t>
  </si>
  <si>
    <t>Francisco Chabaneau</t>
  </si>
  <si>
    <t>Valencia en la de Mallen, y en Sevilla en la de Caro, á 12 rs. Elementos de Ciencias naturales, por D. Francisco Chabaneau, profesor que fué de Química en Madrid en el Real Laboratorio'de la calle del Turco. Se hallará en la librería de Castillo, frente á las gradas de S. Felipe, á 22 rs. en pasta. Vi</t>
  </si>
  <si>
    <t>Chabot</t>
  </si>
  <si>
    <t>fiesta celebrada en Meulan, para celebrar la coronación del Emperador, y en seguida tomó la palabra Mr. Chabot (de T Allier), y dixo: „ Señores : no hay ninguno de nosotros que no haya oido con una orofunda admiración el discurso pronunciado por S. M. á la abertura de la sesión del Cuerpo</t>
  </si>
  <si>
    <t>Chailly</t>
  </si>
  <si>
    <t>o merinos como churros, Mr. Voisin, con la vacuna sacada, en el instante mismo, por su compañero el Dr. Chailly de las pústulas de 4 niños vacunados el dia 9, y cuyo virus fué reconocido de buena calidad por los Comisionados de la Sociedad, por Mrs. Mongenot y Morin, Comisarios de la Junta central</t>
  </si>
  <si>
    <t>Chaix, Esteban</t>
  </si>
  <si>
    <t>Esteban Chaix</t>
  </si>
  <si>
    <t>a Manuela Lamaneta. Después recitáron los niños quatro letrillas en acción de gracias. Leyó una oda D. Esteban Chaix; y el Señor Presidente el Coronel D. Diego Navarro y Sangran, Gobernador político y militar de esta ciudad y sus partidos, terminó la función con un discurso en que se congratuló</t>
  </si>
  <si>
    <t>Chamizo, Miguel</t>
  </si>
  <si>
    <t>Miguel Chamizo</t>
  </si>
  <si>
    <t>dera en dicho Cuerpo al Cadete del de Zaragoza D. Manuel Díaz: en el de Córdoba al Sargento primero D. Miguel Chamizo ; y en el de Jaén al de la propia clase de granaderos D. Alonso González; y Tenen-r cia en el segundo batallón de Voluntarios de Aragón al Subteniente Don Macario Higuera., El Rey</t>
  </si>
  <si>
    <t>Champagny</t>
  </si>
  <si>
    <t>adoptaron estas proposiciones. El mismo dia, en el Cuerpo Legislativo, el Ministro de lo Interior, Mr. Champagny, hizo la exposición del estado del Imperio. „ La situación interior de la Francia, dixo,es en el dia loqne fué en los tiempos mas tranquilos; no se observa el menor movimiento, qu</t>
  </si>
  <si>
    <t>Chappe, Claudio</t>
  </si>
  <si>
    <t>Claudio Chappe</t>
  </si>
  <si>
    <t>res, el atender á los intereses del clero. FRANCIA. París 31 de Enero. Las artes acaban de perder á Mr. Claudio Chappe, Administrador del telégrafo, y cuyo nombre es como inseparable de tan útil invención. Ha muerto de 42 años de edad. Escriben de Roma que el Cardenal Somaglia, Vicario general de</t>
  </si>
  <si>
    <t>Charpentier, General</t>
  </si>
  <si>
    <t>General Charpentier</t>
  </si>
  <si>
    <t>cia esta parte i haciendo marchar 4 batallones de granaderos para rodear enteramente ¿1 enemigo; el General Charpentier, Gefe del Estado mayor, á quien se encargaron estas disposiciones, las ha desempeñado exactamente de acuerdo con el General Solignac. Entonces se requirió de nuevo al enemigo, qui</t>
  </si>
  <si>
    <t>Chaseloup, General</t>
  </si>
  <si>
    <t>General Chaseloup</t>
  </si>
  <si>
    <t>valerosos soldados que murieron en la .batalla de Marengo. La piedra se la presentó al Emperador el General Chaseloup, Comandante de Ingenieros ; tenia grabadas estas palabras: 'Napoleón , Emperador de los Franceses y Rey de Italia s d los manes de los defensores de la patria, muertos en la batal</t>
  </si>
  <si>
    <t>Chasseloup, General</t>
  </si>
  <si>
    <t>General Chasseloup</t>
  </si>
  <si>
    <t>ctividad y á la conducta valerosa del General Lacombe-Saint-Michel, Comandante de Artillería, y del General Chasseloup, Comandante de Ingenieros. (Sigue elogiando á varios Oficiales.)__ Inmediatamente lie mandado hacer la cabeza del puente; y en este momento está sólidamente establecida: tendré cu</t>
  </si>
  <si>
    <t>Chatam, Lord</t>
  </si>
  <si>
    <t>Lord Chatam</t>
  </si>
  <si>
    <t>e duda que Mr. Pitt tenga has** tante crédito para sacar á su amigo Lord Melville de este mal paso. Lord Chatam sucede ai General Lake en el mando dél exén ito de lá India ; y de aquí á 2 años sucederá en el gobierno general á Lord Cornwallis. El; Almirante Douglas se ha hecho á la vela de</t>
  </si>
  <si>
    <t>Chaves, Juan Pablo</t>
  </si>
  <si>
    <t>Juan Pablo Chaves</t>
  </si>
  <si>
    <t>Antonio Bruno: para la Tesorería al Canónigo D. Juan Josef de Gamboa: para la Canongía al Racionero D. Juan Pablo Chaves; y para esta resulta á D. Josef María Bucheli, Medio- Racionero de la misma Iglesia ; y para una Ración de la Catedral del Nuevo Reyno de León, vacante por haberla renunciado D. J</t>
  </si>
  <si>
    <t>Chavez, Francisco</t>
  </si>
  <si>
    <t>Francisco Chavez</t>
  </si>
  <si>
    <t>; y sencillos á D. Josef Alcayde y Monge, D. Miguel Roxas, D. Rafael Arias,D. Juan Bautista Urreta, D. Francisco Chavez, D. Manuel Almonte, D. Genaro Torres, D.Mariano Ponce, D. Juan Jaén, D. Fernando Rosel, D. Vicente Vivanco y D. Anselmo de Arce; j de Portaestandartes á D. Eusebio Goizueta, D. Ma</t>
  </si>
  <si>
    <t>Chedworth, Lord</t>
  </si>
  <si>
    <t>Lord Chedworth</t>
  </si>
  <si>
    <t>n Gower, quien ha sido muy bien recibido, y tenido la honra de comer con S. M. í. El testamento del Lord Chedworth ha excitado la curiosidad pública. "Vivía este señor muy retirado : era naturalmente delicado, y de constitución nerviosa: evitaba toda especie de concurso, excepto los teatros, á</t>
  </si>
  <si>
    <t>ChicherI, Antonio</t>
  </si>
  <si>
    <t>Antonio ChicherI</t>
  </si>
  <si>
    <t>e igual clase del Regimiento de infantería de España , y primer Batallón de Voluntarios de Cataluña D. Antonio ChicherI, y D. Francisco López, y ai Cadete del de Ñapóles D. Miguel Allíer. También ha nombrado el Rey Teniente del Regimiento de caballería de la Reyna al Guardia de la Compañía American</t>
  </si>
  <si>
    <t>Chico, Joaquín</t>
  </si>
  <si>
    <t>Joaquín Chico</t>
  </si>
  <si>
    <t>agregado Don Ignacio Simó: en el de Lorca la Subtenencia de granaderos al Subteniente de fusileros D. Joaquín Chico;y en los de Plasencia, Avila, Salamanca, Granada, Bujalance, Jaén, Sigiienza y Valladolid, Subtenencias de bandera á D. Fernando Jorge de Sande, D. Blas Sarmiento y Henao, Don Jua</t>
  </si>
  <si>
    <t>Chocrane, Almirante</t>
  </si>
  <si>
    <t>Almirante Chocrane</t>
  </si>
  <si>
    <t>fuerte del Príncipe Ruperto* pueda mantenerse en él algunas semanas, hasta que reciba socorros del Almirante Chocrane: se aguardan con impaciencia noticias posteriores. Dicen que el General Francés ha formado un exército de 12® hombres, inclusos los 5® que iban en su esquadra, que se componía de</t>
  </si>
  <si>
    <t>Chueca, Pedro Pablo</t>
  </si>
  <si>
    <t>Pedro Pablo Chueca</t>
  </si>
  <si>
    <t>patrimonial de la Catedral de Tarazona, vacante por promo-' cion de D. Pedro Ramos á otra entera, á D. Pedro Pablo Chueca, Cura de la Parroquial de Monteagudo, en aquella Diócesis: para una MediaCapellanía racional de la propia Iglesia, vacante por promoción de D. Juan Antonio Franco á la Dignidad de</t>
  </si>
  <si>
    <t>Cialceta, Francisco</t>
  </si>
  <si>
    <t>Francisco Cialceta</t>
  </si>
  <si>
    <t>quarto de cazadores, Tenencia al Alférez D. Luis Antentas; y empleo de Alférez al Sargento primero D. Francisco Cialceta. El Rey se ha servido nombrar para la Vara de Alcalde mayor del Gobierno de la ciudad de Xerez de los Caballeros á D. Francisco Delgado y Ayala: para la de la villa del Corral de</t>
  </si>
  <si>
    <t>Ciará, Ventura</t>
  </si>
  <si>
    <t>Ventura Ciará</t>
  </si>
  <si>
    <t>Idem, , , , 66. 12. Ventura Ciará..........Martin.... Feliciana Veral, ,, Areñs, , , , Gerona. , , 66. *2. Jayme Valls........... ... Francisco.. Maria Farell, , , , Muga,, , ,, Manresa, , , 6</t>
  </si>
  <si>
    <t>Cid, Francisco Xavier</t>
  </si>
  <si>
    <t>Francisco Xavier Cid</t>
  </si>
  <si>
    <t>; su disposición á libertarse de ella, y la región y vía por donde la ha de arrojar naturaleza, por D. Francisco Xavier Cid, Médico del limo. Dean y Cabildo de la Iglesia de Toledo, Primada de las Españas, y del Emo. y Excmo. Sr. D. Luis María de Borbon, Cardenal Arzobispo de dicha ciudad. Se vende en</t>
  </si>
  <si>
    <t>Cid, Tomás</t>
  </si>
  <si>
    <t>Tomás Cid</t>
  </si>
  <si>
    <t>so Barnada, á D. Francisco Amat: para una Ración de la Catedral de Orense, vacante por promoción de Don Tomas Cid á Canongía de la misma, á D. Jacinto Nicolás Taboada, Abad de la Parroquia de S. Miguel del Campo, en aquella Diócesis: para una Capellanía de Altar de la Real Iglesia de S. Isidr</t>
  </si>
  <si>
    <t>Cidron, Antonio</t>
  </si>
  <si>
    <t>Antonio Cidron</t>
  </si>
  <si>
    <t>y Betanzos- á D. Josef María Crúzate, D.. Joaquín María; del Manzano, D. Andrés María García Diego, D. Antonio Cidron, D. Fé-; lix Blanco Vitoria j D. Juan Pió de Quijana y D. Josef María de Senra. El Rey se lia servido .conferir al Ténience Coronel D. Bartolomé Mon—</t>
  </si>
  <si>
    <t>Ciríaco Arteaga</t>
  </si>
  <si>
    <t>osa y D. Juan Marcos de Angulo: Capitán en el Regimiento de Milicias urbanas de dragones de Chota á D. Ciríaco Arteaga. El Rey se ha servido nombrar para una plaza de Alcalde del Crimen de la Audiencia de México, vacante por ascenso de D. Francisco Alvaxez Mendieta á otra de Oidor de la misma, á D</t>
  </si>
  <si>
    <t>Cirilo Demorant</t>
  </si>
  <si>
    <t>t, graduado de Teniente,-D. Francisco Rodríguez, D. Luis Daunoy, D. Diego Salazar, D. Luis Gayarre, D. Cirilo Demorant y D. Juan Bautista Dufosat, el primero, segundo y quinto de granaderos; á Subtenientes de granaderos los.de fusileros D. Francisco Perez y Muro, D. Matias Cervera y D. Ffancisco Morej</t>
  </si>
  <si>
    <t>Cirilo Díaz Gómez</t>
  </si>
  <si>
    <t>Señores D. Pedro Baille y compañía; en la Coruñaa los Señores Trauscke y compañía, y en Santiago á D. Cirilo Diaz Gómez. Por la audiencia del Sr. D. Manuel Vicente de Torres, Teniente Corregidor de esta villa, y escribanía del número de D. Gervasio Fernandez Izquierdo, se es^f tan subastando dos ca</t>
  </si>
  <si>
    <t>Cirios de Auersperg, Príncipe</t>
  </si>
  <si>
    <t>Príncipe Cirios de Auersperg</t>
  </si>
  <si>
    <t>M. II. Detras seguian á caballo los Príncipes de Ligne, de Kaunitz, el Landgrave de Furstemberg, el Príncipe Cirios de Auersperg,el Príncipe Nicolás de Esterhazy y el Conde Wenceslao de Colloredo. En un coche de palacio venia la Camarera mayor, y en otros dos las 8 Damas. Cerraban esta marcha una compañía d</t>
  </si>
  <si>
    <t>Cirios Midleton</t>
  </si>
  <si>
    <t>enón, de 64, y de las fragatas Lively, de 38, Eurialo de 36, Mercurio, de 28, Beagle y Dart, de 18. Sir Cirios Midleton (ahora Lord Barham) es amigo íntimo de Lord Melville. Parece que ha sido nombrado por Mr. Pitt contra la voluntad de Lord Sidmoutn; y el Morning 6hronicle dice que esta es una de</t>
  </si>
  <si>
    <t>Cirios, Archiduque</t>
  </si>
  <si>
    <t>Archiduque Cirios</t>
  </si>
  <si>
    <t>on cuenta de lo ocurrido durante su ausencia en sus respectivos departamentos. El mismo dia tuvo el Archiduque Cirios una larga conferencia con su augusto hermano..__ La carestía de víveres va aumentándose cada dia mas en Viena, y ya es ahora excesiva. La Corte de Suecia ha solicitado de nuevo de</t>
  </si>
  <si>
    <t>iado, y aun se duda que salga de aquella capital el 26 del mismo mes, pomo se ha dicho después._ El Archiduque Cirios marchará también mas tarde qne lo que se habia pensado. Aunque este Príncipe se ¿ha limitado á las funciones del Ministerio de la Guerra y de la Marina , tendrá sin embargo cierta</t>
  </si>
  <si>
    <t>7 í° Rusia: se detendrá en Roma una temporada, 7 luego pasará á Ñapóles. S. A. R. el Archiduque Cirios , Ministro de la Guerra, ha mandado que se aumenten los Regimientos de infantería con dos compañías mas de granaderos ; y aseguran que ya están nombrados todos los Oficiales. Dich</t>
  </si>
  <si>
    <t>Cisneros de la Oliva, Felipe</t>
  </si>
  <si>
    <t>Felipe Cisneros de la Oliva</t>
  </si>
  <si>
    <t>conferir la Regencia de la Audiencia de Manila, en las Islas Filipinas, vacante por muerte del Sr. D. Felipe Cisneros de la Oliva, á D. Nicolás Mesía y Caicedo, Oidor decano de ella, y electo para igual plaza de la de Guadalaxara; y para la Contaduría de diezmos de la Diócesis de la Puebla de los Angeles, en</t>
  </si>
  <si>
    <t>Cisneros, General</t>
  </si>
  <si>
    <t>General Cisneros</t>
  </si>
  <si>
    <t>ar la línea entre la popa del Trinidad , y la proa del navio Bucentáuro del Almirante Villeneuf. El General Cisneros mandó meter en facha las gavias del Trinidad, y se estrechó tanto con el navio Francés, que así por esto como por el terrible fuego de que fue seguida esta maniobra, frustró el in</t>
  </si>
  <si>
    <t>Civit Plevano, Antonio</t>
  </si>
  <si>
    <t>Antonio Civit Plevano</t>
  </si>
  <si>
    <t>Parroquia de S. Bartolomé de la ciudad de Carmona, Diócesi de Sevilla, vacante por fallecimiento de D. Antonio Civit Plevano, á D. Francisco López de Ayala: para la Prestamera de Santa María del Manzano de la villa de Poveda de la Obispalía, en la Diócesi de Cuenca, vacante por ascenso de D. Domingo Her</t>
  </si>
  <si>
    <t>Clarke</t>
  </si>
  <si>
    <t>a y de Herculano. Se ha colocado en el Museo Británico el, gran sarcófago, traido de Alexandría. El Dr. Clarke, conocido por sus viages de Levante, ha compuesto una disertación, en que intenta probar, que dicho sarcófago ha encerrado el cuerpo de Alexandro. Ha añadido á dicha disertación a</t>
  </si>
  <si>
    <t>Clarke, Diego</t>
  </si>
  <si>
    <t>Diego Clarke</t>
  </si>
  <si>
    <t>Carlos Luis de Castro: en el de Hibernia Compañía al Teniente de granaderos , graduado de Capitán, D. Diego Clarke, y Subtenencia de bandera al Cadete del de Ultonia D. Josef Peirson: en el de Ultonia Ayudantía al Teniente, graduado de Capitán, D. Armando Franquen: en el de Málaga Subtenencia</t>
  </si>
  <si>
    <t>Clavería, Antonio</t>
  </si>
  <si>
    <t>Antonio Clavería</t>
  </si>
  <si>
    <t>o conferir ei Gobierno Milita-r y Político de la ciudad de Huesca al Coronel D. Antonio Clavería, Teniente Coronel del Real Cuerpo de Artillería. El dia 3 de Enero, próximo pasado, falleció en esta Corte , á los 58 años de su edad, el Ministro de Capa y Espada del Consejo de las Orde n</t>
  </si>
  <si>
    <t>Clemcntina, Princesa</t>
  </si>
  <si>
    <t>Princesa Clemcntina</t>
  </si>
  <si>
    <t>s y i2 diast hija la primera de S. A* R. el Príncipe heredero de las dos Sicilias,. y de la difunta Princesa Clemcntina ce Austria; y la segunda del referido Príncipe y de la actual Princesa hereditaria la Serenísima Señora Doña. Isabel de Borbon, Infanta de España..</t>
  </si>
  <si>
    <t>Clemente de Várgas</t>
  </si>
  <si>
    <t>Febrero. En los Regimientos Provinciales ha conferido el Rey en el de Sevilla Compañía al Teniente D. Clemente de Várgas : en el de Toledo la Tenencia de granaderos al Teniente de fusileros D. Víctor Marina: en los de Sevilla, Segoyia, Valladolid, Truxillo y Ronda, Tenencias de fusileros á los Subte</t>
  </si>
  <si>
    <t>Clemente Germa</t>
  </si>
  <si>
    <t>ría, establecidas en la plaza de Ceuta, se ha servido el Rey promover á Capitán segundo 3! Teniente D. Clemente Germa; y á Teniente á D. Francisco Creuhet, Subteniente de la Compañía fixa def propio Cuerpo establecida en Mallorca. * En los Esquadrones de línea ae la Real Brigada de Carabineros ha</t>
  </si>
  <si>
    <t>Clemente González de Soto</t>
  </si>
  <si>
    <t>lí. 4 S. M. se ha servido nombrar para la Canongía de la Catedral de Mála'ga, vacante por muerte de D. Clemente González de Soto, á D. Salvador 'Ximenez Padilla, electo Canónigo de la Colegiata de S. Hipólito de Córdoba ; y para el Beneficio simple de S. Isidro de Valderas, en la Diócesis</t>
  </si>
  <si>
    <t>Clemente Núñez del Castillo y de Molina, Juan</t>
  </si>
  <si>
    <t>Juan Clemente Núñez del Castillo y de Molina</t>
  </si>
  <si>
    <t>ad de Almería á D. Dalmacio Alpuente. En atención á los méritos, servicios y distinguida nobleza de D. Juan Clemente Nuñez del Castillo y de Molina , Marques de S. Felipe y Santiago, natural de la Havana, ha venido S. M. en concederle los honores de' Grande de España, con el título de Conde del Castillo, para sí y su casa; de</t>
  </si>
  <si>
    <t>Clemente y Miro, Francisco</t>
  </si>
  <si>
    <t>Francisco Clemente y Miro</t>
  </si>
  <si>
    <t>crítica del tratado de educación, ó lectura con método: segundo Robinson, traducido del francés por D. Francisco Clemente y Miro: una oda á la esposa de un amigo, con motivo de la celebridad de sus dias: otra en elogio del hombre , por la grandeza á que puede aspirar acercándose dignamente á recibir la sagr</t>
  </si>
  <si>
    <t>Clemente, Papa</t>
  </si>
  <si>
    <t>Papa Clemente</t>
  </si>
  <si>
    <t>-, dándole cuenta de sus bulas y poderes para tomar posesión de aquel Obispado, inedita. =r Otra al Papa Clemente vm , en que tresta la obediencia á ,la Silla Apostólica. == Parecer del mismo Sr. Perez sobre Í 3S planchas.de plomo hallada^ en Granada:, inédito. = Testa mentó y algunas memoria</t>
  </si>
  <si>
    <t>ndulgencias que le están concedidas, á 6 rs. én pasta.zzzDoctrina cristiana breve, que de orden del Papa Clemente vm compuso para los. niños, y para los adultos no instruidos en los misterios de nuestra santa fe católica el Cardenal Roberto Belarmino. Se hallarán en ia librería de Arri* tas,</t>
  </si>
  <si>
    <t>ón del hombre de bien: id.—=La Grandeza del alma: id. = El Clamor de la verdad: id. === La Vida del Papa Clemente xiv: id. = Las Cartas de dicho Papa: 5 tomos id. =:Principios fundamentales dé la religión: 2 tomos id. =El Cristiano de estos tiempos: 2 id. = La Posesión de sí mismo: 2 id. = El</t>
  </si>
  <si>
    <t>Cliviliart, Juan</t>
  </si>
  <si>
    <t>Juan Cliviliart</t>
  </si>
  <si>
    <t>dem » » » » 66. 12» Cabo..... Juan Cliviliart...... Lorenzo:.. Teresa Pastells. . Areyñs,, ,,, Mataró , y 132» 24» Josef Trullas. ..... Isidro .... Maria» » » » . * » Manresa, , , Idem , , , y 66» 12.</t>
  </si>
  <si>
    <t>Clopinski, Coronel</t>
  </si>
  <si>
    <t>Coronel Clopinski</t>
  </si>
  <si>
    <t>tería Polaca, se rindieron al Coronel Grabinski; y un cuerpo de 700 coraceros se rindió al Teniente Coronel Clopinski.___El resultado de esta jornada ha sido 8® prisioneros, unos 700 caballos, 12 cañones, ó banderas y un estandarte. Entre los prisioneros se hallan el Príncipe de Rohan, 3 Coronele</t>
  </si>
  <si>
    <t>Cobb, Capitán</t>
  </si>
  <si>
    <t>Capitán Cobb</t>
  </si>
  <si>
    <t>iamente en semejante empresa. (Morning Ckronrde.y El Real Soberano de 1 ocr cañones, mandado por el Capitán Cobb, se ha hecho á la vela de Portsmourh para unirse con ia esquadra de LordNelson, y lleva á bordo la cantidad de 2’0o® libras esterlinas. En el café de Lloyd se ha fixado’ el extrac</t>
  </si>
  <si>
    <t>Cobentzel, Conde</t>
  </si>
  <si>
    <t>Conde Cobentzel</t>
  </si>
  <si>
    <t>lesas , y que los Franceses han tenido tiempo de apoderarse de ellas. HOLANDA. Haya 2$ de Abril. El Conde Cobentzel, Embaxador Austríaco en París, se halla aquí muy obsequiado por los empleados del Gobierno y los Ministros extrangeros. Su venida no tiene otro objeto que satisfacer su curiosidad</t>
  </si>
  <si>
    <t>Cobentzel, Felipe (conde)</t>
  </si>
  <si>
    <t>Conde Felipe Cobentzel</t>
  </si>
  <si>
    <t>.800© florines de Viena (4.430® pesos fuertes): 2.a Nota entregada en 24 de Julio próximo pasado al Conde Felipe Cobentzel por el Ministro de Negocios extrangeros, con motivo del mal tratamiento que se exerció en Venecia con Mr. Proni, del Instituto de Francia: 3.a Carta dirigida en 5 de Agosto por el</t>
  </si>
  <si>
    <t>Cochrane, Almirante</t>
  </si>
  <si>
    <t>Almirante Cochrane</t>
  </si>
  <si>
    <t>unirse con la esquadra del Canal; y siguiéron el Ilustre y el Minotauro de 74, para reforzar la dei Almirante Cochrane delante del Ferrol. El corre© Mr. Wagstaíf, que salió el 7 de esta capital con pliegos para Petersburgo y Berlín, ha sido robado el 11 entre Lubeck y Mecklemburgo-Schwerin. El gefe de</t>
  </si>
  <si>
    <t>na prueba convincente de que sus disposiciones no tenían nada de hostiles. Es notorio que quando el Almirante Cochrane dio parte de los preparativos que se hacían en el Ferrol, la peste hacia notables estragos en Cartagena y aun en Cádiz, y seguramente no era esta ocasión muy oportuna para dar ord</t>
  </si>
  <si>
    <t>conservar á los que en ellas: venían sus propiedades, subirá á 90© libras esterlinas. Dícese que el Almirante Cochrane tendrá á sus órdenes en las islas de Barlovento el S. Jorge, el Atlas, el Northumberlaud, el Aguila, el Espartano y el Veterano, con cuyas fuerzas podrá desbaratar los intentos ae</t>
  </si>
  <si>
    <t>de Sir John Orde y de Sir Roberto Calder, quien reemplaza en el mando de la esquadra del Ferrol al Almirante Cochrane , que se ha hecho á la vela con 6 navios de línea en seguimiento de la esquadra de Rochefort. Habrá tres Comandantes marítimos en los mares de la India. El primero será Sir Eduard</t>
  </si>
  <si>
    <t>derman. PORTUGAL. JLisboa 14 de Marzo* lian entrado en esta bahía 6 navios Ingleses mandados por el Almirante Cochrane. No sabemos á punto fixo si son de la esquadra que bloqueaba el Ferrol ,ó si son parte de la que füé en seguimiento del ContraAlmirante Missiessi, Comandante de la esquadra de Roc</t>
  </si>
  <si>
    <t>do sobre las operaciones, y el destino ulterior de laesquadra Francesa; y declarasen quándo supo el Almirante Cochrane. la salida de la esquadra de Rochefoxt, y quándo se puso en su seguimiento, y si se han recibido pliegos que confirmen haber dirigido su rumbo á las Antillas.</t>
  </si>
  <si>
    <t>á la mayoría de 59 votos. Según las cartas recibidas por el paquebote de Lisboa, aun se hallaba el Almirante Cochrane el 9 de Marzo á la vista de aquella ciudad; y en los días siguientes no hizo ningún movimiento. Luego desapareció; y se decía en Porto que se había dirigido hacia las Indias Occiden</t>
  </si>
  <si>
    <t>Imperio. Se ha puesto en el café de Lloyd el aviso que sigue: „Los navios de línea Northumberland, Almirante Cochrane, S. Jorge, Atlante, Eglé y Esparta se han reunido en la isla de la Madera el 11 de Marzo, y el mismo dia han continuado su rumbo en seguimiento de la esquadra de Rochefort.” El 7,</t>
  </si>
  <si>
    <t>te las órdenes necesarias.para protegerlas, y que ademas de- lasó fuerzas navales á las ordenes del Almirante Cochrane, se han enviado á las., colonias Inglesas mas fuerzas navales y militares. Segundas noticias últimamente recibidas parece que las velas que divisó un corsario de Guernesey á los 4</t>
  </si>
  <si>
    <t>as, ¿jue salió de la Tortuga hace 37 dias. La- balandra Favorita ha llegado también con pliegos del Almirante Cochrane, que dicen son de fecha de 2 de Mayo. El dia anterior se hallaba el Almirante á la altura de la isla de Sta. Lucía. Convienen todos en que la esquadra de-Rochefort desembarco á su</t>
  </si>
  <si>
    <t>echa de 4 de Mayo., la copia de dos cartas, una del Comnodoro Hood, y la otra en nombre‘ del Contra-Almirante Cochrane, que mandaba á la sazón las fuerzas Inglesas en las islas de Barlovento._.^-La primera manifiesta que Ernouf habia hecho un tratado con el Comnodoro Hood, para impedir mutuamente</t>
  </si>
  <si>
    <t>ca con 7 navios de línea: en la Barbada habia un 'navio y algunas fragatas. No tenemos noticias del Almirante Cochrane; pero sabemos que el 14 de Mayo estaba á la altura del 'Muelle de S. Nico’las, donde le dexó aquel dia el cúter John Bull con 6 navios de línea. Parece sin embargo que ya se habrá</t>
  </si>
  <si>
    <t>esto para resistirles. El Almiraivte Dacres cruzaba con 6 navios de línea al E. de la Jamayca, y el Almirante Cochrane estaba á barlovento á bordo del Northumberland. Dícese que han enviado un navio del Almirante Cochrane á lasBermudas! Se témia tín acometimiento en la Jamayca ; pero todos estaban t</t>
  </si>
  <si>
    <t>Codina, Ramón</t>
  </si>
  <si>
    <t>Ramón Codina</t>
  </si>
  <si>
    <t>con otros tres de S. Martinas..Juan Bautista y San Nicolás, vacante por muerte de D. Jayme Palku, á D. Ramón Codina. En el Regimiento de Reales Guardias de infantería Walona se ha servido el Rey promover á primer Ayudante mayor á D. Alexandro de Coupigni, Teniente del' mismo Cuerpo. S. M. se ha</t>
  </si>
  <si>
    <t>Coena, Antonio</t>
  </si>
  <si>
    <t>Antonio Coena</t>
  </si>
  <si>
    <t>Id. id. Antonio Coena.... Hijo de Juan y de María Antonia Vi­</t>
  </si>
  <si>
    <t>Coiombier</t>
  </si>
  <si>
    <t>ticia crítica de la Biblioteca universal de Medicina y Cirugía prácticas, escrita en francés por el Doctor Coiombier; el extracto dei Decameron Español, por D. Vicente Rodríguez de ArelJano; una carta de D. Cándido Faura á los editores acerca de la novela original intitulada eL Emprendedor,, ó A</t>
  </si>
  <si>
    <t>Cojo, Fernando</t>
  </si>
  <si>
    <t>Fernando Cojo</t>
  </si>
  <si>
    <t>ino : de Subtenientes de granaderos en los de Válladolid y Truxillo á los Subtenientes de fusileros D. Fernando Cojo y D. Francisco Valdivia de la Cerda; y de Subtenientes de bandera en los de León, Lorca y Toro á D. Antonio González de Cevallos, D. Juan Ximenez y D. Manuel Ezequiel Diez. S. M. se h</t>
  </si>
  <si>
    <t>Colchen</t>
  </si>
  <si>
    <t>darmería; á Mr, Dambarere, Inspector de Ingenieros; á Mr. DoulcetPontecoulant, Prefecto del Dyle; á Mr. Colchen, Prefecto del Mosela; á Mr. Cauiaincourt, Presidente del Colegio Electoral del Aisne; á Mr. St.-Vallier, Presidente del Colegio del Droma; á Mr. Papin, Presidente de la Asamblea d</t>
  </si>
  <si>
    <t>Collados, Juan</t>
  </si>
  <si>
    <t>Juan Collados</t>
  </si>
  <si>
    <t>12.a Cond. i.° Juan Collados...... . Hijo del mismo , natural de Guermada</t>
  </si>
  <si>
    <t>Collell, Francisco</t>
  </si>
  <si>
    <t>Francisco Collell</t>
  </si>
  <si>
    <t>e ha servido el Rey promover á Capitán de granaderos al de fusileros, graduado de Teniente Coronel, D. Francisco Collell; á Capitanes los Tenientes de granaderos D. Cayetano Perez, D. Pedro Palao y D. Vicente Fernandez Texéyro ; á Ayudante mayor el Teniente D. Juan Blanco; a Tenientes de granaderos</t>
  </si>
  <si>
    <t>Collin-wood, Almirante</t>
  </si>
  <si>
    <t>Almirante Collin-wood</t>
  </si>
  <si>
    <t>erto Calder, que está delante de aquel puerto, no tiene mas que 6 navios de línea. El 23 de Mayo el Almirante Collin-wood salió con la esquadra del Canal con 9 navios de línea y la fragata Endimion: debían juntársele otros 5 navios; pero no lo han verilicado luego que se supo el regreso de la esquadr</t>
  </si>
  <si>
    <t>Collingoowd, Almirante</t>
  </si>
  <si>
    <t>Almirante Collingoowd</t>
  </si>
  <si>
    <t>delante de Ferrol por 5 navios de línea, 2 de ellos de tres puentes, y los 3 de 74. La esquadra del Almirante Collingoowd ha sido también muy reforzada delante de Cádiz. Así, la entrada del enemigo en qualquiera de estos puertos, será fuertemente impedida por las esquadras Británicas.’*</t>
  </si>
  <si>
    <t>Collingwooa, Almirante</t>
  </si>
  <si>
    <t>Almirante Collingwooa</t>
  </si>
  <si>
    <t>rado en Plimouth, y toma^ do víveres y municiones para un destino extrangero: están mandados por el Almirante Collingwooa, y ya tienen orden de hacerse luego á la vela* . - la esquadra de Lord Nelson se compone de 2 navios de 110 cañones,2 de 84, 8 de 74,y uno de 50, y 11 fragatas de 38,36 y 28: en t</t>
  </si>
  <si>
    <t>Collingwood, Almirante</t>
  </si>
  <si>
    <t>Almirante Collingwood</t>
  </si>
  <si>
    <t>ante de Rochefort, Almirante Graves : 9 delante del Ferrol, Almirante Calder; y 9 delante de Cádiz, Almirante Collingwood. No se hacen mas que conjeturas sobre el destino de las esquadras combinadas. Se habla del Brasil y del Cabo de Buena-Esperanza, de que podrían apoderarse? tos enemigos dividiendo</t>
  </si>
  <si>
    <t>este año, por lo qual ha basado el precio de los granos. GRAN BREJAÑA. Londres i.° de Setiembre. El Almirante Collingwood avisa, con fecha de 21 de Agosto á la altura de Cádiz, la entrada el dia anterior en aquel puerto de las esquadras combinadas en número de 27 ó 28 navios de línea, y varias fragat</t>
  </si>
  <si>
    <t>. Landres 2 ¿ de Setiembre. Parece cierto que el Almirante Calder se ha reunido con la esquadra del Almirante Collingwood.</t>
  </si>
  <si>
    <t>Colombier</t>
  </si>
  <si>
    <t>versal de medicina y cirugía prácticas, escrita y publicada de orden del Gobierno de Francia por el Doctor Colombier, y traducida al castellano. El autor divide su obra en 6 libros: el i.° trata de las calenturas; y se dan á conocer su naturaleza, sus fenómenos, sus causas y sus epifenómenos, á</t>
  </si>
  <si>
    <t>rsal de Medicina y Cirugía prácticas, escrita y publicada de orden d,el Gobierno de Francia, por el Dr. Colombier, y traducida al castellano: obra útilísima á los profesores de ámbas ciencias, y sola en su clase. Se hallará el tomo 2.0 en la librería de Fuentenebro, calle de las Carretas, yen</t>
  </si>
  <si>
    <t>Colomé, Joaquín</t>
  </si>
  <si>
    <t>Joaquín Colomé</t>
  </si>
  <si>
    <t>r D. Simón Delile; á Subrigadier al Cadete D. Josef Franquesa; á Cadete de número al Supernumerario D. Joaquín Colomé; y á Supernumerario al Guardia D. Juan Massia. En los Regimientos Provinciales ha promovido S. M. á Capitanes de fusileros en los de Toro, Lorca y León á D. Félix Vicente, Capitán</t>
  </si>
  <si>
    <t>Colon, Almirante</t>
  </si>
  <si>
    <t>Almirante Colon</t>
  </si>
  <si>
    <t>cedida esta isla á la Francia por el tratado de Basilea, y transportar á la Havana las cenizas del Almirante Colon, descubridor insigne de aquellas importantes posesiones. Ultimamente fué nombrado Comandante general interino del departamento de Cádiz; habiendo acreditado en todos destinos part</t>
  </si>
  <si>
    <t>ColÜngwood, Almirante</t>
  </si>
  <si>
    <t>Almirante ColÜngwood</t>
  </si>
  <si>
    <t>mando de la esquadra que bloquea á Cádiz. Compónese de 26 navios de línea: 3 de ios que mandaba el Almirante ColÜngwood están reparándose en Gibraltar. Nuestros navios continúan deteniendo y conduciendo á los puertos todos los buques Americanos que encuentran. Es de temer que el Gobierno Americano no</t>
  </si>
  <si>
    <t>Comandante de la Plaza, General</t>
  </si>
  <si>
    <t>General Comandante de la Plaza</t>
  </si>
  <si>
    <t>che, que fui a visitarlos. Al tiempo mismo que me estaban contando el suceso, entro un Ayudante dél General Comandante de la Plaza, y pidió-dé su parte los 4 papeles referidos. Dixe al Oficial que aquellos caballeros no podriáti desy prenderse de ellos, que los habían ya reconocido*,' y que podrían hacerlo de</t>
  </si>
  <si>
    <t>Comandante del Regimiento, Coronel</t>
  </si>
  <si>
    <t>Coronel Comandante del Regimiento</t>
  </si>
  <si>
    <t>dientes al vínculo que poseyó últimamente y hasta su fallecimiento el Sr. Conde D. Juan de Legazpi, Coronel Comandante del Regimiento de infantería de Carlstad Otacherz, verificado en 27 de Enero de 1773 en la ciudad de Pest en Hungría; y por auto que proveyó en 18 de Febrero último el Sr. Subdelegado general, mand</t>
  </si>
  <si>
    <t>Comandante Español</t>
  </si>
  <si>
    <t>ón de la esquadra ¿ los navios de S. M. C. que quisiesen unirse á ella; pero el Comandante Español le hizo saber que 'en el plámgenerahde las operaciones combinadas entre las dos Cortes tenia otro (festino, y hacia parte de otra esquadra que la que mandaba V</t>
  </si>
  <si>
    <t>Comandante Españoles</t>
  </si>
  <si>
    <t>Inglaterra repiten con entusiasmo los inmortales nombres de todos los valerosos Comandantes Españoles, y llenan de loor á los individuos de la esquadra, qué, á competencia, hjan mezclado.su sangre con las aguas del Océano para defender á la patria. No hay hombr</t>
  </si>
  <si>
    <t>Comandante Franceses</t>
  </si>
  <si>
    <t>a Francesa, y asf estas corno la marina del Estado estarán á las órdenes de los Comandantes Franceses. Se suspende la venta de los dominios nacionales; se prohibe hacer ningunos gastos ni pagamentos sin autoridad del Ministerio, y se previene que el. dia 11 del</t>
  </si>
  <si>
    <t>Comandante General</t>
  </si>
  <si>
    <t>ella al Beneficio de Pegalajar, Diócesi de Jaén , á D. Francisco de la Peña. El Comandante General del apostadero de Algeciras D. Bruno de Heceta ha dado cuenta al Excmo. Sr. Generalísimo Príncipe de la Paz de que en la mañana del 9 de este mes se presentó á la</t>
  </si>
  <si>
    <t>Comandante General de la Isla de Francia</t>
  </si>
  <si>
    <t>os empleos el Emperador. El Ministerio, ha recibido pliegos del General Decaen, Comandante General de la Isla de Francia, de la Reunión y de sus dependencias, en que comunica haberse proclamado en aquellas colonias el Emperador Napoleón como su Soberano, y al mismo tiempo ha remi</t>
  </si>
  <si>
    <t>Comandante Ingles</t>
  </si>
  <si>
    <t>á los prisioneros de guerra. En vista de una conducta tan extraña de parte del Comandante Ingles, escribió' el General Ernouf la siguiente respuesta á Mr. Laforey, Oficial Ingles. „ Muy Señor mió: Estimaré que diga Vm. al Contra-Almirante Cochrane, que la</t>
  </si>
  <si>
    <t>Comandante Micheroux</t>
  </si>
  <si>
    <t>diatamente.descubriéron la esquadra Berberisca, formada en tres divisiones. .El Comandante Micheroux hizo señal al convoy de que se pusiese en seguridad en el puerto de Crotona, y él marchó con su navio contra la división enemiga, mas cercana. El poco viento q</t>
  </si>
  <si>
    <t>Comandante Servio</t>
  </si>
  <si>
    <t>stá acabando de completarse, y todas se reunirán en la ciudad de Ostronitza. El Comandante Servio, acampado en las inmediaciones de dicha ciudad; ha recibido orden del General en gefe para no dar quartel á ninguno de los Turcos que salgan de Belgrado, donde</t>
  </si>
  <si>
    <t>Comandante Turcos</t>
  </si>
  <si>
    <t>sposiciones del mencionado firman, y señaladamente con la que prescribe que los Comandantes Turcos hayan.de tener guardia de soldados Turcos. Parece que han resuelto enviar otros diputados á Constantinopla para representar á S. A. los inconvenientes de dicha</t>
  </si>
  <si>
    <t>Comandante, Capitán</t>
  </si>
  <si>
    <t>Capitán Comandante</t>
  </si>
  <si>
    <t>Juan Cruz Tolra Lafita. En la Compañía suelta del Rey no de Valencia se ha dignado S. M. promover á Capitán Comandante á D. Mariano Alemán, Teniente Coronel agregado al Estado mayor de la plaza de Alicante; á Teniente á Don Miguel Tronquet, Subteniente de la misma; y esta Subtenencia al Sargento,</t>
  </si>
  <si>
    <t>Comandante, General</t>
  </si>
  <si>
    <t>General Comandante</t>
  </si>
  <si>
    <t>ito Francés. - x. Los artículos 1, 11, m, iv y ix no se pondrán en execucion hasta que lo ordene el General Comandante de las tropas Austríacas, con tal de que no pase del 25 de este mes ántes del medio dia. Y si á esta época un exército pastante fuerte se presentase para hacer levantar el bloqueo, la gu</t>
  </si>
  <si>
    <t>Comandante, Mariscal</t>
  </si>
  <si>
    <t>Mariscal Comandante</t>
  </si>
  <si>
    <t>scales Coroneles gcneraks de la guardia irán á caballo, á los lados de la carroza del Emperador: el Mariscal Comandante déla Gendarmería irá 2 caballo detras de la carroza; los Edecanes irán á la par de los caballos, y los Caballerizos á las ruedas traseras. 14.0 Cerrarán ei acompañamiento los granade</t>
  </si>
  <si>
    <t>Compagnoni</t>
  </si>
  <si>
    <t>Oppizzcni, Arzobispo de Bolonia; Allegri, Canónigo de Novara, y Roña, Cura de S. Babil de Milán, v. Mr. Compagnoni está también nombrado Secretario del Consejo de Estado. El presente decreto será publicado, y se insertará en el boletín de las leyes.Firmado.zzNapoleón.”—. Antes ae abrir;e la sesi</t>
  </si>
  <si>
    <t>Con, Cardenal</t>
  </si>
  <si>
    <t>Cardenal Con</t>
  </si>
  <si>
    <t>las negociaciones relativas al Concordato pata la Alemania Católica.__-Nos escriben de Roma que el Cardenal Con</t>
  </si>
  <si>
    <t>Concha, Manuel</t>
  </si>
  <si>
    <t>Manuel Concha</t>
  </si>
  <si>
    <t>iga, D. Bernardo García y D. Eugenio Costilla: Subtenientes en dicho Cuerpo á Don Francisco Vidad , D. Manuel Concha, D. Josef Antonio la Cueva, Don Agustín Valer, D. Manuel Perez, D. Francisco Vargas, D. Narciso del Barrio y D. Bartolomé Aguirre: Capítan de carabineros del Regimiento de caballe</t>
  </si>
  <si>
    <t>Conde de Buxhoewden, General</t>
  </si>
  <si>
    <t>General Conde de Buxhoewden</t>
  </si>
  <si>
    <t>alina la Grande por la toma de Pugatscbeíf, á quien parece se le dará el mando de un exército, y al General Conde de Buxhoewden se le dará otro. El 3 de Agosto avisaban de Riga que habia muchos Regimientos Rusos^ en marcha, y que en Cronstadt se equipaban con aceleración muchos navios de guerra-. Las carta</t>
  </si>
  <si>
    <t>Conde de Colloredo, Mariscal</t>
  </si>
  <si>
    <t>Mariscal Conde de Colloredo</t>
  </si>
  <si>
    <t>n las mismas cartas se anuncia que el 15 del corriente celebró en Viena un Capítulo general el Feid-Mariscal Conde de Colloredo, como Gran Prior de la Orden de Malta. Aquella Asamblea respetable dio principio á la sesión protestando de nuevo contra la ocupación ilegítima de la isla por los Ingleses, en con</t>
  </si>
  <si>
    <t>Conde de Colonna, Henrique</t>
  </si>
  <si>
    <t>Henrique Conde de Colonna</t>
  </si>
  <si>
    <t>Rey promover á primer Teniente al segundo D. Armando de Latourrettej’ á segundo Teniente al Alférez D. Henrique Conde de Colonna ; á Alférez ai Exento D. josef Revolledo de Palafox; á Exento de número al supernumerario. D.. Gerónimo Knapp; á supernumerario al Brigadier D. Bartoloiné Georget; á ¡Brigadier al</t>
  </si>
  <si>
    <t>Conde de Galvez, General</t>
  </si>
  <si>
    <t>General Conde de Galvez</t>
  </si>
  <si>
    <t>o de 16 meses: se ocupé f años en la Secretaría de todos los mandos que tuvo en América el Tejiente General Conde de Galvez: sirvió después 16 meses la Secretaría</t>
  </si>
  <si>
    <t>Conde de Giulay, General</t>
  </si>
  <si>
    <t>General Conde de Giulay</t>
  </si>
  <si>
    <t>cindario ha quedado. Se espera en Briinn al Emperador Alexandro á su vuelta de Berlín. : .. ■■ . El General Conde de Giulay ha hecho varios viages con cartas* de los «Emperadores de Francia y de Alemania. Este Soberano se determinará sin duda á la paz quando tenga el consentimiento del Emperador de Rus</t>
  </si>
  <si>
    <t>Conde de Giulay, Mariscal</t>
  </si>
  <si>
    <t>Mariscal Conde de Giulay</t>
  </si>
  <si>
    <t>ieles súbditos en geiléfáld los males de una guerra mas dilatada, S. M* envió á su Teniente de Feíd—Mariscal Conde de Giulay al quartel general del Emperador de Francia, para recibir en su nombre y en el de sus aliados la confirmación de dichas disposiciones pacíficas, así como las proposiciones ulterio</t>
  </si>
  <si>
    <t>Conde de Giulay, Teniente General</t>
  </si>
  <si>
    <t>Teniente General Conde de Giulay</t>
  </si>
  <si>
    <t>tor de Baviera y el Príncipe Electoral han llegado ayer noche á Lintz. También ha llegado anoche el Teniente General Conde de Giulay, enviado por el Emperador de Austria: ha tenido una muy larga conferencia con el Emperador; ignórase el objeto de su comisión. En la Jornada de Amstettem se han hecho 1800 prision</t>
  </si>
  <si>
    <t>d. FRANCIA. París 3 de Diciembre. Mr. de Stadion, Ministro del Emperador de Alemania en Rusia, y el Teniente General Conde de Giulay, han sido presentados, en Brünn á S. M. el Emperador de los Franceses, como Plenipotenciarios de S. M. eL Emperador de Alemania, trayendo plenos poderes para negociar, concluir y</t>
  </si>
  <si>
    <t>Conde de Liewen, General</t>
  </si>
  <si>
    <t>General Conde de Liewen</t>
  </si>
  <si>
    <t>n Mariscal Conde de Tolstoy, del Príncipe Czartoriusky, dei Edecán general Príncipe Dolgorucky, del General Conde de Liewen, del Consejero de Estado Ministro de la Guerra Gubril, y del Consejero de Estado Villie &gt; Médico de S. M. Hoy ha estado el Emperador Alexandro en Berlín con ¿1 objeto de ver los p</t>
  </si>
  <si>
    <t>Conde de Maceda, Coronel</t>
  </si>
  <si>
    <t>Coronel Conde de Maceda</t>
  </si>
  <si>
    <t>rpo. S. M. se ha servido conferir el emplfeo de Coronel del Regimiento de infantería de Zaragoza al Coronel Conde de Maceda, Teniente Coronel del del Príncipe; y el de Capitán segundo en el Batallón de Voluntarios de Valencia- al segundo Ayudante D. Josef María de Lugo. El Rey se ha dignado conceder gr</t>
  </si>
  <si>
    <t>Conde de Mezhanelly, General</t>
  </si>
  <si>
    <t>General Conde de Mezhanelly</t>
  </si>
  <si>
    <t>Rusos en Moravia....... Capitulación ajustada, entre la brigada Franco-Bavara mandada por el Mayor General Conde de Mezhanelly -3 y la guarnición de la fortaleza de Kuffstein. ! Art. 1. Mañana á las 10 de la mañana el castillo de Kuffstein se entregará á la brigada Franco-Bávara: las obras exteriores y la</t>
  </si>
  <si>
    <t>Conde de Nogarolla, Teniente General</t>
  </si>
  <si>
    <t>Teniente General Conde de Nogarolla</t>
  </si>
  <si>
    <t>yó que podia aun descansar en la confianza que tenia en la Corte de Viena. Envió pues á S. M. I..al Teniente General Conde de Nogarolla, representándole, en carta escrita de su propio puño en términos fuertes, y en que respiraba su franqueza, las circunstancias en que se hallaba, y la necesidad de mantener su sist</t>
  </si>
  <si>
    <t>Conde de Palffy, General</t>
  </si>
  <si>
    <t>General Conde de Palffy</t>
  </si>
  <si>
    <t>lo. El General Vialannes, que manda la caballería del Mariscal Davoust, ha entrado en Presburgo. El General Conde de Palffy ha escrito una carta, á que ha contestado el Mariscal Davoust, y ambas son del tenor siguiente__ _ Carta del General Conde de..Palffy.. „General, S. A* R* el Archiduque Pa</t>
  </si>
  <si>
    <t>Conde de Rosemberg, General</t>
  </si>
  <si>
    <t>General Conde de Rosemberg</t>
  </si>
  <si>
    <t>en que se asegura no tardará mucho en extenderse nasta Padua, donde se colocará definitivamente. El General Conde de Rosemberg,Comandante de las tropas que forman dicho cordon, ha llegado 8 dias nace á Leibach; é inmediatamente destacó al General Gravasini á las costas del Adriático para tomar el mando de</t>
  </si>
  <si>
    <t>Conde de Tolstoy, General</t>
  </si>
  <si>
    <t>General Conde de Tolstoy</t>
  </si>
  <si>
    <t>a están los Comisarios que han de dirigir su marcha. Aquellas tropas están mandadas en ge fe por el General Conde de Tolstoy, mientras tanto que llega el Rey de Suecia. £1 Duque de Mecklemburgo-Schwerin tiene un hijo casado con la hermana del Emperador de las Rusias, y por lo mismo no ha podido impedir</t>
  </si>
  <si>
    <t>Conde de Tolstoy, Mariscal</t>
  </si>
  <si>
    <t>Mariscal Conde de Tolstoy</t>
  </si>
  <si>
    <t>la noche hubo un gran concurso para ver al Emperador Alexandro. S. M. I. viene acompañado dei Gran Mariscal Conde de Tolstoy, del Príncipe Czartoriusky, dei Edecán general Príncipe Dolgorucky, del General Conde de Liewen, del Consejero de Estado Ministro de la Guerra Gubril, y del Consejero de Estado Vi</t>
  </si>
  <si>
    <t>Conde Josef de Colloredo, Feld-Mariscal</t>
  </si>
  <si>
    <t>Feld-Mariscal Conde Josef de Colloredo</t>
  </si>
  <si>
    <t>el 15 del corriente para Italia;y durante su ausencia queda encargado del despacho de la Guerra el Feld-Mariscal Conde Josef de Colloredo, Ministro de Estado----- .Van á formarse dos cuerpos de exército Prusiano , uno en la AVestfalia, y el otro en la Prusia occidental: los Regimientos de que han de componerse habrá</t>
  </si>
  <si>
    <t>Conde Rubio, Juan</t>
  </si>
  <si>
    <t>Juan Conde Rubio</t>
  </si>
  <si>
    <t>rjuan Conde Rubio. Hijo de Juan, natural de Ronda: murió en3 r</t>
  </si>
  <si>
    <t>Conde, General</t>
  </si>
  <si>
    <t>General Conde</t>
  </si>
  <si>
    <t>o una carta, á que ha contestado el Mariscal Davoust, y ambas son del tenor siguiente__ _ Carta del General Conde de..Palffy.. „General, S. A* R* el Archiduque Pa</t>
  </si>
  <si>
    <t>Conejo, Juan</t>
  </si>
  <si>
    <t>Juan Conejo</t>
  </si>
  <si>
    <t>(Juan Conejo............ Hijo de Ant.°, nat. de Xerez de los Caba-) ;q</t>
  </si>
  <si>
    <t>Conrado Miseretz</t>
  </si>
  <si>
    <t>Cobos.En ef'de infantería Suizo de Wimpffen á Capitanes primeros á los segundos I&gt;. Carlos Scolar y D. Conrado Miseretz; á Capitán de granaderos al Capitán segundo D. Félix Stistenhoífer; y á Capitanes segundos á los Téniérifes D. Antonio Miesch y D» Juan Klein : en el de Traxíer al empleo de Ayuda</t>
  </si>
  <si>
    <t>Constando, Duque</t>
  </si>
  <si>
    <t>Duque Constando</t>
  </si>
  <si>
    <t>éron á caballo ai sitio en que ha de edificarse la Lonja nueva S. M. el Emperador y S. A. L el Gran Duque Constando no: la familia Imperial vino también desde Pawlowski: había preparada una tienda magnífica para recibir á tan augustos personages, á quienes hicieron los honores 4 diputados del C</t>
  </si>
  <si>
    <t>Constantin, Gabriel</t>
  </si>
  <si>
    <t>Gabriel Constantin</t>
  </si>
  <si>
    <t>del Crimen de la Audiencia de Galicia.:, ’ •/. ; Condescendiendo ,con la suplica hecha á.S. M. por D. Gabriel Constantin, Alcalde del Crimen de la Chancillería de Granada,' y D. Andrés Snbiza, que lo es electo de la Audiencia de! Cataluña, ha venido en que aqfieí paseiá&lt; .servir la plaza de este, y</t>
  </si>
  <si>
    <t>Constantino de Rusia, Duque</t>
  </si>
  <si>
    <t>Duque Constantino de Rusia</t>
  </si>
  <si>
    <t>que le suministran los habitantes Griegos; pero acomete y roba á los Turcos* Se asegura que el Gran Duque Constantino de Rusia saldrá de Petersburgo á mediados de este mes de Enero para Alemania, y hará ai mismo tiempo una visita á la Gran Duquesa, su hermana, la Princesa hereditaria de Saxonia Wey mar.</t>
  </si>
  <si>
    <t>Constantino, Duque</t>
  </si>
  <si>
    <t>Duque Constantino</t>
  </si>
  <si>
    <t>exactitud. RUSIA. Petersburgo 75 de Enero de 180 El 18 del corriente saldrá de esta capital el Gran Duque Constantino para Alemania. En los registros de la aduana consta haber entrado, por el puerto, en esta ciudad el año pasado, en solo mercancías Rusas, el importe de 29.2 5 5,333 pesos fuertes.</t>
  </si>
  <si>
    <t>ilitares; y sin detenerse en parte alguna pasará á Italia. Escriben de Lcmberg que S. A. I. el Gran Duque Constantino debía llegar á aquella ciudad el 19 del corriente. Se ha hablado otras veces del viage que aquel Príncipe debía hacer á Alemania a principios de Febrero.</t>
  </si>
  <si>
    <t>adre, se halla todayía en esta capital. El Emperador le ha regalado 2® rublos, y su hermano el Gran Duque Constantino 500; ha recibido ademas 1500 rublos recogidos en una qíiesta hecha por un particular. Todas estas cantidades, impuestas por ella en el banco, le dan una renta con que pasarlo honr</t>
  </si>
  <si>
    <t>de, que jamas el Emperador de Alemania pensó en ir á Venecia, el Archiduque Carlos á Milán, el Gran Duque Constantino á Viena, ni el Emperador de Alemania á Polonia; y en una palabra, desmiente los Diarios de Ilamburgo , de Francrfort y de Augsburgo, que no cesan de forjar novedades para tener á</t>
  </si>
  <si>
    <t>s las fuerzas navales , con el sueldo anual de J0 rublos. Este Caballero es el que acompaño al Gran Duque Constantino al exército de Italia que mandó el General Suwarow, * v DINAMARCA. Copenhague 11 de Mayo. La epizootia, que pade^sri los caballos en el norte; de.Alemania,.se ha manifestado igual</t>
  </si>
  <si>
    <t>rte. S.M. I. ha aprobado el plan de Colegios militares propuesto por la junta presidida por el Gran Duque Constantino. Habrá 10 Colegio», en los quales se instruirán los jóvenes en el servicio para el exército ae tierra. EL numero de alumnos será de 3©, distribuidos en 15 compañías de fi 200 cada</t>
  </si>
  <si>
    <t>lante con orden de entrar en la Polonia Austriaca. Los Regimientos de Guardias mandados por el Gran Duque Constantino entrarán muy pronto en los Estados hereditarios del Austria___ Las cartas de Petersburgo añaden que el cuerpo de 30® hombres, prometido á la Suecia, y mandado por el General Tolstoy</t>
  </si>
  <si>
    <t>aliéron de Petersburgo las Guardias Imperiales Rusas en número de id® hombres, mandadas por el Gran Duque Constantino; el Emperador, su augusta esposa, y la Emperatriz madre las acompañaron hasta Krasna-Kabak , en donde el Monarca dio un desayuno á los Oficiales , y las dos Emperatrices les diéro</t>
  </si>
  <si>
    <t>guardia, muchos Regimientos de Cosacos y 15 batallones de granaderos y cazadores escogidos. El Gran Duque Constantino manda la caballería, que consta de 90 esquadrones de dragones y de húsares, y de unos 15 Regimientos de Cosacos ó Kalmukos. Se cree que S. M. I. irá en persona á este exército, po</t>
  </si>
  <si>
    <t>na acogida, las gracias y bellos sentimientos personales del Emperador de Rusia, y también del pran Duque Constantino, quien usó con él de mucha atención y particular agasajo pero sin dificultad comprehendió eq las conversaciones que tuvo fpor tres dias con unos 30 botarates, que con varios títul</t>
  </si>
  <si>
    <t>ó derrotada la guardia Rusa. Coronel, artillería, banderas, todo se le tomó. Ei Regimiento del Gran Duque Constantino quedó destruido. Ei mismo no debió su vida sino á la velocidad de su caballo. Desde las alturas de Austerlitz viéron los dos Emperadores Ja derrota de la guardia. Rusa. En el mism</t>
  </si>
  <si>
    <t>Cónsul Americano</t>
  </si>
  <si>
    <t>s Estados-Unidos. En virtud dé esta orden se han detenido ya algunos buques. El Cónsul Americano, según dicen, se ha quejado al Gobierno; pero se ignora lo que le han respondido. Aseguran que dichos buques cargaban géneros en la Isla de Francia y en los pu</t>
  </si>
  <si>
    <t>Cónsul Cil Argel</t>
  </si>
  <si>
    <t>DINAMARCA. Copenhague a 5 de Mayo. El Capitán de marina Ulrich ha sido nombrado Cónsul Cil Argel por di</t>
  </si>
  <si>
    <t>Cónsul Holandés</t>
  </si>
  <si>
    <t>n á este efecto de Cádiz. No £e sabe el destino de esta esquadra combinada-. El Cónsul Holandés en Málaga, Alkops, ha remitido uría declaración ,con fecha de 6 de Abril, en que certificará petición de Mr. J. Boo«e r Cónsul Prusiano, que la epidemia contagio</t>
  </si>
  <si>
    <t>Cónsul Ingles</t>
  </si>
  <si>
    <t>ara fortificar á Roseta y otras ciudades, y todo se executó ~ull1plidamente. El Cónsul Ingles que reside aquí comunicó tambien- la -no~¡ciaal Bax4 Ahu-Marach, y fortificó á ]affa.: luego pasó á Gaza, y ase~ guran'.que· tiene· órden de ir hasta la Meca.</t>
  </si>
  <si>
    <t>Cónsul Mr</t>
  </si>
  <si>
    <t>lecido en Constantinopla, que durante la última guerra estuvo preso con nuestro Cónsul Mr. Martin en un castillo. Colonia 6 de Marzo. La nueva avenida del Rhin ha causado, como debía esperarse , muchos daños en las llanuras. Desde el dia i.° se hall</t>
  </si>
  <si>
    <t>Cónsul Prusiano</t>
  </si>
  <si>
    <t>aración ,con fecha de 6 de Abril, en que certificará petición de Mr. J. Boo«e r Cónsul Prusiano, que la epidemia contagiosa; cesó enteramente el 4 deDiciembre del año ultimo , y que desde dicha‘época no ha notado cosa alguna que pueda causar el menor reze</t>
  </si>
  <si>
    <t>Contestó Lord Harrowby</t>
  </si>
  <si>
    <t>rable, se ha hecho en un instante tan formidable? Ciertamente no lo entiendo.’* Contestó Lord Harrowby, Ministro que acaba de ser de Negocios extrangeros, que el Lord Carlisie no habia comprehendido ios Oradores que votaron y apoyáron el discurso; que no habian hablado del rompimiento con Es</t>
  </si>
  <si>
    <t>Contreras, Joaquín</t>
  </si>
  <si>
    <t>Joaquín Contreras</t>
  </si>
  <si>
    <t>Id. Ayud. Joaquín Contreras. Hijo de Francisco y de Máxima Martin,</t>
  </si>
  <si>
    <t>Cook, Capitán</t>
  </si>
  <si>
    <t>Capitán Cook</t>
  </si>
  <si>
    <t>9 grados de longitud occidental. Pasamos por cerca de la isla de Owhyhee, célebre por la muerte del Capitán Cook, y la mayor de las islas de Sandwich, en medio de las quales está situada. El r i de Julio descubrimos las costas de Kamtschatka, y anclamos en el puerto de S. Pedro y.S Pablo, á</t>
  </si>
  <si>
    <t>emento de civilización de la isla de Owhyhee, la qual se ha aecho célebre por la muerte trágica del Capitán Cook. En 1790 el Capitán Vancouver sentó en aquella Lia la quilla del primer barco que allí se construyó, y en el dia el</t>
  </si>
  <si>
    <t>Corao, Manuel</t>
  </si>
  <si>
    <t>Manuel Corao</t>
  </si>
  <si>
    <t>Ruiseco: para otra Canongía de la misma Catedral, vacante por fallecimiento de D. Jacobo Ibañez, á D. Manuel Corao: para el Oficio regular de Enfermero mayor del Real Monasterio de Sta. María de Ripoll, vacante por promoción de D. Fr. Fausto de Prat y de Moret á la Dignidad de Paborde dei Pana</t>
  </si>
  <si>
    <t>Cordero, Julián</t>
  </si>
  <si>
    <t>Julián Cordero</t>
  </si>
  <si>
    <t>rodé 1805............ ............................ .............3 21 JiilianjCordero....... Hijo de Antonio, natural de la Puebla dé) Osuna: murióen 8 de Enero de/1805.......y 59 22... Pedro Bernasal........ Hijo de Pedro j natural de Reus en Cata-)</t>
  </si>
  <si>
    <t>Corelía y Orduñá, Manuel</t>
  </si>
  <si>
    <t>Manuel Corelía y Orduñá</t>
  </si>
  <si>
    <t>ra el Beneficio simple de Iniesta en la Diócesi de Cuenca, vacante por muerte de D. Tomas O-Rían, á D. Manuel Corelía y Orduñá. Asimismo ha nombrado el Rey para una Canongía de la Colegial de Uxijar, en el xArzobispado de Granada, vacante por fallecimiento de Don Mariano Navarro, á D. Francisco Antonio Pe</t>
  </si>
  <si>
    <t>Corella, Manuel</t>
  </si>
  <si>
    <t>Manuel Corella</t>
  </si>
  <si>
    <t>e Zalacain, y el Préstamo de la villa de Belinchon, en la Diócesi de Cuenca, vacante por ascenso de D. Manuel Corella al Beneficio de Pegalajar, Diócesi de Jaén , á D. Francisco de la Peña. El Comandante General del apostadero de Algeciras D. Bruno de Heceta ha dado cuenta al Excmo. Sr. Generalís</t>
  </si>
  <si>
    <t>Corn-waliis, Almirante</t>
  </si>
  <si>
    <t>Almirante Corn-waliis</t>
  </si>
  <si>
    <t>hallamos. Almirantazgo gr de Julio. ,, El Teniente Nicholson ha llegado esta mañana con pliegos dei Almirante Corn-waliis , que incluían una carta del Vice-Almirante Sir Roberto Calder, por cuyo contenido se ve que el dia anteriot, hallándose á los 43 grados, 30 minutos de latitud', y á los 11 grados</t>
  </si>
  <si>
    <t>Cornac, Almirante</t>
  </si>
  <si>
    <t>Almirante Cornac</t>
  </si>
  <si>
    <t>oso BaswanOglow. GRAN BRETAÑA. Londres 2 de Agosto. Oficio del Vice-Almirante Sir Roberto Calder al Almirante Cornac dUs¿ en que da cuenta del combate con las esquadras combinadas. ,, A bordo del Príncipe de Gales, 23 de Julio de 1805. Ayer al medio dia, hallándome á los 43 grados, 30 minutos de</t>
  </si>
  <si>
    <t>Cornwáílís, Almirante</t>
  </si>
  <si>
    <t>Almirante Cornwáílís</t>
  </si>
  <si>
    <t>lmirantazgo no ha* recibido aun ninguna noticia de oficio ; pero hay motivos para confiar en que el Almirante Cornwáílís haya sabido á tiempo esta novedad para destacar una esquadra en seguimiento del enemigo.(Retl's Weekly Messenzer. ) FRANCIA. ~ . , t París 18 de Octubre. ,. Carta de S. M. el Empe</t>
  </si>
  <si>
    <t>Cornwallis, Almirante</t>
  </si>
  <si>
    <t>Almirante Cornwallis</t>
  </si>
  <si>
    <t>e asunto, de poner en grande apuro á Mr. Pitt y á sus colegas. El viernes se recibiéron pliegos del Almirante Cornwallis, cuya e$quadra ha vuelto á bloquear el puerto de Brest. HOLANDA. Haya 13 de Diciembre, En la Gazeta de Delft se ha publicado la resolución del Ministro de la Guerra, autorizado á</t>
  </si>
  <si>
    <t>, con la mayor prontitud, todos los navios que esten en estado de salir al mar. El viernes entró el Almirante Cornwallis en Torbay con su esquadra----- El S. Jorge, el Atlas, el Veterano, el Espartano y el Águila han salido en seguimiento de la esquadra de Rocherort.— Sir Roberto Calder ha salido á bo</t>
  </si>
  <si>
    <t>re las alianzas extrangeras, y que seria locura esperar de ellas ningunas ventajas. La esquadra del Almirante Cornwallis se mantiene aun en Torbay* donde se le ha reforzado con 4 navios: de modo que en el dia se compone de 14 navios de línea, sin contar las fragatas. De algunos dias á esta parte no</t>
  </si>
  <si>
    <t>ir Eduardo Pelew, el segundo Sir Tomas Trpwbridge, y el tercero Sir Sidney Smith. El lunes entró el Almirante Cornwallis en Torbay con la esquadra del Canal, compuesta de 19 navios de línea. PARLAMENTO IMPERIAL Cántara de los Comunes* El 6 hizo Mr. Sheridan la.propuesta, que anteriormente había anunci</t>
  </si>
  <si>
    <t>nica expedición que se haya hecho con prontitud baxo los auspicios ministeriales de Mr* Pitt._J.El; Almirante Cornwallis se ha hecho á la vela para la India á bordo de la Medusa.</t>
  </si>
  <si>
    <t>eu la? pr¡apipales ciudades de Europa. GRAN BRETAÑA. ^ ^ Londres 1$ de Mayo. - , ,. Se dice que el Almirante Cornwallis va á tomar de nuevo el mando de la esquadra de la Mancha. Se ha publicado en esta capital la lista- siguiente. Esquadra Inglesa delante de Brest , ó prontos á sajir para aquel cru</t>
  </si>
  <si>
    <t>la carta escrita por el Doctor Caírne, Cirujano á bordo del navio Princesa Real de la esquadra del Almirante Cornwallis, al Dr. Gartshore, con fecha de 25 de Julio. ^Hemos estado cruzando durante tres semanas en el golfo de Vizcaya, aguar—</t>
  </si>
  <si>
    <t>rativos del Austria. Sigue reforzándose con suma actividad nuestra esquadra del Canal, que manda el Almirante Cornwallis, la que se compondrá muy pronto de 30^ navios de línea, sin contar los 2*0 del Almirante Calder. El 2 5 ha muerto el Duque de Glocester, hermano del Rey, á los 63 año$ de edad; co</t>
  </si>
  <si>
    <t>a poco verosímil la de su unión con la de Brest: y en efecto los pliegos que se recibieron ayer del Almirante Cornwallis destruyen completamante las voces que se habían esparcido sobre este asunto. HOLANDA. Haya o. o de Agosto. Por las ultimas cartas de Rotterdam sabemos que se van á botar al.agua en a</t>
  </si>
  <si>
    <t>ía duraba el combate. El lunes pasado ha salido de las Sorlingas el Plover á llevar esta noticia al Almirante Cornwallis.” El Almirantazgo ha recibido el parte que le ha remitido el Capitán del Africano, y es como sigue: „ El juéves 26 de Setiembre, hallándose á la latitud de 49 grados,y 20 minutos</t>
  </si>
  <si>
    <t>Cornwallis, Lord</t>
  </si>
  <si>
    <t>Lord Cornwallis</t>
  </si>
  <si>
    <t>al Lake en el mando dél exén ito de lá India ; y de aquí á 2 años sucederá en el gobierno general á Lord Cornwallis. El; Almirante Douglas se ha hecho á la vela de Folkstone con una esquadra, que cruzará en las costas enemigas. ; En la junta, de ayer 19, de la Cámara de los Pares ha declarado 1</t>
  </si>
  <si>
    <t>s han hecho considerable daño. Se asegura que una de estas balas ha caido en el navio Almirante del Lord Cornwallis. — Ayer la esquadra ligera, á las órdenes del Contra-Almirante Willaninetz, ha tenido un combate de hora y media con algunos navios de la armada Inglesa, y parece que el enemigo h</t>
  </si>
  <si>
    <t>Cornwalüs, Almirante</t>
  </si>
  <si>
    <t>Almirante Cornwalüs</t>
  </si>
  <si>
    <t>abiéndose cambiado, el sábado por la noche, el viento favorable para volver al bloqueo de Brest, el Almirante Cornwalüs hizo la señal á su esquadra para salir inmediatamente de Torbay, lo que al punto se executó. Pero por desgracia el navio de línea el Venerable de 74, mandado por el Capitán Hunter</t>
  </si>
  <si>
    <t>CornwaUis, Almirante</t>
  </si>
  <si>
    <t>Almirante CornwaUis</t>
  </si>
  <si>
    <t>delante de Brest se compondrá en adelante solo de fragatas y de buques menores ; y se ha mandado al Almirante CornwaUis que se retire á Torbay quando arrecie el temporal. Ün nieto de Guillermo Penn, el fundador de Filadelfia y el primer poblador de Pensilvania, ha regalado á aquella ciudad una gran</t>
  </si>
  <si>
    <t>Coromina, Francisco</t>
  </si>
  <si>
    <t>Francisco Coromina</t>
  </si>
  <si>
    <t>dirigir la construcción del hornillo económico y demas obras pertenecientes á su arte. El cerrajero D. Francisco Coromina desempeñó la execucion de las diferentes piezas de hierro que entran en la composición de la máquina. El calderero D. Juan Pablo Peradejordi tuvo á su cargo la formación de la calder</t>
  </si>
  <si>
    <t>Corral, Bernardo</t>
  </si>
  <si>
    <t>Bernardo Corral</t>
  </si>
  <si>
    <t>amino, y 107 heridos gravemente en cuyo púmero está incluso el Teniente de Voluntarios de la Corona Don Bernardo Corral y el Brigadier de Guardias Marinas D. Alexandro Rúa. He sabido que ei Capitán de Navio D. Francisco Alcedo, Comandante del Montañés, fué muerto en la acción , y herido gravemente su s</t>
  </si>
  <si>
    <t>tes de Córdoba......... ........... J£-'£??n ID. Miguel Vivaldo. Graduado de Capitán de la Corona.. D. Bernardo Corral. Teniente de Artillería dé Exército.... D. Miguel Cebriari. Alférez de Artillería de Exército...... D. Cárlos Velorado. Heridos. Capitán del Regimiento de la Corona. D. Timoteo Ok</t>
  </si>
  <si>
    <t>Correa, Juan Felipe</t>
  </si>
  <si>
    <t>Juan Felipe Correa</t>
  </si>
  <si>
    <t>Oviedo, Segovia y Lugo á D, Alonso Sánchez Diosdado, P. Juan de Lomas, D. Domingo Pedro de Otañes, D. Juan Felipe Correa, D. Félix de las Ala? y Pumanúo , D. Manuel .del Riego Pica, y D. Joaquín María López Varela y Lemo?. . S. M. se ha servido promover en el Real Cuerpo de Ingenieros 4el exército á</t>
  </si>
  <si>
    <t>Corregidor, Lord</t>
  </si>
  <si>
    <t>Lord Corregidor</t>
  </si>
  <si>
    <t>nto Domingo, cosa muy, posible en este momento. Lord. Hawkesbury ha notificado, el i.° de Julio, al Lord Corregidor las noticias traídas de Santa Lucía por el Tritón de la llegada de la esquadra Francesa á la Martinica. Se ignora si los Almirantes Dacres y Cochrane se han reunido, ó si cruzan en di</t>
  </si>
  <si>
    <t>23 se convocó la Junta de los Aldermen para fixar supremo? pero no habiendo sido muy numerosa," el Lord Corregidor mandó que desde el diá’ siguiente se aumentase 3 dineros esterlinesy de modo que el pan de 4 libras vale ahora 15$ dineros, (cerca de 5 reales).</t>
  </si>
  <si>
    <t>Corsini, Príncipe</t>
  </si>
  <si>
    <t>Príncipe Corsini</t>
  </si>
  <si>
    <t>que el Papa salió de aquella ciudad para Italia el 27 de Abril. Lá Reyna de Etruria ha nombrado al Príncipe Corsini y al Caballero Fossombroni, para ir á cumplimentar , en nombre de S. M., ai Emperador y Rey á su llegada á Turin y á Milán. El Coronel Darsonval, que ha llegado estos dias de la Isl</t>
  </si>
  <si>
    <t>Prelados y Caballeros particulares, y ademas tuviéron audiencia para presentar sus credenciales .el Príncipe Corsini y el Caballero FossombroniEmbaxadores extraordinarios de la Reyna de Etruria; Mr. de Cetto, Enviado extraordinario y Ministro plenipotenciario del Elector de Baviera; el Conde de Bues</t>
  </si>
  <si>
    <t>Cortés García de la Vega, Gerónimo</t>
  </si>
  <si>
    <t>Gerónimo Cortés García de la Vega</t>
  </si>
  <si>
    <t>de Montehermoso, en el .Obispado de Coria, vacante por fallecimiento de D»- Narciso de S. Pablo, á, D. Gerónimo Cortés García de la Vega : para el Préstamo de Villanueva'de losEscuderos, en elide Cuenca, vacante por promoción de D* Antonio Prieto i una Canongía;de aquella Catedral, á D. josef Rodríguez Falcato, Cur</t>
  </si>
  <si>
    <t>Cortés, Andrés Antonio</t>
  </si>
  <si>
    <t>Andrés Antonio Cortés</t>
  </si>
  <si>
    <t>Corporario, anexo este de Aldea Davila de la Ribera, Diócesi de ¿Salamanca, vacantes por muerte de D. Andrés Antonio Cortés, á D. Gerónimo Gómez: para el Beneficio de la Parroquia del Castellar, en el Obispado de Jaén, vacante por promoción de D. Cipriano Castellano Cabrejano á Canongía de la Catedral</t>
  </si>
  <si>
    <t>Corvella, Antonio</t>
  </si>
  <si>
    <t>Antonio Corvella</t>
  </si>
  <si>
    <t>n todo el presente mes. En la librería de Campo, calle de Alcalá, se hallan las obras siguientes de Don Antonio Corvella, Médico y Cirujano del número de la Real Armada: Tratado dé las enfermedades dél pecho: un tomo en 8.°, á 11 rs. eri pasfa.mTratado teórico y práctico sobre las enfermedades inter</t>
  </si>
  <si>
    <t>Corzan, Francisco</t>
  </si>
  <si>
    <t>Francisco Corzan</t>
  </si>
  <si>
    <t>. M. el empleo de primer Ayudante en el primer batallón de Voluntarios de Aragón al Capitán segundo D. Francisco Corzan, y el de Capitán segundo al'Teniente D. Juan Assin : Subtenencias de bandera en el segundo de Cataluña al Cadete D. Luis Fortuny y Rio; y en el de Gerona al de la propia clase D.</t>
  </si>
  <si>
    <t>Cosculluela, Juan</t>
  </si>
  <si>
    <t>Juan Cosculluela</t>
  </si>
  <si>
    <t>afinati; y Subtenencias de bandera en el de Murcia al Sargento primero D. Jayme Lafont, y al Cadete D. Juan Cosculluela. S. M. se ha servido conceder en los Regimientos de Infantería de la Reyna y Corona Subtenencias á los Sargentos primeros D. Diego García y D. Gregorio Alcaraz. En el Real Cuerpo</t>
  </si>
  <si>
    <t>Cosme Churruca</t>
  </si>
  <si>
    <t>977 el Príncipe: D. Baltasar Hidalgo de Cisneros, id. en el Trinidad. Brigadieres. D. Cosme Churruca., Comandante, muerto en el Nepomuceno: D. Dionisio Alcalá Galiario, id., muerto en el Bahama: D. Francisco Uriarte y Borja, id., herido en el Trinidad: D. Felipe Jado Cagigal, id.</t>
  </si>
  <si>
    <t>Cosme Damian de Churruca</t>
  </si>
  <si>
    <t>só dé los baxelés del Rey, escrita de oréete superior por el firigárátfcr qué fué de 4a Real Armada D. Cosme Damian de Churruca , y seguida de tite ápémee que incluye lis dimensiones del casco y arboladura de los boquee de guerra Ittglestfe dé todos portes, con otras noticias relativas á su armamento. Se f</t>
  </si>
  <si>
    <t>Cosme de Mier</t>
  </si>
  <si>
    <t>y se ha servido nombrar para una plaza de Oidor de la Audiencia de México, vacante por promoción de D. Cosme dé Mier á la Regencia de la misma, á D. Francisco Alvarez Mendieta, Alcalde del Crimen mas antiguo de la propia Audiencia; y para el empleo de Contador de Diezmos del Arzobispado de Sta.</t>
  </si>
  <si>
    <t>Cosme de Mier y Trespalacios</t>
  </si>
  <si>
    <t>ién ha conferido el Rey la plaza de Regente de la Audiencia de México, vacante por fallecimiento de D. Cosme de Mier y Trespalacios, á D. Manuel del Castillo Negrete, Regente de la de Guatemala. El 2 2 de Agosto ííltimo remitió por el correo D. Francisco de Urruela, de Madrid, á D. Juan Francisco de la Herran,</t>
  </si>
  <si>
    <t>Cosme López</t>
  </si>
  <si>
    <t>Gerona al de la propia clase D. Josef Mosquera: Tenencia en el primero de Barcelona al Subteniente D. Cosme López: la Sargentía mayor del de Barbastro al Capitán primero, graduado de Teniente Coronel, D. Francisco Merino: el empleo de Capitán primero del mismo Cuerpo al segundo D. Manuel de M</t>
  </si>
  <si>
    <t>Costanzo</t>
  </si>
  <si>
    <t>omisario de Relaciones comerciales en Venecia: „Mr. Prom, Inspector general de puentes y eaminos, y Mr. Costanzo .Comandante de Ltallon del Cüerpo de Ingenieros Italianos . vinieron a Venecia. Fueron conducidos á ía Policía. Se les hizo un ¡nterrbgatorio_muy largo sobre los motivos de su-vis</t>
  </si>
  <si>
    <t>Coterillo, Manuel</t>
  </si>
  <si>
    <t>Manuel Coterillo</t>
  </si>
  <si>
    <t>l García Arango; á Teniente al Alférez. D.. Josef Ignacio Ormaechea; á Alféreces á los Portaguiones D. Manuel Coterillo y D. Antonio Isla:, y á Portaguiones á D. Josef Revilla y D. Josef María Trias, vecinos de la jurisdicción del propio Cuerpo. También ha nombrado el Rey para la plaza de Regente de la</t>
  </si>
  <si>
    <t>Coudougnan, Antonio</t>
  </si>
  <si>
    <t>Antonio Coudougnan</t>
  </si>
  <si>
    <t>z Texéyro ; á Ayudante mayor el Teniente D. Juan Blanco; a Tenientes de granaderos los de fusileros D. Antonio Coudougnan, D. Rafael Croquer y D. JoseF Cortes; á Tenientes los Subtenientes D. Josef Decloiiet, D. Luis</t>
  </si>
  <si>
    <t>Couroux, Coronel</t>
  </si>
  <si>
    <t>Coronel Couroux</t>
  </si>
  <si>
    <t>Lintz. El General Marmont va marchando para rodear la posición del Enns. El Príncipe Murat alaba al Coronel Couroux, Comandante del Regimiento 17 de infantería de línea. Las tropas manifiestan sumo valor é intrepidez. Luego que el Mariscal Bernadotte llegó á Saltzburgo , destacó al General Kell</t>
  </si>
  <si>
    <t>Courtenay Boyle, Capitán</t>
  </si>
  <si>
    <t>Capitán Courtenay Boyle</t>
  </si>
  <si>
    <t>dra Inglesa se hallaba situada á la parte occidental de aquella isla, enfrente deTrápani, quando el Capitán Courtenay Boyle fue destacado para llevar unos pliegos á Ñapóles , y permanecer en. observación á la entrada del gt»lfó.” Pretenden algunos que asegura Courtenay, que uno y otro Reyno están amena</t>
  </si>
  <si>
    <t>Cousin</t>
  </si>
  <si>
    <t>y D. Josef Antonio Solana. Introducción al estudio de la Astronomía física, escrita en francés por Mr. Cousin, traducida por D. Pedro Ziriza, á 30 rs. en pasta. Uranografía, ó Descripción del cielo, por D. Josef Garriga: un tomo en 4.0, y 3 planisferios grandes, á 48 rs. en pasta. Curso e</t>
  </si>
  <si>
    <t>Coutts</t>
  </si>
  <si>
    <t>considerables, que ponía en la casa de su cambista particular: y hubo dia en que entró en poder de Mr. Coutts un millón de libras esterlinas, rivalizando en algún modo con el Banco de Inglaterra, el qual entonces se veia en la necesidad de reducir sus descuentos___ Dos cargos importantes</t>
  </si>
  <si>
    <t>Cplomer, Jacinto</t>
  </si>
  <si>
    <t>Jacinto Cplomer</t>
  </si>
  <si>
    <t>r ¿hez; á Capitanes de fusileros al Ayudante D. Miguel Sánchez Pareja,vy aí Tenie¿ite de granaderos D. Jacinto Cplomer; á Ayudante y Teniente .de, granaderos á los de fusileros D. Juan Roldan, y D. Salvador Buergo ; á Tenientes de -fusileros á los Subtenientes D. Antonio Vela, y D. Ramón Aiisoateg</t>
  </si>
  <si>
    <t>Cr, Príncipe</t>
  </si>
  <si>
    <t>Príncipe Cr</t>
  </si>
  <si>
    <t>eres en Viena, se ha exercido la beneficencia con los pobres, y señaladamente con los militares. El Príncipe Cr^ffalkowitz ha dis</t>
  </si>
  <si>
    <t>Craig, General</t>
  </si>
  <si>
    <t>General Craig</t>
  </si>
  <si>
    <t>destino de las esquadras combinadas de Tolon y de Cádiz. __Se teme por la expedición mandada por el General Craig: se teme por la Irlanda , ó por las Islas Occidentales: se dice que Sir John Orde se ha juntado con Lord Gardner. En este laberinto de incertidumbres la nación teme las conseqüenc</t>
  </si>
  <si>
    <t>altar, con fecha de 15 de Mayo, que todo estaba en movimiento desde la llegada de los refuerzos del General Craig, y desde que se habían desembarcado los muchos enfermos que habia en la esquadra del Lord Nelson, quien se ha dirigido á las Indias Occidentales en busca de la de Toíon. Ha llegad</t>
  </si>
  <si>
    <t>Jamayca con 4 Regimientos. , . . :f. - . Escriben de Gibraltár, ;cpn fecha de 17 de Junio;, que.el General Craig se mantiene en aquella ciudad con los 5©; hombres que manía*. Se ignora el objeto de la expedición, bien que se cree que esté destinada á;Malta, y de allí á Alexandría á las orden</t>
  </si>
  <si>
    <t>ación y tomado víveres, se ha hecho á la vela e» busca del enemigo. La expedición á las órdeqes del General Craig ha zarpado de Gibraltar el 18 de Julio, para evitar el ataque de que le amenazaban las lanchas cañoneras del enemigo. Va á Malta, de donde se cree que pasará á guarnecer la plaza</t>
  </si>
  <si>
    <t>abia corrido de que la flota -estaba infestada de este mal. Empieza á creerse que la expedición del General Craig, que se halla en Malta ésta destinada á Egipto. Parte de la guarnición de la isla, en número dé 2© hombresytieríe orden de estar pronta á embardarsev ; Eos numerosos transportes q</t>
  </si>
  <si>
    <t>Craigh, General</t>
  </si>
  <si>
    <t>General Craigh</t>
  </si>
  <si>
    <t>e la Pomerania Sueca, á favor de la Rusia. Se han recibido noticias de la expedición mandada por el General Craigh. Escribe este General de Malta con fecha de 23 de Julio, y da parte de haber llegado á aquella isla con sus tropas en buen estado el 17 del mismo mes. También se ha sabido la lleg</t>
  </si>
  <si>
    <t>Crawfurd</t>
  </si>
  <si>
    <t>e este negocio.__ Lora Castlereagh defendió el sistema actual; y Mr. Windhain apoyó la propuesta de Mr. Crawfurd. El Secretario de la Guerra dixo que el exercito en i.° de Enero de 180)• se componía de 105© hombres, y en i.° de Junio de 119©, y «pie en el año último se habían alistado n© hom</t>
  </si>
  <si>
    <t>Crawfurd, Coronel</t>
  </si>
  <si>
    <t>Coronel Crawfurd</t>
  </si>
  <si>
    <t>reguntarse ¿la guerra es indispensable?__ En quanto al exército, no entraré en este examen; pues el Coronel Crawfurd se propone tratar sobre este punto ; sí solo observaré que estamos, lejos de haber aumentado nuestras fuerzas en proporción de las del. enemigo Paso ahora ai estado de la armada.</t>
  </si>
  <si>
    <t>on la petición, por contener esta objetos políticos que no son de su competencia. El 28 de Junio el Coronel Crawfurd hizo en la Cámara de los Comunes la propuesta que había anunciado sobre el estado del exercito. Habiéndose aumentado las fuerzas del enemigo en la misma proporción én que han dism</t>
  </si>
  <si>
    <t>©, y «pie en el año último se habían alistado n© hombres. Finalmente, se desestimó la propuesta del Coronel Crawfurd. . Por el navio la Barbada, que ha arribado á Liverpool el 30 de Junio, se ha confirmado la noticia de la llegada de las esquadras combinadas á la Martinica, donde se hallaban tod</t>
  </si>
  <si>
    <t>Crespo, Manuel</t>
  </si>
  <si>
    <t>Manuel Crespo</t>
  </si>
  <si>
    <t>mera silla de la Catedral de Albarracin , vacante por fallecimiento de D. Vicente Navarro y Dolz, á D. Manuel Crespo : para la Abadía Consistorial del Real Monasterio de S. Pedro de Camprodon, de la Congregación. Benedictina Claustral en Cataluña, vacante por muerte de D.Fr. Baltasar de Valdrich</t>
  </si>
  <si>
    <t>Creuhet, Francisco</t>
  </si>
  <si>
    <t>Francisco Creuhet</t>
  </si>
  <si>
    <t>euta, se ha servido el Rey promover á Capitán segundo 3! Teniente D. Clemente Germa; y á Teniente á D. Francisco Creuhet, Subteniente de la Compañía fixa def propio Cuerpo establecida en Mallorca. * En los Esquadrones de línea ae la Real Brigada de Carabineros ha promovido S. M. á Ayudante mayor al</t>
  </si>
  <si>
    <t>Creuhet, Pedro</t>
  </si>
  <si>
    <t>Pedro Creuhet</t>
  </si>
  <si>
    <t>Canongía de la Colegial de S. Juan de las Abadesas, Diócesi de Vique, vacante por fallecimiento de D. Pedro Creuhet, á D. Jayme Branxar: para una Canongía de ia Colegiata dé Sta* Ana de la ciudad de Barcelona, vacante por promoción de D. Josef Espinos á otra de aquella Catedral, y por no haberl</t>
  </si>
  <si>
    <t>Cristen, Félix Henrique</t>
  </si>
  <si>
    <t>Félix Henrique Cristen</t>
  </si>
  <si>
    <t>o al Teqienre de, granaderos D. Luis Richembach; grado de Teniente Coronel al Capitán de granaderos D. Félix Henrique Cristen; y en e.l de Reding Subtenencia de granaderos al Subteniente de fusileros D. Nicolás Fiwatz. En los Regimientos de; caballería de líne&lt;i se ha- servido el Re y promover á Teniente</t>
  </si>
  <si>
    <t>Cristiano T-Terrgen</t>
  </si>
  <si>
    <t>ica, secciones cónicas, cálculo diferencial é integral, y en los principios de física experimental. Don Cristiano T-Terrgen, Catedrático del Real estudio mineralógico establecido en Madrid, empezará sus lecciones publicas de mineralogía el día 16 del corriente de 11 á *12 por la mañana, y las continuar</t>
  </si>
  <si>
    <t>Cristiano, Príncipe</t>
  </si>
  <si>
    <t>Príncipe Cristiano</t>
  </si>
  <si>
    <t>sb;erg: el Príncipe heredero á Sorgenfrey: el Príncipe ae WCóroná1 aPcainpo Schonen en Suecia; y el Príncipe Cristiano á las revistas.de; Berlín;; L ~ Párécé qiíe sé1 trata-dé”:establecer.en ios estados de S., M. un moderado derecho sobre la navegación á beneficio de las casas'de qua rente na. Hoy</t>
  </si>
  <si>
    <t>Cristóbal</t>
  </si>
  <si>
    <t>e dicha casa. Quien* quisiere hacer postura, acpdjyante dicho Señor por la escribanía del número de Don Cristóbal ¡de Vicuña; entendido de. que está señalado su remate el dia 6 del presen-, te en las puertas de la audiencia su Señoría, de doce á una de su mañana. ,, ■ Por providencia del Sr.</t>
  </si>
  <si>
    <t>Cristóbal Alfonso</t>
  </si>
  <si>
    <t>Rey se ha servido conceder en el Regimiento de infantería de Valencia Tenencias á los Subtenientes D. Cristóbal Alfonso y D. Joaquín Gil de Bernabé; y en el de las Ordenes Militares Ayudantía al Teniente D. Juan Domínguez; y Subtenencia de bandera al Cadete D. Josef Roldan. En el Real Cuerpo de Ingenie</t>
  </si>
  <si>
    <t>Cristóbal Cladera</t>
  </si>
  <si>
    <t>teca periódica de ciencias y artes, núm. 15, perteneciente al dia 30 de Mayo. Contiene una carta de D. Cristóbal Cladera, dirigida al editor del Correo de Londres, refutando la memoria de Mr. Otto sobre el descubrimiento de América: el extracto del tratado de los Tropos de César Dumarsais, traducido</t>
  </si>
  <si>
    <t>Cristóbal de Mesa</t>
  </si>
  <si>
    <t>uctiva para la historia.= Las églogas y geórgicas deVirgilio: Rimas;y el Pompeyo,tragedia: su autor Don Cristóbal de Mesa, uno de los mejores autores Españoles. Se hallarán en la librería de Castillo, frente á las gradas de S. Felipe. Quaderno 3.0 de minués, de Borghi y Wutky, para el clave ó piano:</t>
  </si>
  <si>
    <t>Cristóbal de Reyna</t>
  </si>
  <si>
    <t>ngo Antonio Loriga, D. Joaquín Montenegro, D. Miguel Panes, D. Ramón Cucalón, D. Joaquín de Miguel, D. Cristóbal de Reyna, D. Ramón Tovar y D. Joaquín Crame. El Emo. Sr. D. Luis de Borbon , Cardenal de Scala, y Arzobispo de Toledo, ha dirigido al Excmo. Sr. Príncipe de la Paz el oficio siguiente: ' ,</t>
  </si>
  <si>
    <t>Cristóbal de Vicuña</t>
  </si>
  <si>
    <t>a, vecino y del comercio de esta Corte, para que concurra á la escribanía propietaria del número de D. Cristóbal de Vicuña, dentro de 15 días contados desde el 9 del corriente, á cerciorarse de lo resuelto por ▼arios acreedores del mismo Miranda, en junta celebrada ea 2 2 de Enero último,</t>
  </si>
  <si>
    <t>Manuel Vicente de Torres, del Consejo de S. M., Teniente Corregidor de esta villa, y escribanía de D. Cristóbal de Vicuña, se vende un título de Castilla. Quien quisiere hacer postura, acuda ante dicho Señor y citada escribanía, dentro de 18 dias, y está señalado para su remate el dia 31 del corrient</t>
  </si>
  <si>
    <t>esta villa, se vende un título de Castilla. Quien quisiere hacer postura, acuda á la escribanía de D. Cristóbal de Vicuña; y está señalado para su remate el dia 12 del próximo mes de Julio. Por la Cámara de Justicia de S. A. S. el Duque Guillermo de Baviera se cita á D. Alcxandro Fernando Carlos Jose</t>
  </si>
  <si>
    <t>. Torquato Antonio Collado, del Consejo de S. M., Teniente Corregidor detesta villa,y Escribanía de D. Cristóbal de Vicuña, se venden á voluntad de su dueño dos Oficios unidos de Receptor de losReales Consejos, que sirve el mismo dueño, estimados en 56© rs., con calidad de comunicarle las posturas que</t>
  </si>
  <si>
    <t>regidor de esta villa," para pago de acreedores, acuda ante dicho Señor, y escribanía del número de D. Cristóbal de Vicuña. La subasta de la casa sita en la calle de Segovia, y plazuela del Alamillo, número 2 , manz. 1 36, tasada en 802,330 rs., que se anunció en la Gazeta de 23 dé Agosto próximo, se</t>
  </si>
  <si>
    <t>acuda ante el Sr. D. Manuel Vicente de Torres, Teniente Corregidor de esta villa', y escribanía de D. Cristóbal de Vicuña, dentro de 30 dias contados desde el 14 del corriente.</t>
  </si>
  <si>
    <t>Cristóbal González</t>
  </si>
  <si>
    <t>to Marino y D. Joaquín Carrasco t de Teniente de granaderos en el de Ronda al Teniente de fusileros D. Cristóbal González: de Teniente de fusileros en el de Toledo al Subteniente de la misma clase D. Josef Resino : de Subtenientes de granaderos en los de Válladolid y Truxillo á los Subtenientes de fu</t>
  </si>
  <si>
    <t>Cristóbal Martínez</t>
  </si>
  <si>
    <t>el Préstamo del. lugar de Coxos de Rollan, en la Diócesi de Salamanca, vacante por fallecimiento de D. Cristóbal Martínez, á D. Mariano Calderón y Cavanillas:, para el Beneficio del lugar de Codorniz, en Ja de Avila, vacante por promoción de D. Antonio Gutiérrez al de Candeleda, en la misma Diócesi,</t>
  </si>
  <si>
    <t>Cristóbal Valera</t>
  </si>
  <si>
    <t>Cristóbal Valera.... Hijo de Antonio , natural de Lucena: murió-)</t>
  </si>
  <si>
    <t>Cristóbal Vergara</t>
  </si>
  <si>
    <t>Subtenencias de bandera en los de Ultonia, Málaga y Voluntarios de Estado á los Sargentos primeros Don Cristóbal Vergara, Di Rafael Arroyo, y D. Mateo Burguera; y en los de la Corona, Sevilla, León y el expresado de Málaga.á los Cadetes D. Antonio Parreño, D. Francisco Benmidez de Castro, D. Manuel</t>
  </si>
  <si>
    <t>Cronstadt</t>
  </si>
  <si>
    <t>*7 0^ . , ! D Cronstadt, y se ha resuelto celebrar con gran pompa este aniversario á presencia de S. M. I. á fin de perpetuar la época- de la creación de la marina Rusa. . Varios sugetos particulares, pr</t>
  </si>
  <si>
    <t>Croquer, Rafael</t>
  </si>
  <si>
    <t>Rafael Croquer</t>
  </si>
  <si>
    <t>mayor el Teniente D. Juan Blanco; a Tenientes de granaderos los de fusileros D. Antonio Coudougnan, D. Rafael Croquer y D. JoseF Cortes; á Tenientes los Subtenientes D. Josef Decloiiet, D. Luis</t>
  </si>
  <si>
    <t>Crumpipen</t>
  </si>
  <si>
    <t>España., y el Nuncio del Papa. A la izquierda del mismo Land-Amman estaba el Ministro de Ajus.tjri» Mr. Crumpipen, acompañado del Barón de Werger, Ministro de Baviera. Luego que estuvieron todos colocados, se levantó el Land-Amman, y pronunció ;un discurso, qué duró media hora, á que siguió o</t>
  </si>
  <si>
    <t>Cruz Tolra Lafita, Juan</t>
  </si>
  <si>
    <t>Juan Cruz Tolra Lafita</t>
  </si>
  <si>
    <t>ledo y León al Sargento segundo distinguido del de Aragón D. Josef Prino, y al Cadete del de Africa D. Juan Cruz Tolra Lafita. En la Compañía suelta del Rey no de Valencia se ha dignado S. M. promover á Capitán Comandante á D. Mariano Alemán, Teniente Coronel agregado al Estado mayor de la plaza de Alica</t>
  </si>
  <si>
    <t>Cruz, Juan Bautista</t>
  </si>
  <si>
    <t>Juan Bautista Cruz</t>
  </si>
  <si>
    <t>inos; y fueron premiados D. Luis Kicola, D. Miguel Cabellos, D. Vicente Tortilla, D. Ensebio Carda, D. Juan Bautista Cruz, Doña Peregrina Gosalbó, Doña Teresa Lamaneta y Doña Manuela Lamaneta. Después recitáron los niños quatro letrillas en acción de gracias. Leyó una oda D. Esteban Chaix; y el Señor</t>
  </si>
  <si>
    <t>Cucalón, Ramón</t>
  </si>
  <si>
    <t>Ramón Cucalón</t>
  </si>
  <si>
    <t>elo, D. Antonio Ortiz de Zarate, D. Domingo Antonio Loriga, D. Joaquín Montenegro, D. Miguel Panes, D. Ramón Cucalón, D. Joaquín de Miguel, D. Cristóbal de Reyna, D. Ramón Tovar y D. Joaquín Crame. El Emo. Sr. D. Luis de Borbon , Cardenal de Scala, y Arzobispo de Toledo, ha dirigido al Excmo. Sr</t>
  </si>
  <si>
    <t>Cuenca, Blas</t>
  </si>
  <si>
    <t>Blas Cuenca</t>
  </si>
  <si>
    <t>el; Tenencia de granaderos á D. Melchor Ramos;y sencillas á D. Laureano Cabrera , D. Mariano Anaya, D. Blas Cuenca , I). Faustino Aragón, D. Juan de Dios Camborda, Don Josef Bobadilla, D. Silverio Mogrovejo, D. Paulino Roxas, D. Tomas Herencia, D. Josef Perez del Portillo, D. Simón Aguirre y D</t>
  </si>
  <si>
    <t>Cueto, Gonzalo</t>
  </si>
  <si>
    <t>Gonzalo Cueto</t>
  </si>
  <si>
    <t>promovido S. M. á Capitanes segundos á los Tenientes D. Vicente Ten de Arista, D. Joaquín Velarde, D. Gonzalo Cueto, D. Julián Solana, D. Braulio Henriquez y D. Josef Jalón; y á Tenientes á los Subtenientes D. Luis Mazuelo, D. Antonio Ortiz de Zarate, D. Domingo Antonio Loriga, D. Joaquín Monte</t>
  </si>
  <si>
    <t>Cumplido, Juan María</t>
  </si>
  <si>
    <t>Juan María Cumplido</t>
  </si>
  <si>
    <t>s. El Rey se ha' servido conceder en el Regimiento de infantería de Sevilla Tenencia al Subteniente D. Juan María Cumplido.</t>
  </si>
  <si>
    <t>Cuneros, Juan</t>
  </si>
  <si>
    <t>Juan Cuneros</t>
  </si>
  <si>
    <t>arabaylió, en el Rey no del Perú, Tenencias á B. Pablo Abellafuerte y Querejazu , D. Luis Serrano , D. Juan Cuneros , D; josef María Verdugo , D. Ignacio Gamio, y D. Manuel López; y empleos de Alférez á D. f rancisco Horcasitas, D. Pedro Martínez Unamuzaga, Don' Pedro Cañedo, D. Manuel González</t>
  </si>
  <si>
    <t>Curie, Felipe</t>
  </si>
  <si>
    <t>Felipe Curie</t>
  </si>
  <si>
    <t>anosos, y otros parages en donde son endémicas ó epidémicas estas fiebres: un tomo en 8.°: su autor D. Felipe Curie!, Médico del limo. Sr. Obispo, Dean y Cabildo de la Catedral de Lugo. Se hallará en la librería de Argueta, calle de la Montera, á io rs. en rustica y i 2 en pasta. El editor del</t>
  </si>
  <si>
    <t>Cusí, Juan</t>
  </si>
  <si>
    <t>Juan Cusí</t>
  </si>
  <si>
    <t>66. 12. Juan Cusí ........ Domingo., Eulalia Diguera, , San Salons . Gerona, , 66. 12, Francisco Pasqual. . . Otro. ,,,, Maria Miñana, , , Gavá , ,</t>
  </si>
  <si>
    <t>Cutie, Pedro</t>
  </si>
  <si>
    <t>Pedro Cutie</t>
  </si>
  <si>
    <t>ento de caballería de Algarbe se ha servido el Rey conce-? der empleo de Alférez al Portaestandarte D. Pedro Cutie; y en el de cazadores de-Olivencia Ayudantía á D. Ramón Bertrán, Teniente deLde dragones de1 A lmansa; ; * En América. En el -Regimiento de dragones Provinciales de Mechoacan , en</t>
  </si>
  <si>
    <t>Czartorinski, Príncipe</t>
  </si>
  <si>
    <t>Príncipe Czartorinski</t>
  </si>
  <si>
    <t>Alexandro 1 , por la quarta vez , á principios de Noviembre, su mediación entre Rusia y Francia, el Príncipe Czartorinski, Ministro de Estado Ruso, declaró que con arreglo á los tratados subsistentes entre el Gabinete de S. Petersburgo y el de S. James, el Monarca Ruso no podía escuchar proposición n</t>
  </si>
  <si>
    <t>g por el Mariscal Davoust: el exército Ruso estaba cortado , y ni un solo hombre .podía escapar. El Príncipe Czartorinski introdujo ¿al General Savary cerca del Emperador de Rusia, quien le dixo: decid á vuestro amo que yo me voy, que ayer ha hecho milagros: que esta ¡ornada ¡ha aumentado la admiraci</t>
  </si>
  <si>
    <t>Czartoriusky, Príncipe</t>
  </si>
  <si>
    <t>Príncipe Czartoriusky</t>
  </si>
  <si>
    <t>para ver al Emperador Alexandro. S. M. I. viene acompañado dei Gran Mariscal Conde de Tolstoy, del Príncipe Czartoriusky, dei Edecán general Príncipe Dolgorucky, del General Conde de Liewen, del Consejero de Estado Ministro de la Guerra Gubril, y del Consejero de Estado Villie &gt; Médico de S. M. Hoy</t>
  </si>
  <si>
    <t>Czartorynski, Príncipe</t>
  </si>
  <si>
    <t>Príncipe Czartorynski</t>
  </si>
  <si>
    <t>xandro hará un viage á las provincias meridionales de su Imperio, y que únicamente le acompañará el Príncipe Czartorynski, actual Director del Departamento de Negocios extrangeros. En las mismas cartas de Viena se da también por cierto, que la Puerta quiere enviar á Egipto refuerzos considerables, so</t>
  </si>
  <si>
    <t>da Iturburu, Joaquín</t>
  </si>
  <si>
    <t>Joaquín da Iturburu</t>
  </si>
  <si>
    <t>en Cádiz en la de Pajáres.' Nuevo método para las operaciones de cambio: obra original, escrita por Don Joaquín da Iturburu, y dividida en dos tomos en 4.0 En el i.°, que se ha publicado, trata el autor de ios cambios de España con las principales Plazas extrangeras de comercio; explica por las denomin</t>
  </si>
  <si>
    <t>Dacres, Almirante</t>
  </si>
  <si>
    <t>Almirante Dacres</t>
  </si>
  <si>
    <t>o está destinada contra la Jamayca, sino *que recorrerá las islas, como lo hizo la de Rochefort. El Almirante Dacres se hallaba en la Jamayca con 7 navios de línea: en la Barbada habia un 'navio y algunas fragatas. No tenemos noticias del Almirante Cochrane; pero sabemos que el 14 de Mayo estaba</t>
  </si>
  <si>
    <t>ar las fragatas y balandras. El Espartano se habia. reparado en la Barbada, y se habia unido con el Almirante Dacres, á quien se aguardaba en la Jamayca. Extracto del Courrier, Sabemos con grande sentimiento que S. M. está amenazado de perder la vista, pues los Médicos han anunciado que la catar</t>
  </si>
  <si>
    <t>olvía este Almirante de la Jamayca, adonde había ido en seguimiento de la esquadra de Rochefort* El Almirante Dacres se mantenía en la Jamayca con el resto de la esquadra, para defender la isla. Lord Nelson ancló durante 12 hoyas para embarcar las tropas que el Teniente General William Myers le</t>
  </si>
  <si>
    <t>Dages, Sebastián</t>
  </si>
  <si>
    <t>Sebastián Dages</t>
  </si>
  <si>
    <t>Idem, * * y 66. 12. Sebastian Dages..... Jayme. .. . Francisca Camilla, Muga, , , , , Gerona, » i* 66. 12. Juan Iglesias. ...... Josef. ...., Josefa Feliu, » » » Barcelon;</t>
  </si>
  <si>
    <t>Daguesseau</t>
  </si>
  <si>
    <t>nville, Embaxador cerca de S. M. Católica; á Mr. Semonville, Embaxador cerca del Gobierno Bátavo; á Mr. Daguesseau, Ministro Plenipotenciario en Dinamarca; á Mr. Hedouville, General de División; á Mr. Ferina, id.; á Mr. Gouvion, Inspector general de la Gendarmería; á Mr, Dambarere, Inspector d</t>
  </si>
  <si>
    <t>Dallemagne, Coronel</t>
  </si>
  <si>
    <t>Coronel Dallemagne</t>
  </si>
  <si>
    <t>lla. La ca^JJiería Francesa acredito su superioridad. Al concluir la'batalla envió el Étootradar el'Coronel Dallemagne con dos esquadrones de su guardia '|[iec:í&gt;r:iier las cercanías del campo de batalla, y recoger' los fugitivos : hai^cíinajío varias banderas, 15 cañones y 1500 prisioneros. La gu</t>
  </si>
  <si>
    <t>Dallouville</t>
  </si>
  <si>
    <t>zoíF, para que suspenda su viage á Paris, ha causado gran sensación de extrañeza en esta capital.__ Mr. Dallouville, que sirvió antes en Erancia, acaba de ser matriculado en el cuerpo de la nobleza Rusa.</t>
  </si>
  <si>
    <t>Dalmacio Alpuente</t>
  </si>
  <si>
    <t>pital Pozoblanco, á D. Dionisio Catalan ; y para la Vara de Alcalde mayor de la ciudad de Almería á D. Dalmacio Alpuente. En atención á los méritos, servicios y distinguida nobleza de D. Juan Clemente Nuñez del Castillo y de Molina , Marques de S. Felipe y Santiago, natural de la Havana, ha venido S</t>
  </si>
  <si>
    <t>Dámaso de Isusquiza</t>
  </si>
  <si>
    <t>n la librería de Escribano, callé de las Carretas. El Zelosoy la Tonta : comedia en tres actos, por D. Dámaso de Isusquiza. Se vende, á 2 rs., en 1« librería de la viuda é hijo de Quiroga, calle de las Carretas, y en el puesto de Sánchez, calle del Príncipe. MADRID EN LA IMPRENTA REAL.</t>
  </si>
  <si>
    <t>Damián Muñoz</t>
  </si>
  <si>
    <t>en Aragón: mur. en 12 de Nov. de 89. 420 26. Id. Cabo 2.0 Da mían Muñoz... Hijo de Jacinto y de Joaquina Andrés, natural de Velez el Rubio, reyno de Granada: mur. en 2 5 de Marzo 0294. 5JQ 20» Id</t>
  </si>
  <si>
    <t>Dance, Capitán</t>
  </si>
  <si>
    <t>Capitán Dance</t>
  </si>
  <si>
    <t>ndos en la Compañía de la India oriental, celebrada el 19 del corriente» se ha propuesto señalar al Capitán Dance, en atención á sus largos servicios á la Compañía, y haber últimamente protegido la flota de la China que convoyaba á Europa en un combate contra el Almirante Francés Linois, una</t>
  </si>
  <si>
    <t>Daniel, Rafael</t>
  </si>
  <si>
    <t>Rafael Daniel</t>
  </si>
  <si>
    <t>Dámaso Solano y Peña, á Don Juan Antonio Solano y Peña. En atención á los méritos que ha contraído D. Rafael Daniel, Canónigo y Arcediano de Valderas de la Iglesia Catedral de León , en la dirección del hospicio y casa de expósitos de aquella Provincia y otros encargos del Reai servicio, se ha</t>
  </si>
  <si>
    <t>Darder, Ramón</t>
  </si>
  <si>
    <t>Ramón Darder</t>
  </si>
  <si>
    <t>nsa, y al efecto salió una lancha armada con 11 hombres de tropa al mando del Oficial de infantería D. Ramón Darder, quien protegido por el fuego de la batería, y'por el de fusilería de la tropa y paisanage desde otros puntos,' de tierra, y despreciando'áel que hacia el corsario contra.él xabeq</t>
  </si>
  <si>
    <t>Dareche y Urrutia, Joaquín</t>
  </si>
  <si>
    <t>Joaquín Dareche y Urrutia</t>
  </si>
  <si>
    <t>allero, está pendiente la testamentaría abintestato, "formada con motivo del fallecimiento del Lie. D. Joaquín Dareche y Urrutia, residente en esta Corte, y natural que fué de la ciudad de los Remedios, en el Vireynato dé Santa Fe de Bogotá; y en auto de 19 de Enero próximo pasado, sé ha mandado citar y emp</t>
  </si>
  <si>
    <t>Darnley, Lord</t>
  </si>
  <si>
    <t>Lord Darnley</t>
  </si>
  <si>
    <t>bido estos dias últimos en la Cámara de los Pares una discusión muy viva con motivo de haber pedido Lord Darnley se formase una junta de información naval para examinar el estado actual de !a marina. Su objeto ha sido probar que el Almirantazgo estaba mejor arreglado quando lo presidia el Co</t>
  </si>
  <si>
    <t>El Conde de Sufídlk opinó como Lord Darnley, y reconvine al Almirantazgo con no haber enviado una escuadra en seguimiento de la de Ro~ chefort hasta que ya esta había hecho su expedición. i Respondió Lord Melvilie á este ca</t>
  </si>
  <si>
    <t>Darrac, Juan</t>
  </si>
  <si>
    <t>Juan Darrac</t>
  </si>
  <si>
    <t>un balazo á lumbre de agua, y otras averías de menos monta. América, del mando del Capitán de Navio D. Juan Darrac: todos los quatro palos están rendidos, lo mismo los masteleros y vergas, casi todas las xarcias y el velámen estropeados. Pasan de 60 balazos los que se cuentan en el casco de es</t>
  </si>
  <si>
    <t>Darsonval, Coronel</t>
  </si>
  <si>
    <t>Coronel Darsonval</t>
  </si>
  <si>
    <t>para ir á cumplimentar , en nombre de S. M., ai Emperador y Rey á su llegada á Turin y á Milán. El Coronel Darsonval, que ha llegado estos dias de la Isla de Francia en la corbeta la Diligente, ha traído varios pliegos de los Comandantes de aquellos establecimientos, todos sumamente satisfactori</t>
  </si>
  <si>
    <t>Daru</t>
  </si>
  <si>
    <t>dél exercito mandada por el General Davoust ha pasado por Lila, y continúa su marcha hacia el Rhin. Mr. Daru, Consejero de Estado, Mayordomo mayor de Palacio, ha si** do nombrado Comisario general del exórcito del Rhin. En Croydon cerca de Cantorbery (en Inglaterra) se ha hecho la prueba</t>
  </si>
  <si>
    <t>Daunoy, Luis</t>
  </si>
  <si>
    <t>Luis Daunoy</t>
  </si>
  <si>
    <t>9H í'erriet, graduado de Teniente,-D. Francisco Rodríguez, D. Luis Daunoy, D. Diego Salazar, D. Luis Gayarre, D. Cirilo Demorant y D. Juan Bautista Dufosat, el primero, segundo y quinto de granaderos; á Subtenientes de granaderos los.de fusileros D. Fra</t>
  </si>
  <si>
    <t>David</t>
  </si>
  <si>
    <t>dencias que son necesarias para extirparle radicalmente &amp;c.*\ FRANCIA. París 22 de Marzo. El famoso Mr. David , Pintor de Cámara del Emperador, ha hecho un retrato de cuerpo entero de S. S.; y S. M. I. le ha encargado le saque una copia. Se ha formado en esta capital una nueva Academia, q</t>
  </si>
  <si>
    <t>rchará á Italia. SS. MM. II. han firmado el contrato matrimonial del Coronel Meunier con la hija de Mr. David, primer Pintor de Cámara del Emperador. ESPAÑA. ‘ . Madrid de Abril. S. M. se ha servido promover á Ayudante en el Regimiento de infantería de Extremadura al Teniente, graduado de</t>
  </si>
  <si>
    <t>David Baud</t>
  </si>
  <si>
    <t>ado en el Almirantazgo. Deben juntarse varios cuerpos de caballería, artillería y de infantería con Sir David Baud, y se cree que esten destinados á reforzar á Sir James Craig. El Regimiento núm. 20 de dragones, y otros cuerpos que se embarcan en Portsmouth, tienen ya orden de ir al Mediterrán</t>
  </si>
  <si>
    <t>Dávíla Muñoz, Manuel</t>
  </si>
  <si>
    <t>Manuel Dávíla Muñoz</t>
  </si>
  <si>
    <t>rán dirigir sus solicitudes al Ayuntamiento de dicha ciudad por su escribanía, que está al cargo de D. Manuel Dávíla Muñoz; en inteligencia de que ha de proveerse el dia 24 del presente mes. , ' . El tomo segundo de la Colección de Santos Mártires, Confesores y Varones venerables del Clero secular, en</t>
  </si>
  <si>
    <t>Dávila y Maza, Luis</t>
  </si>
  <si>
    <t>Luis Dávila y Maza</t>
  </si>
  <si>
    <t>les, Cabildos y Nobleza de ambos sexos, que tenia convidada á este fin el Sr. D,Luis Dávila y Maza, Teniente de S. A. R. siguiendo á él varios conciertos de música, canto y bayle,, que finalizó en la mañana del dia 5 con general aplauso y satisfacción de los concurrentes» Valencia 14 de</t>
  </si>
  <si>
    <t>Davoust, General</t>
  </si>
  <si>
    <t>General Davoust</t>
  </si>
  <si>
    <t>lendario, y que se volverá al antiguo desde el i.° de 1806, La división dél exercito mandada por el General Davoust ha pasado por Lila, y continúa su marcha hacia el Rhin. Mr. Daru, Consejero de Estado, Mayordomo mayor de Palacio, ha si** do nombrado Comisario general del exórcito del Rhin. En</t>
  </si>
  <si>
    <t>iunfos de ios exércitos así en Alemania como en Italia. La plaza de Lintz está en nuestro poder: el General Davoust tiene sús/ávanzadtas en Steyer, y se dice que en Viena hay mucha consternación en vista de la proximidad de los exércitos Franceses.__ Bernadotte ha tomada 5© prisioneros, que huí</t>
  </si>
  <si>
    <t>Davoust, Mariscal</t>
  </si>
  <si>
    <t>Mariscal Davoust</t>
  </si>
  <si>
    <t>stán en* Horuberga, en Oppenau, en Oberkirch, Gemspach, Badén y Durlaeh : e4 cuerpo de exército del Mariscal Davoust, qué pasó el Ríiin antes de ayec por Manheim, se ha encaminado á Heidelberga; y de este modo son ya, dueños los Franceses de todas las salidas de ia Selva-Negra, en donde los Aust</t>
  </si>
  <si>
    <t>Davóust, Mariscal</t>
  </si>
  <si>
    <t>Mariscal Davóust</t>
  </si>
  <si>
    <t>a actualmente en el territorio fdél del las se hallabah en eLSpestart.-jl-EI cuerpo de exército del Mariscal Davóust, ' ' /' t 1 ' ti / í 1 • *_'l 1 1 1 /• • i» qué pasó el Rhin por Mánheim,’se ha avanzado sobre la frontera meridional de la Franconia por las orillas del Necker.-.. El del Marisca</t>
  </si>
  <si>
    <t>Davoúst, Mariscal</t>
  </si>
  <si>
    <t>Mariscal Davoúst</t>
  </si>
  <si>
    <t>go, donde se ha reunido con el exército Bávaro y el cuerpo del Mariscal Bernadotte.__ El cuerpo del Mariscal Davoúst ha pasado el Rhin el 26 por Manheim, encaminándose por Heidelberga y Necker-Eltz sobre el Necker---- El cuerpo del Mariscal Soult ha pasado el Rhin el mismo dia por el puente que</t>
  </si>
  <si>
    <t>Ulm , y observar el cuerpo de exército, que, según parece, está reunido en la plaza. El cuerpo del Mariscal Davoust no ha llegado hasta el 8 á Neuburgo. El cuerpo del General Marmont ha llegado igualmente. El cuerpo del General Bernadotte y los Bávaros llegáron el dia 2 á Aichstett. Por las not</t>
  </si>
  <si>
    <t>quipages de varios Generales Austríacos, y ha tomado unos 100 prisioneros de varios Regimientos. El Mariscal Davoust se ha dirigido á Dachau , y su vanguardia ha llegado á Móisach. Los húsares de Blankenstein han sido desbaratados por sus cazadores, y en estos varios encuentros ha cogido prision</t>
  </si>
  <si>
    <t>lnn, donde estarán esta noche el Mariscal Bernadotte por un lado, eí General Marmont por otro, y el Mariscal Davoust por otro. ESPAÑA, Madrid 15 de Noviembre.El martes de esta semana, dia del cumpleaños del Rey nuestro SeNor, se vistió la Corte de gala con uniforme, y hubo besamanos general en e</t>
  </si>
  <si>
    <t>vivamente ai enemigo luego qué se pudo pasar, y se le hicieron 50 prisioneros en su retaguardia. El Mariscal Davoust con su cuerpo de exército partió de Freysing el 26, y el dia siguiente se encontró en Muhldorf: el enemigo defendió la orilla derecha, donde habia colocado baterías muy bien situa</t>
  </si>
  <si>
    <t>edaban.—.El quartel general Imperial estaba el 28 en Haag, el 29 en Muldorff y el 30 en Braunau. El Mariscal Davoust gastó el dia 29 en hacer componer ei puente de Muldorff. El Regimiento 1.® de cazadores ha acometido con vigor al enemigo, le ha muerto 20 hombres y hecho muchos prisioneros, entr</t>
  </si>
  <si>
    <t>tal desenfreno, que deicaban llegasen los Eranceses para libertarlos de aliados tan extraños. r: El Mariscal Davoust ¿con su cuerpo de exército ha tomado posición en* tre Ried-y ¡Haag¿ Lpsdemas cuerpo sdeexér cito están, enmaícha: el tica* po es malísimo.: ha* caído ¡medio píe de nieve, .con ‘lo</t>
  </si>
  <si>
    <t>ría ha tomado posesión de Weis. La división de dragones del General Beaumont, y la i.a división del Mariscal Davoust, mandada por el General Bisson, se han situado en Lambach. El puente de Traun estaba cortado, y en su lugar se puso otro de barcas. El enemigo quiso defender la orilla izquierda ;</t>
  </si>
  <si>
    <t>mas sano y mas favorable para las marchas. Sigue el diario del exército. Lambach j de Noviembre. El Mariscal Davoust tiene hoy sus avanzadas cerca de Steyer. El General Milhaud con la reserva de caballería á las órdenes del Príncipe Murat, entró en Lintz el dia r.°, y hoy ha llegado allí el Mari</t>
  </si>
  <si>
    <t>l brazo. . • Ayer 4 pasamos el Enrís, y hoy el Príncipe Murar sigue1 ¿1 alcance de los enemigos. El Mariscal Davoust ha llegado el 3 á Steyer: ayer en todo el día se ha apoderado de la ciudad, haciendo 200 prisioneros: el enemigo daba muestras de querer defenderse. La división de dragones del Ge</t>
  </si>
  <si>
    <t>EÍKPríncip¿ elogia'particulatmenté al General Oudinot j cuyo ‘Edecán, Lagrange. lia'sido'herido. Eí'Mariscal Davóust elogia la conducta dél GeneralHeüdelet, que manada su vanguardia en el paso dél Enns por Steyer. Ha continuado su marcha, ,y- se‘.ha encaminado á .WahidcfFeq. ; "Todas las cartas in</t>
  </si>
  <si>
    <t>ad.” Sigue el diario del exército grande. Molk d ro de Noviembre. El 7 del corriente las tropas del Mariscal Davoust se dirigieron de Steyer á Naydhoífen, Marienzell y Lilienfeld. Con este movimiento quedaba este exército ganando la izquierda del enemigo, que se suponía deber mantenerse en las a</t>
  </si>
  <si>
    <t>al Soult han pasado por Vieria hoy á las3 9¡ de !a mañana, y en este instante están pasando las del Mariscal Davoust. ** El General Marmont ha tenido en Léobén diferentes encuentros en las avanzadas. El exército Bávaro se aumenta de dia en dia.—El Emperador acaba de hacer al Elector nueves prese</t>
  </si>
  <si>
    <t>cito, de que habia suspensión de armas. f ; ... ,íjE1 General Milhaud, que manda la vanguardia del .Mariscal Davoust, ha tomado 191 cañones con todos sus pertrechos y municiones, y 400 hombres. Así pues casi toda la artillería de la Monarquía Austríaca está en nuestro poder. . , . El palacio de</t>
  </si>
  <si>
    <t>a él convenio, está también pronto á ratificarlo. El General Vialannes, que manda la caballería del Mariscal Davoust, ha entrado en Presburgo. El General Conde de Palffy ha escrito una carta, á que ha contestado el Mariscal Davoust, y ambas son del tenor siguiente__ _ Carta del General Conde de.</t>
  </si>
  <si>
    <t>centro la,división del General Saint-Hilaire,y á su derecha la división del General Legrand..__.El Mariscal Davoust estaba destacado sobre la derecha ¿el General Legrand, que guardaba los caminos de Sokolnitz y de'Tenia consigo tá'división de Frianty los dragones de la división.del. General Bourc</t>
  </si>
  <si>
    <t>xtremo de la derecha que la vanguardia enemiga habia ya.penetrado; pero el encuentro imprevisto del Mariscal Davoust la detuvo, y se principió ei combate. El Mariscal Soult principia á moverse al mismo instante, se dirige á las alturas de la villa de Pratzen con las divisiones de los Generales Vandamm</t>
  </si>
  <si>
    <t>desorden espantoso: era ya media noche; el General Meerteld había Tsido repelido de Godding por el Mariscal Davoust: el exército Ruso estaba cortado , y ni un solo hombre .podía escapar. El Príncipe Czartorinski introdujo ¿al General Savary cerca del Emperador de Rusia, quien le dixo: decid á v</t>
  </si>
  <si>
    <t>Daza, Simón</t>
  </si>
  <si>
    <t>Simón Daza</t>
  </si>
  <si>
    <t>ampa, en el Reyno del Perú, el empleo de Coronel áD.Domingo Abarca y Guerra; la Tenencia Coronela á D. Simón Daza ; la Sargentía mayor áD. Nicolás Macedo; Compañía de granaderos á D. Francisco Josef Gratnbel, y de fusileros á D. Pedro Abarca y Guerra, D. Fermín Béjar, D. Josef Hermosilla y Ag</t>
  </si>
  <si>
    <t>de Abarca, Diego</t>
  </si>
  <si>
    <t>Diego de Abarca</t>
  </si>
  <si>
    <t>Francisco Gutiérrez de la Lama, D. Tuan Manuel Cabello, D. Manuel de la Torre, D. Ignacio Olarte, y D. Diego de Abarca, vecinos de aquella demarcación. Los sugetos que tengan equipages ó efectos de qualquiera clase detenidos en los almacenes de la venta de Cárdenas, deberán acudir á recogerlos des</t>
  </si>
  <si>
    <t>de Agilitar, Miguel</t>
  </si>
  <si>
    <t>Miguel de Agilitar</t>
  </si>
  <si>
    <t>enüia personal; y para el Préstamo de Lora nc a , en la Diócesi de Cuenca* vacante por promoción de D. Miguel de Agilitar á una Canongía de la Catedral de Zamora, á D. Joaquín Isidoro López. . . - &lt; , ;</t>
  </si>
  <si>
    <t>de Agreda, Manuel</t>
  </si>
  <si>
    <t>Manuel de Agreda</t>
  </si>
  <si>
    <t>oro ;de 3 onzas-.Pinturaá D. Josef Alonso del Rive.ro , natural de Oviedo, de 23 años. Escultura, á D. Manuel de Agreda, natural de Haro, de 33 años. Arquitectura, á D. Fermín Gutiérrez, natural de Madrid, de 25 años. Premios segundos. Medallas de oro de 2 onzas. Pintura, á D. Josef de Odriozola‘,</t>
  </si>
  <si>
    <t>de Aguilar, Juan</t>
  </si>
  <si>
    <t>Juan de Aguilar</t>
  </si>
  <si>
    <t>entos de caballería de Línea se ha servido el Rey conceder, en el del Príncipe, Tenencia al Alférez D. Juan de Aguilar: en el de Farnesio empleo de Alférez al Portaestandarte D. Josef Sánchez Teruel; y en el dei Infante empleo de Portaestandarte al Cadete del de Montesa D. Antonio Mora.</t>
  </si>
  <si>
    <t>de Aguilar, Miguel</t>
  </si>
  <si>
    <t>Miguel de Aguilar</t>
  </si>
  <si>
    <t>rónimo de Fuentes, y para el Préstamo de la villa de la Parra, Obispado de Cuenca, por promoción de D. Miguel de Aguilar á Canongía de la Catedral de Zamora, á D. Josef Giiemes: para el Beneficio de la villa de Salvacañete, Diócesis de Cuenca, por muerte de D. Antonio Mazo de la Vega, áD. Felipe Col</t>
  </si>
  <si>
    <t>de Aguin, Vicente</t>
  </si>
  <si>
    <t>Vicente de Aguin</t>
  </si>
  <si>
    <t>Id. Art. Vicente de Aguin, Hijo de D. Francisco Antonio y de D.*</t>
  </si>
  <si>
    <t>de Aibini, Barón</t>
  </si>
  <si>
    <t>Barón de Aibini</t>
  </si>
  <si>
    <t>necesaria su presencia. Escriben de Ratisbona que las dos Notas comunicadas al Barón de Aibini, Ministro Directorial de la Dieta, por Mr. Bacher, Encargado de Negocios de S. M. el Emperador de los Franceses, contribuirán probablemente á dar principio á las Juntas de la Asamblea mucho</t>
  </si>
  <si>
    <t>de Alava, Ignacio</t>
  </si>
  <si>
    <t>Ignacio de Alava</t>
  </si>
  <si>
    <t>pitán del corsario. En fecha de 19 de Julio participa el Comandante general de la Esquadra de Cádiz D. Ignacio de Alava, que aquel dia habia"entrado en bahía,-* procedente de la costa-de- Poniente* un cqnvoy de, 5ó barcos costaneros,’</t>
  </si>
  <si>
    <t>de Alava, Ignacio María</t>
  </si>
  <si>
    <t>Ignacio María de Alava</t>
  </si>
  <si>
    <t>general. El Excmo. Sr. D. Federico Gravina, herido en el navio Príncipe. Segundo id. El Excmo. Sr. D. Ignacio María de Alava, herido en el Santa Ana. Xefes de Esquadra. D. Antonio de Escaño, Mayor General (*), herido en C4) El Comandante general del Departamento de Cádiz D. Juan Moreno, en oficio de 29</t>
  </si>
  <si>
    <t>de Alberg, Barón</t>
  </si>
  <si>
    <t>Barón de Alberg</t>
  </si>
  <si>
    <t>iado extraordinario y Ministro plenipotenciario del Elector Archi-Canciller; el Barón de Alberg, Ministro plenipotenciario del Elector de Badén; el Baylío Benvenuti, Ministro del Gran Maestre de Malta; Mrs. Belluomini, Cotenua y Luchesini, Enviado extraordinario y Diputados de la Repú</t>
  </si>
  <si>
    <t>de Albini, Barón</t>
  </si>
  <si>
    <t>Barón de Albini</t>
  </si>
  <si>
    <t>de navegación del Rhin, y que eí día 12 lo pasáron los Ministros Imperiales al Barón de Albini, Ministro de S. A. el Elector Archi-Canciller, y en el mismo día se presentó á la dictadura de la Dieta. Dicho decreto aprueba enteramente el conclusum del Colegio Electoral. Casi todos los</t>
  </si>
  <si>
    <t>de Alboniga y Romerosegún, Santiago</t>
  </si>
  <si>
    <t>Santiago de Alboniga y Romerosegún</t>
  </si>
  <si>
    <t>e le hizo acreedor al'curso de Filosofía del Lugdúnénse, en pasta ; recayendo el del Padre Gqudm.en D. Santiago de Alboniga y Romerosegún el dictamen de los tres Censores, que parada adjudicación de premios nombro el Sr. X^residente. Fué muy lucido.y.numeroso el concurso, y á pesar de eso reynó el mayor orden y arregl</t>
  </si>
  <si>
    <t>de Alboniga, Santiago</t>
  </si>
  <si>
    <t>Santiago de Alboniga</t>
  </si>
  <si>
    <t>bajosa, D. Josef Vázquez, D. Domingo Perez4 D. Antonio Roxásy Di Antonio* Claros, D. Alexo Fariñas, D. Santiago de Alboniga y‘Romero , Di Antonio María Vitoria Hernaez, D. Mamerto Vázquez, D. Antonio Castro; D.' Crisanto Viguera y D. Santiago García. Respondiéron tan acertadamente y tan á satisfacción de</t>
  </si>
  <si>
    <t>de Alcedo y Bustamante, Francisco</t>
  </si>
  <si>
    <t>Francisco de Alcedo y Bustamante</t>
  </si>
  <si>
    <t>erido en el Neptuno: D. Josef de Vargas Varaez, id., herido en el S. Ildefonso. Capitanes de Navio. D. Francisco de Alcedo y Bustamante, Comandante, muerto en el Montañés: D. Josef Gardoqui, id., herido en el Sta. Ana: D. Ignacio Ol-aeta, segundo Comandante, herido en el Trinidad: D. Antonio Pareja, Comandante, he</t>
  </si>
  <si>
    <t>de Aliaga, Manuel</t>
  </si>
  <si>
    <t>Manuel de Aliaga</t>
  </si>
  <si>
    <t>a judicial criminal según derecho y estilo de Cataluña: tomo i.°, dispuesto é ilustrado por el Lie. D. Manuel de Aliaga, Abogado de los Reales Consejos, y de la Real Audiencia de Cataluña. Se hallará en la librería de Fernandez, frente á las gradas de S. Felipe; en Barcelona en la de Serra y en la</t>
  </si>
  <si>
    <t>de Alió, Gaspar</t>
  </si>
  <si>
    <t>Gaspar de Alió</t>
  </si>
  <si>
    <t>ongía que en la Sta. Iglesia de Plaséncia ha resultado vacante por muerte de D. Manuel Fernandez, 4 D. Gaspar de Alió» Capellán de la BLeal Compañía de Guardias Alabarde^ ros, en consideración á sus servicios, y conforme al Reglamento de 30 de Enero del año próximo pasado. S.M. se ha servido nomb</t>
  </si>
  <si>
    <t>de Alopeus, Barón</t>
  </si>
  <si>
    <t>Barón de Alopeus</t>
  </si>
  <si>
    <t>as Prusianas en el Principado de Anspaeh, Otra carta de Petersburgo dice que el Barón de Alopeus, Ministro de S. M- L cerca de la Corte de Suecia, habia llegado á aquella ciudad desde Stockoltno el i,° de este mes, y el dia 7 volvió á marchar á Suecia. Se asegura que el objeto de su vi</t>
  </si>
  <si>
    <t>de Anchuelo, Mateo</t>
  </si>
  <si>
    <t>Mateo de Anchuelo</t>
  </si>
  <si>
    <t>servido nombrar para la Canongía vacante en la Iglesia d* Toledo por. muerte de D. Manuel Rosel, á D. Mateo de Anchuelo, Ra*cionero de la misma: para el Beneficio de la Parroquia de S. Bartolomé de la ciudad de Carmona, Diócesi de Sevilla, vacante por fallecimiento de D. Antonio Civit Plevano, á D.</t>
  </si>
  <si>
    <t>de Andeyro, Antonio</t>
  </si>
  <si>
    <t>Antonio de Andeyro</t>
  </si>
  <si>
    <t>sus vecinos se diese decente sepultura á los cadáveres; el Alcalde mayor, por S. M., de esta villa D. Antonio de Andeyro, aun antes de recibir las acertadas instrucciones:, que áeste íin se han circulado por dicho supremo Tribunal, de acuerdo en todo con su Cura propio el Dr. D. Silvestre Trte güero</t>
  </si>
  <si>
    <t>de Andrade, Salvador</t>
  </si>
  <si>
    <t>Salvador de Andrade</t>
  </si>
  <si>
    <t>rés Quintian al Obispado de Cuenca, á D. Mariano Roa y Alarcon: para el Arcedianato que este dexa á D. Salvador de Andrade; y para la Canongía que este obtenía á Don Juan Bernardo Ruiz, Cura en la misma Diócesi: para la Canongía Magistral de la Catedral de Córdoba del Tucuman á D. Vicente Anastasio de</t>
  </si>
  <si>
    <t>de Angulo, Miguel</t>
  </si>
  <si>
    <t>Miguel de Angulo</t>
  </si>
  <si>
    <t>al Teniente del propio Cuerpo D. Felipe Quintana; empleos de Teniente al de la misma dase agregado D. Miguel de Angulo, y á los Subtenientes D. Francisco de Oberto y D. Bartolomé Cordero; y de Subtenientes á los Cadetes D. Andrés Vaibuena , D. Josef de Cangas y D. Lorenzo de Cangas. El Teniente de</t>
  </si>
  <si>
    <t>de Anhált-Goten, Príncipe</t>
  </si>
  <si>
    <t>Príncipe de Anhált-Goten</t>
  </si>
  <si>
    <t>o para Petersburgo, y.que el 20 pasó por Lemberg, yendo con el mismo destino el Príncipe de Anhált-Goten, Teniente General al servicio de Prüsia. S. A. R. é I. el Archiduque Rodulfo ha sido promovido el 24 del pasado á la dignidad de Coadjutor del Arzobispado aé Olmutz.---- Tres aias hace pasó</t>
  </si>
  <si>
    <t>de Aranza, Blas</t>
  </si>
  <si>
    <t>Blas de Aranza</t>
  </si>
  <si>
    <t>ncipal de la casa lonja, presidiendo la Junta r con el Sr. Intendente de este Exército y Principado D. Blas de Aranza, su Presidente, y concurriendo la Matrícula de este Comercio y como gran número de personas de literatura y distinción, y Jos; alumnos de estas' escuelas. Por ,el Catedrático de Q</t>
  </si>
  <si>
    <t>de Araujo y Acevedo, Antonio</t>
  </si>
  <si>
    <t>Antonio de Araujo y Acevedo</t>
  </si>
  <si>
    <t>rellas de primera magnitud por la luna ocurridas en el presente año : el Excmo. Antonio de Araujo y Acevedo, Ministro y Secretario de Estado de los Negocios extranjeros y de la Guerra, una memoria en que analizando las principales bellezas del poema de las Lusiadas de Camoens, manifestó la falta</t>
  </si>
  <si>
    <t>de Arce y Rosales, Juan Francisco</t>
  </si>
  <si>
    <t>Juan Francisco de Arce y Rosales</t>
  </si>
  <si>
    <t>ad; y para una Ración de la del Nuevo Rcyno de León, vacante por ascenso de D. Domingo de Ugarte, á D. Juan Francisco de Arce y Rosales, Cura del Obispad© de Durango. En el Regimiento de infantería de Buenos-Ayres se ha servido el Rey promover á Capitán al Teniente de granaderos D. Gabriel Gascón ; á Ayudante al T</t>
  </si>
  <si>
    <t>de Arce, Antonio</t>
  </si>
  <si>
    <t>Antonio de Arce</t>
  </si>
  <si>
    <t>itanes aí Teniente D. Josef María Garmendia y al Subteniente D. Josef Antonio Romero; á Tenientes á D. Antonio de Arce y D. Josef Antonio López; y á Alféreces á D. Pablo Sobalbarro y D. Antonio Ignacio Irías, los quatro últimos vecinos también del propio Reyno. En el Regimiento de Milicias disciplinad</t>
  </si>
  <si>
    <t>de Arce, Francisco</t>
  </si>
  <si>
    <t>Francisco de Arce</t>
  </si>
  <si>
    <t>anila, se ha servido S. M. promover á Capitán ai Ayudante £&gt;. Vicente Duran; á Ayudante al Teniente D. Francisco de Arce ; á Teniente al Subteniente de granaderos D. Joaquín Carballo; á Subteniente, de granaderos aí de fusileros D. Manuel Fermín: García; á Subteniente dé Compañía al de bandera D. Jo</t>
  </si>
  <si>
    <t>de Arcos, Joaquín</t>
  </si>
  <si>
    <t>Joaquín de Arcos</t>
  </si>
  <si>
    <t>rario D. Mariano Garcés; á Supernumerario al Brigadier D. Luis Marquesi; á Brigadier al Subrigadier D. Joaquín de Arcos; á Subrigadier al Cadete D. Cayetano Torreani; á Cadete de número al Supernumerario D. Josef Chela, y á Supernumerario al Guardia D. Josef Boseli: y en la Flamenca á Exénto Supern</t>
  </si>
  <si>
    <t>de Arcos, Juan</t>
  </si>
  <si>
    <t>Juan de Arcos</t>
  </si>
  <si>
    <t>a al segundo Ayudante D. Josef Isidoro Vehy; y la Subtenencia de bandera dei de Tarragona al Cadete D. Juan de Arcos. En Anúrica. El Rey se ha dignado promover en los Cuerpos de Mi-* líelas disciplinadas del Reyno de Goaterbala á Capitán de granaderos en el •Batallón de infantería de Olahcho al</t>
  </si>
  <si>
    <t>de Aristizabal, Gabriel</t>
  </si>
  <si>
    <t>Gabriel de Aristizabal</t>
  </si>
  <si>
    <t>osto. El día 4 de Junio último falleció en la Isla de León, á los 62 años de su edad, el Excmo. Sr. D. Gabriel de Aristizabal, Comendador del Peso Real de Valencia, en la Orden de Alcántara, Gentilhombre de Cámara de S. M. con entrada, Teniente General de la Real Armada, y Comandante general interino del</t>
  </si>
  <si>
    <t>de Armenteros, Melchor</t>
  </si>
  <si>
    <t>Melchor de Armenteros</t>
  </si>
  <si>
    <t>3o1 tandarte D. Claudio Martínez de Pinillos; y esta resulta al Cadete Don Melchor de Armenteros. En el de infantería fixo de Puerto Rico ha conferido el Rey el empleo de Coronel al Teniente Coronel, graduado de Coronel, D. Francisco Nuñez; esta resulta al Comandante, graduad</t>
  </si>
  <si>
    <t>de Arroquia y Oses, Francisco María</t>
  </si>
  <si>
    <t>Francisco María de Arroquia y Oses</t>
  </si>
  <si>
    <t>era en los de Jaén y Ciudad-Rodrigo á los Subtenientes D. Antonio de la Peña y D. Juan Obregon, y á Don Francisco María de Arroquia y Oses; y á Subtenientes de Bandera en Jos de Segovia, Monterey, Xerez y Toledo á D. Bernabé López de Castro, D. Josef Salgado de Araujo, D. Josef de Mauleon y D. Josef Banfi. Habiendo m</t>
  </si>
  <si>
    <t>de Arteaga y Roxas, Francisco</t>
  </si>
  <si>
    <t>Francisco de Arteaga y Roxas</t>
  </si>
  <si>
    <t>rte de D. Josef del Rio, á D. Josef López Mañas , Racionero de ella: para la Ración que este dexa á D. Francisco de Arteaga y Roxas:para otra Ración de la Colegial de Soria,Diócesi de Osma, vacante por promoción de D. Vicente Gómez Falco- á Canongía de la misma, á D. Saturio Martínez : para una de las catorce</t>
  </si>
  <si>
    <t>de As-trearena, Pedro</t>
  </si>
  <si>
    <t>Pedro de As-trearena</t>
  </si>
  <si>
    <t>y noticias necesarias para su venta. Para celebrar junta general de acreedores á los bienes del Sr. D. Pedro de As-trearena, Marques que fué de Murillo, ha señalado el Sr. Marques de Casa» García, . del Consejo de S. M. en el Supremo de Castilla, Juez de la ocurrencia en virtud de Real orden, el dia 15</t>
  </si>
  <si>
    <t>de Asís Laso de la Vega, Francisco</t>
  </si>
  <si>
    <t>Francisco de Asís Laso de la Vega</t>
  </si>
  <si>
    <t>ado I^atallon. El dia 8 de este mes falleció en esta Corte, á los 77 años de su edad, el Excmo. Sr. D. Francisco de Asís Laso de la Vega, Duque del Arco, Gran Cruz de la Real y distinguida Orden Española de Carlos 111, Gentilhombre de Cámara con exercici©, y Montero mayor de S. M.; en cuyos cargos sirvió al Rey des</t>
  </si>
  <si>
    <t>de Astarloa, Pablo Pedro</t>
  </si>
  <si>
    <t>Pablo Pedro de Astarloa</t>
  </si>
  <si>
    <t>sobre la imposibilidad deí sistema de la significación natural de las letras, sílabas y voces, por D. Pablo Pedro de Astarloa; y la continuación de los progresos de los descubrimiento* marítimos. La subasta de la casa sita en la calle de Jesús y Maiía, núm. 7, manz. 257, barrios de Jesús, tasada en 36,74</t>
  </si>
  <si>
    <t>de Astarloa, Pedro Pablo</t>
  </si>
  <si>
    <t>Pedro Pablo de Astarloa</t>
  </si>
  <si>
    <t>en los Resguardos para que aprehendan los libros extrangeros que entren sin guias &amp;c. Respuesta de D. Pedro Pablo de Astarloa á las reflexiones de D. Gil Cano Moya sobre el sistema de la natural significación de las letras*. ■. ¡ A:.. í f : ■ , Fn el juzgado de bienes de difuntos de la ciudad dé Cuba est</t>
  </si>
  <si>
    <t>de Astrearena, Pedro</t>
  </si>
  <si>
    <t>Pedro de Astrearena</t>
  </si>
  <si>
    <t>illo, D. Miguel Paliza y D. Josef Paliza. Para hacer pago á los acreedores de la ocurrencia del Sr. D. Pedro de Astrearena, Marques que fué de Morillo, y en conformidad de lo que acordaron en Junta general que tuvieron en 3 de Julio de 1804, se ha mandado sacar á pública subasta para su venta, por tér</t>
  </si>
  <si>
    <t>la, y Juez en virtud de Real órden de los autos de la ocurrencia de acreedores á los bienes del Sr. D. Pedro de Astrearena, Marques que fué de Murillo, ha señalado el dia 21 del corriente, á las diez de su mañana, para celebrar junta genera! en la Sala Contaduría del patronato de los Sres. Iturraldes</t>
  </si>
  <si>
    <t>de Avaria, Tomás Ignacio</t>
  </si>
  <si>
    <t>Tomás Ignacio de Avaria</t>
  </si>
  <si>
    <t>ar para la Dignidad de Arcediano de Borriol de la Catedral de Tortosa, vacante por fallecimiento de D. Tomas Ignacio de Avaria, á D. Josef Antonio Vilar: para la Dignidad de Arcipreste y Canongía unida de la de Tarazona , vacante por muerte de D. Manuel Milagro y Santas , á D. Juan Antonio Franjo y Ruisec</t>
  </si>
  <si>
    <t>de Ay, Agustín</t>
  </si>
  <si>
    <t>Agustín de Ay</t>
  </si>
  <si>
    <t>6 rs. \ En 20 de Marzo último falleció en la ciudad de Córdoba, á los 66 años de edad, el limo. Sr. D. Agustín de Ay estarán y Landa, Obispo de ella y su Diócesis. Desde su entrada estableció los concursos á los curatos, asistiendo constantemente á todos; excitó la emulación de los estudiosos: man</t>
  </si>
  <si>
    <t>de Ayestaran y Landa, Agustín</t>
  </si>
  <si>
    <t>Agustín de Ayestaran y Landa</t>
  </si>
  <si>
    <t>ha servido nóínbrar para la Iglesia y Obispado de Córdoba* vacante por fallecimiento del limo. Sr. D. Agustín de Ayestaran y Landa, á D. Pedro Antonio de Treviila, Canónigo de la Iglesia Metropolitana de Toledo: para una Canongía de dicha Iglesia Metropolitana, vacante por muerte de O. Juan de Anchuelo, á D.</t>
  </si>
  <si>
    <t>de Aynat y Sola, Rafael</t>
  </si>
  <si>
    <t>Rafael de Aynat y Sola</t>
  </si>
  <si>
    <t>de Provincia. El R#y se ha servido nombrar para el Corregimiento de letras de la ciudad de Guadix á D. Rafael de Aynat y Sola: para el de la villa de Becerril de Campos á D. Vicente Girón : para la Vara de Alcalde mayor de la ciudad de Murcia á D. Pablo Jover y Placies: para la de la ciudad de Almuñecar</t>
  </si>
  <si>
    <t>de Azara, Félix</t>
  </si>
  <si>
    <t>Félix de Azara</t>
  </si>
  <si>
    <t>ntereses. Apuntamientos para la historia natural de los páxaros del Paraguay y Rio de lá Plata, por D. Félix de Azara: 3 tomos en 4.0 Hasta ahora no llegaban á ciento las especies de páxaros conocidas en América, y el autor ha descubierto 448. Sus descripciones son no solo completas, sino que pue</t>
  </si>
  <si>
    <t>de Azas Valdés, Antonio</t>
  </si>
  <si>
    <t>Antonio de Azas Valdés</t>
  </si>
  <si>
    <t>l jurisdicción ordinaria, por ausencia del Sr. Alcalde mayor propietario , con concurrencia del Sr. D. Antonio de Azas Valdés, Comisario Ordenador, Regidor electivo,Diputado de escuelas, asistiendo por convite los Sres. D. Francisco Bonilla, Vicario Eclesiástico, y D. Antonio Martinez, Cura ecónomo de su</t>
  </si>
  <si>
    <t>de Azcarraga, Joaquín</t>
  </si>
  <si>
    <t>Joaquín de Azcarraga</t>
  </si>
  <si>
    <t>la Contaduría de diezmos de la Diócesis de la Puebla de los Angeles, en el Reyno de NuevaEspaña, á D. Joaquín de Azcarraga. En cumplimiento de lo mandado en Real Pragmática-Sanción de 30 de Agosto de 1800, desde i.° de Agosto próximo hasta 30 de Setiembre siguiente se presentarán los Vales de 600 peso</t>
  </si>
  <si>
    <t>de Azconaga Caballero, Pedro</t>
  </si>
  <si>
    <t>Pedro de Azconaga Caballero</t>
  </si>
  <si>
    <t>del Sr. D. Torquato Antonio Collado, Teniente Corregidor de esta villa, y escribanía del número de D. Pedro de Azconaga Caballero, está pendiente la testamentaría abintestato, "formada con motivo del fallecimiento del Lie. D. Joaquín Dareche y Urrutia, residente en esta Corte, y natural que fué de la ciudad</t>
  </si>
  <si>
    <t>de Balhiis, Francisco Xavier</t>
  </si>
  <si>
    <t>Francisco Xavier de Balhiis</t>
  </si>
  <si>
    <t>ad de la Puebla de los Angeles , hecho por su Ayuntamiento á favor del Cirujano honorario de Cámara D. Francisco Xavier de Balhiis, Director de la expedición destinada á propagar en los dominios de Indias el benéfico descubrimiento de la vacuna, en atención al esmero y acierto con que lo ha comunicado, y esta</t>
  </si>
  <si>
    <t>de Bálnnis, Francisco Xavier</t>
  </si>
  <si>
    <t>Francisco Xavier de Bálnnis</t>
  </si>
  <si>
    <t>he el R. Obispo al niño que traía la vacuna , el Señor Intendente al Director de la Real expedición D. Francisco Xavier de Bálnnis, y otros sugetos á los demas individuos que componían la referida expedición.. Se dirigió esta comitiva á la Santa Iglesia Catedral, á cuyas puertas esperaba el Cabildo eclesiásti</t>
  </si>
  <si>
    <t>de Barrio y Losada, Antonio Ramón</t>
  </si>
  <si>
    <t>Antonio Ramón de Barrio y Losada</t>
  </si>
  <si>
    <t>ranaderos D. Pedro Marín ÍD. Josef María Melendez; á Subteniente de Bandera en el referido de eon á D. Antonio Ramón de Barrio y Losada: á Teniente de fusileros y Subteniente de Bandera en el de Betanzos al Subteniente de granaderos D. Ramón Caruncho y á D. Josef Benito Montenegro*, á Teniente de fusileros en el d</t>
  </si>
  <si>
    <t>de Bassecourt, Luis Alexandro</t>
  </si>
  <si>
    <t>Luis Alexandro de Bassecourt</t>
  </si>
  <si>
    <t>o igualmente á Brigadier de sus exércitos: para la Compañía que resulta vacante ha nombrado S. M. á D. Luis Alexandro de Bassecourt, Teniente y primer Ayudante mayor del propio Cuerpo. S. M. se ha servido conferir la Tenencia Coronela del Regimiento- de infantería de Africa al Comandante del de la Princesa, gr</t>
  </si>
  <si>
    <t>de Batista, Pedro Juan</t>
  </si>
  <si>
    <t>Pedro Juan de Batista</t>
  </si>
  <si>
    <t>io4f ¿so Josef Casis de la Torre: para la Maestrescolía á D. Pedro Juan de Batista: para la Tesorería á D. Juan Josef Martínez; y para la Canongía de este á D. Isidro Josef del Rio, Cura del Sagrario de la misma Iglesia. También se ha dignado S. M. nombrar para</t>
  </si>
  <si>
    <t>de Beira, Pedro</t>
  </si>
  <si>
    <t>Pedro de Beira</t>
  </si>
  <si>
    <t>Id. id, Pedro de Beira..... Hijo de Nicolás, natural de Almeorias:</t>
  </si>
  <si>
    <t>de Benavides y Zambrano, Manuel</t>
  </si>
  <si>
    <t>Manuel de Benavides y Zambrano</t>
  </si>
  <si>
    <t>s del caudal de Propios. Los pretendientes dirigirán sus solicitudes al Alcalde por el estadp noble D. Manuel de Benavides y Zambrano, ó áaquel Ayuntamiento. En la Real casa de Expósitos de Ciudvd^Rodrígo se halla vacante la plaza de Maestra: su principal obligación es residencia fiza en ella ,y ía enseñanza dé</t>
  </si>
  <si>
    <t>de Biedma, Nicolás</t>
  </si>
  <si>
    <t>Nicolás de Biedma</t>
  </si>
  <si>
    <t>, graduado de Capitán, D. Estanislao Marau ; y en el- de Asturias Subtenencia de bandera al Cadete D. Nicolás de Biedma. El Rey-se ha servido nombrar para el Corregimiento de, la ciudad de Awila á D. Josef -Alonso Valdenebro. . ' En America. S. M. se ha dignado nombrar para la Dignidad de Tesorero</t>
  </si>
  <si>
    <t>de Bobadilla, Joaquín</t>
  </si>
  <si>
    <t>Joaquín de Bobadilla</t>
  </si>
  <si>
    <t>or todo el referido mes de Octubre y el de Noviembre: que lo mismo hicieron, entre otros, el Médico D. Joaquín de Bobadilla y el R. P. Fr. Juan de S. Miguel, Mercenario Descalzo, y Capellán de los contagiados en los Barrios, que vivían continuamente en el peligro , hasta que cansados ya de tomar quina para</t>
  </si>
  <si>
    <t>de Borbon, Luis</t>
  </si>
  <si>
    <t>Luis de Borbon</t>
  </si>
  <si>
    <t>ucalón, D. Joaquín de Miguel, D. Cristóbal de Reyna, D. Ramón Tovar y D. Joaquín Crame. El Emo. Sr. D. Luis de Borbon , Cardenal de Scala, y Arzobispo de Toledo, ha dirigido al Excmo. Sr. Príncipe de la Paz el oficio siguiente: ' ,,'Excmo. Señor: Ha sido para mí de la mas dulce satisfacción la di</t>
  </si>
  <si>
    <t>rna, muchos años. San Lorenzo 30 de Diciembre de i8o4-=E1 Príncipe de la Paz. = Emo. y Excmo. Señor D. Luis de Borbon.” La Junta dé gobierno y dirección de la Compañía de la Buena Fe, en cumplimiento de lo que se pactó en la escritura de su rehabilitación y concordia, celebrada entre ella y sus a</t>
  </si>
  <si>
    <t>de Borbon, Luis María</t>
  </si>
  <si>
    <t>Luis María de Borbon</t>
  </si>
  <si>
    <t>o del limo. Dean y Cabildo de la Iglesia de Toledo, Primada de las Españas, y del Emo. y Excmo. Sr. D. Luis María de Borbon, Cardenal Arzobispo de dicha ciudad. Se vende en la librería de Arribas, calle de las Carretas, con el Tarantismo observado en España, por el mismo autor; y en Toledo en la librer</t>
  </si>
  <si>
    <t>de Bordanave, Juan</t>
  </si>
  <si>
    <t>Juan de Bordanave</t>
  </si>
  <si>
    <t>r para la primera de dos Canongías que han vacado en la Metropolitana de Lima, por fallecimiento de D. Juan de Bordanave y D. Bartolomé Bueno, al Racionero de ella D. Andrés de Encalada: para esta Ración a D. Luis Eduardo de Santiago; y para la Media-Ración, que este dexa, a D. Ventura deTagle, Cura fn</t>
  </si>
  <si>
    <t>de Buol, Conde</t>
  </si>
  <si>
    <t>Conde de Buol</t>
  </si>
  <si>
    <t>osacos talarían sus pro*■ vincias. ■ ,,En esta conferencia el General Mack y el Conde de Buol, Ministro de Austria, en Baviera , que también asistió á ella, se permiiiérpn, expresiones</t>
  </si>
  <si>
    <t>berg la respuesta del Archiduque Fernando, en la qual se referia simplemente al Conde de Buol, Ministro de Austria, que estaba á la sazón en Wurtzburgo.__ Aun después de lo que habia pasado, no tuvo dificultad este Ministro en ir á la Corte, que se hallaba en Wurtzburgo : y en una a</t>
  </si>
  <si>
    <t>de Buol-Schauenstein, Barón</t>
  </si>
  <si>
    <t>Barón de Buol-Schauenstein</t>
  </si>
  <si>
    <t>al Mack: 6.° las resultas de las negociaciones continuadas en Wurtzburgo por el Barón de Buol-Schauenstein, Ministro de Austria, con el Ministro Electoral, en lasquales el primero pedia ante todas cosas, como asimismo lo habían pedido precedentemente el Príncipe de Schwarzemberg y el General Mac</t>
  </si>
  <si>
    <t>de Cabanyes y Fustér, Lorenzo</t>
  </si>
  <si>
    <t>Lorenzo de Cabanyes y Fustér</t>
  </si>
  <si>
    <t>correspondiente. Atendiendo el Rey á los particulares méritos y servicios personales contraídos por D. Lorenzo de Cabanyes y Fustér, vecino y del comercio de la villa de Villanueva y la Geltrú, Corregimiento de Tarragona en el Principado de Cataluña, á la antigüedad de su casa solar, y al esclarecido origen de</t>
  </si>
  <si>
    <t>de Cádiz, Juan</t>
  </si>
  <si>
    <t>Juan de Cádiz</t>
  </si>
  <si>
    <t>de fusileros JD. Josef Castro Palomino, y á Subteniente de bandera al Sargento primero distinguido* D. Juan de Cádiz.En eL Regimiento de dragones Provinciales de Puebla, en Nueva-Estaña, se ha servido S. M. promover á Teniente al Alférez D. Francisco Tamiayo; á Alférez al Portaguión D. Juan Tose</t>
  </si>
  <si>
    <t>de Calzada, Bernardo María</t>
  </si>
  <si>
    <t>Bernardo María de Calzada</t>
  </si>
  <si>
    <t>ccionario manual de hechos y dichos memorables de la historia antigua, trasladado al castellano por D. Bernardo María de Calzada: 3 tomos en 8.° de marca, 342 rs. en pergamino y 48 en pasta. =:Principios esenciales para la caballería, por el Caballero Boisdeffre, trasladado del francés por D. Manuel Aguirre</t>
  </si>
  <si>
    <t>de Campo y Oliva, Juan</t>
  </si>
  <si>
    <t>Juan de Campo y Oliva</t>
  </si>
  <si>
    <t>los*Apóstoles hasta el presente: traducida del francés por el R. P. Echandi, Monge Cis^prciense, y D. Juan de Campo y Oliva: 8 tomos en 8.° mayor. Se bailará en el despacho de Ja Imprenta Real, á 144 rs. en pasta y 104 en rústica. El hombre en la agonía y últimos momentos de la vida. La lectura y medit</t>
  </si>
  <si>
    <t>de Campos, Alexandro</t>
  </si>
  <si>
    <t>Alexandro de Campos</t>
  </si>
  <si>
    <t>. Francisco Lleonart y D. Justo López ; y á Subtenientes de bandera los Cadetes D- Francisco Díaz y Don Alexandro de Campos. También se ha dignado $. M. conferir la Regencia de la Audiencia de Sta. Fe de Bogotá, vacante por ascenso de D* Antonio López Quintana á plaza de Ministro Togado del Consejo de</t>
  </si>
  <si>
    <t>de Campos, Cayetano</t>
  </si>
  <si>
    <t>Cayetano de Campos</t>
  </si>
  <si>
    <t>io deCuelgamures, Diócesi de Toledo, vacante por muerte de D. Vicente Sánchez, Capellán de Honor, a D. Cayetano de Campos, que lo es también, y Penitenciario de la 'Real Capilla: para el Beiiéficio dé la Parroquia de la villa de Madrigal, en 'el Obispado de Avila, vacante por muerte de D. Antonio Ber</t>
  </si>
  <si>
    <t>de Campos, Joaquín María</t>
  </si>
  <si>
    <t>Joaquín María de Campos</t>
  </si>
  <si>
    <t>ase del Regimiento de caballería de Borbon D. Joaquín de Mera y Pereyra,y ha conferido su resulta á D. Joaquín María de Campos, Carabinero de distinción de dicho Real Cuerpo. El Rey se ha servido promover á Sargento Mayor del Regimiento de infantería fixo de Ceuta aí Teniente Coronel D. Isidoro de Uriarte</t>
  </si>
  <si>
    <t>de Campos, Juan</t>
  </si>
  <si>
    <t>Juan de Campos</t>
  </si>
  <si>
    <t>ial de Baeza, en la Diócesis de Jaén, vacante por fallecimiento de D. Josef Diego García de Ñera, á D. Juan de Campos, Cura de la Parroquial de S. Pablo de aquella ciudad: para el Préstamo de Domingo Perez, en el Arzobispado de Toledo, vacante por fallecimiento de D. Antonio Perez Faxardo, á D. J</t>
  </si>
  <si>
    <t>de Cantora y Amandi, Miguel</t>
  </si>
  <si>
    <t>Miguel de Cantora y Amandi</t>
  </si>
  <si>
    <t>ro de los mismos Cuerpos ; y en el de Jaén Compañía al Teniente de granaderos, graduado de Capitán, D. Miguel de Cantora y Amandi, y Tenencia al Subteniente de granaderos D. Manuel Rubiales. El Rey se ha servido conceder Tenencias en los Regimientos de infantería de León y Ñapóles á los Subtenientes de grana</t>
  </si>
  <si>
    <t>de Caparros, Julián</t>
  </si>
  <si>
    <t>Julián de Caparros</t>
  </si>
  <si>
    <t>o-, paramas perfecta inteligencia délasreflexiones y meditaciones que hato Cyoisset; dada á luz por D. Julián de Caparros. Se hallará en pasta en ^5 tomos, á 40 rs., en el jpyesto deGérrpyi o^lle de Aicalád Indice general del antiguo y n ue v oT es ía ment oy t acomodado á das tres, edicio- i nes de</t>
  </si>
  <si>
    <t>de Capmany, Antonio</t>
  </si>
  <si>
    <t>Antonio de Capmany</t>
  </si>
  <si>
    <t>eneciente al, dia 30 de Setiembre. Contiene el extracto del nuevo Diccionario Francés-Español , por D. Antonio de Capmany: un método para hacer un vinagre balsámico y antipútrido, agua roxa y vulneraria, por Madama Jacon-Dufour: otro método para hacer unas mechas económicas, inventadas por el Conde d</t>
  </si>
  <si>
    <t>de Capmarry, Antonio</t>
  </si>
  <si>
    <t>Antonio de Capmarry</t>
  </si>
  <si>
    <t>rmes los nominadores, puedan estos proceder á la elección. ; Nuevo Diccionario Francés-Español, por D. Antonio de Capmarry: un tomo en 4.0 de 872 páginas: en la imprenta de Sancha; y se vende en su librería, calle del Lobo. Él público Español, que hasta ahora ha tenido que recibir de imprentas extrang</t>
  </si>
  <si>
    <t>de Cárdenas, Blas</t>
  </si>
  <si>
    <t>Blas de Cárdenas</t>
  </si>
  <si>
    <t>n ai Teniente D. Manuel Martínez García; á Tenientes á los Alféreces D. Antonio Nazareo de Uriarte, Don Blas de Cárdenas, D. Nicolás Arniaud y D. Juan Manuel de Alcega, y á Alféreces á los Portaestandartes D. Agustín González y D. Santiago Mugerza, y al Cadete D. Josef Severo Cabral. El Rey se ha di</t>
  </si>
  <si>
    <t>de Cárdenas, Joaquín</t>
  </si>
  <si>
    <t>Joaquín de Cárdenas</t>
  </si>
  <si>
    <t>mero de infantería, y el segundo de Milicias; y ha promovido á Capitán al Subteniente de granaderos D. Joaquín de Cárdenas; á esta resulta al Subteniente dé fusileros Don Francisco Menocal , y ¿ Subtenientes de bandera á Los Cadetes D. Pedro Celestino Sánchez y D. Domingo de Armona. En el Regimiento p</t>
  </si>
  <si>
    <t>de Casa Bayona y Conde de Saldivar, Conde</t>
  </si>
  <si>
    <t>Conde de Casa Bayona y Conde de Saldivar</t>
  </si>
  <si>
    <t>vana se ha servido el Rey conferir los empleos de Coronel y Teniente Coronel at Conde de Casa Bayona y Conde de Saldivar, Teniente Coronel y Capitán del mismo cuerpo, graduados de Coronel, el primero de infantería, y el segundo de Milicias; y ha promovido á Capitán al Subteniente de granaderos D. Joaquín de C</t>
  </si>
  <si>
    <t>de Casáis, Basilio</t>
  </si>
  <si>
    <t>Basilio de Casáis</t>
  </si>
  <si>
    <t>Id. Art. Basilio de Casáis... Hijo de Juan y de Francisca Acenso, na­</t>
  </si>
  <si>
    <t>de Castaños, Manuel</t>
  </si>
  <si>
    <t>Manuel de Castaños</t>
  </si>
  <si>
    <t>su valor en el año de 1794 en 5o,r86rs. Las personas que quieran tra-v tar de su ajuste acudirán á D. Manuel de Castaños, encargado de su venta, que vive</t>
  </si>
  <si>
    <t>de Castro y Baena, Juan Antonio</t>
  </si>
  <si>
    <t>Juan Antonio de Castro y Baena</t>
  </si>
  <si>
    <t>giata de S. Hipólito de Córdoba, por ascenso á Racionero-Medio de la Catedral de la misma ciudad de D. Juan Antonio de Castro y Baena,á D. Salvador Xirhenez Padilla, Cura Rector de la Parroquia de la villa del Potosí, en el Reyno dél Perú, Arzobispado de Charcas: para el Beneficio residencial titulado Arci•prest</t>
  </si>
  <si>
    <t>de Castro y Corréai, Miguel</t>
  </si>
  <si>
    <t>Miguel de Castro y Corréai</t>
  </si>
  <si>
    <t>teniente de granaderos D. Juan Morales; y en el de Sa'ooya á los de fusileros D, Francisco Frías y' D. Miguel de Castro y Corréai en el de Aragón Compañía al Ayudante, graduado de Capitán, D. Joaquín Aparici; y Subtenencia de bandera al Sargento primero de granaderos D. Miguel Oliver; y el empleo de segundo Ay</t>
  </si>
  <si>
    <t>de Castro y Villegas, Francisco Ventura</t>
  </si>
  <si>
    <t>Francisco Ventura de Castro y Villegas</t>
  </si>
  <si>
    <t>óles. S. M. se ha servido nombrar para una Canongía de la Catedral de Tuy, vacante por promoción de D. Francisco Ventura de Castro y Villegas al Deanato de ella, y renuncia que hizo D. Francisco Val verde, á quien nombró por decreto de 11 de Diciembre dei año pasado de 1803, á D. Santiago Luis Caxide: para una Media Rac</t>
  </si>
  <si>
    <t>de Castro, Alberto</t>
  </si>
  <si>
    <t>Alberto de Castro</t>
  </si>
  <si>
    <t>encia de granaderos á D. Timoteo Ramos, D. Pedro Béjar, D. Melchor Ramos, D.Josef Vicente Andrade , D. Alberto de Castro , D. Manuel Antonio Gómez, Don Ramón de Santander y D. Joaquín Tejada; Subtenencia de granaderos á Don Eugenio de Castro, y de fusileros á D. Pedro Bustinza, D. Vicente Béjar, D.</t>
  </si>
  <si>
    <t>de Castro, Carlos Luis</t>
  </si>
  <si>
    <t>Carlos Luis de Castro</t>
  </si>
  <si>
    <t>ez. El Rey se ha servido conferir en el Regimiento de infantería de Granada Tenencia al Subteniente D. Carlos Luis de Castro: en el de Hibernia Compañía al Teniente de granaderos , graduado de Capitán, D. Diego Clarke, y Subtenencia de bandera al Cadete del de Ultonia D. Josef Peirson: en el de Ultonia</t>
  </si>
  <si>
    <t>de Castro, Joaquín</t>
  </si>
  <si>
    <t>Joaquín de Castro</t>
  </si>
  <si>
    <t>iente al Alférez D. Francisco Tamiayo; á Alférez al Portaguión D. Juan Tosef Ocio, y á Portaguión á Don Joaquín de Castro, ^ Se previene á los sugetos que quieran ser admitidos en los estudios establecidos en el palacio del Buen-Retiro para los que se destinen al cuerpo de Ingenieros de caminos y can</t>
  </si>
  <si>
    <t>de Castro, Juan Antonio</t>
  </si>
  <si>
    <t>Juan Antonio de Castro</t>
  </si>
  <si>
    <t>ación de la de Córdoba, vacante por promoción de Don Pedro García Asenjo á Ración entera de ella, á D. Juan Antonio de Castro, Canónigo de la Colegial de S. Hipólito de aquella ciudad. El Rey se ha servido conferir el empleo de Comandante del primer Batallón del Regimiento de su guardia de infantería Wal</t>
  </si>
  <si>
    <t>de Castro, Juan Nepomuceno</t>
  </si>
  <si>
    <t>Juan Nepomuceno de Castro</t>
  </si>
  <si>
    <t>Teniente de granaderos al de fusileros D. Manuel Molina; á Tenientes los Subtenientes de granaderos D. Juan Nepomuceno de Castro y D. Josef Manuel González; á Subtenientes de granaderos los de fusileros D. Lorenzo Díaz y D. Manuel Chenard; á Subtenientes de compañía 3os de bandera D. Josef Chamizo y D. Antonio</t>
  </si>
  <si>
    <t>de Cea y Mediano, Antonio</t>
  </si>
  <si>
    <t>Antonio de Cea y Mediano</t>
  </si>
  <si>
    <t>^nnía Beneficial y Patrimonial de dicha Colegial, vacante por muerte de D f rancisco Xavier Diaz, i D. Antonio de Cea y Mediano: para una Media-Ración de la Catedral de Sto.:pommgo de la Calzada, vacante por fallecimiento de D. Ignacio Cerezo, a D. Manuel Valer,Cura de a villa de Fuentes de Magaña, en aque</t>
  </si>
  <si>
    <t>de Cerella, Manuel</t>
  </si>
  <si>
    <t>Manuel de Cerella</t>
  </si>
  <si>
    <t>a, ál= gebra, geometría, gnomónica, astronomía, geografía, física, maquinaria, música y dibuxo: por D. Manuel de Cerella v Ieoaga, Reloxero de Cámara de S. M. r=s Método fácil, y d stinto de qnantos han salido hasta ahora, para que qualquiera persona sepa arreglar sus reloxes sin necesidad de reloxe</t>
  </si>
  <si>
    <t>de Cevallos, Pedro</t>
  </si>
  <si>
    <t>Pedro de Cevallos</t>
  </si>
  <si>
    <t>los discípulos mas sobresalientes en concurso general. Presidió esta solemne .función el Excmo. Sr. D. Pedro de Cevallos, primer Secretario de Estado, Protector de la Academia, y entregó las medallas á los jóvenes victoriosos en la forma siguientq\ Primera dase. Primeros premios. Medallas de oro ;de</t>
  </si>
  <si>
    <t>de Ceyallos, Juan</t>
  </si>
  <si>
    <t>Juan de Ceyallos</t>
  </si>
  <si>
    <t>la Media-Ración, que este dexa, a D. Ventura deTagle, Cura fn aquel Arzobispado: para la segunda a D. Juan de Ceyallos: para la Ración que este obtenia, al Medio-Racionero D. Josef ManuelBermudes; y para esta resulta a D. Manuel de la Puerta, Cura de la Doctrina de S. Josef en la villa de Caxamarc</t>
  </si>
  <si>
    <t>de Chaves y Mendoza, Luis</t>
  </si>
  <si>
    <t>Luis de Chaves y Mendoza</t>
  </si>
  <si>
    <t>Reales Consejos. Finalmente ha concedido S. M. honores de Ministro del Supremo Consejo de Indias á D. Luis de Chaves y Mendoza, Regente de su Real Audiencia de Cuba, en atención á su mérito y servicios. El Capitán D. Antonio de Arana y demás Oficiales de la goleta corsaria el vengador, armada dé 14 cañone</t>
  </si>
  <si>
    <t>de Cisneros, Francisco</t>
  </si>
  <si>
    <t>Francisco de Cisneros</t>
  </si>
  <si>
    <t>Provinciales ha promovido S. M. en el de Bujalance á Capitán en propiedad al Teniente de granaderos D. Francisco de Cisneros, y á Supernumerario al de la propia clase D. Juan de Dios de la Sierra: á Subtenientes de granaderos en los de Pontevedra, Santiago y Ecija á los de fusileros D. Manuel Llórente,</t>
  </si>
  <si>
    <t>de Cistué, Luis María</t>
  </si>
  <si>
    <t>Luis María de Cistué</t>
  </si>
  <si>
    <t>cio, de Algebra: D. Miguel Pascual, cursante en Leyes, de la aplicación del Algebra á la Geometría: D. Luis María de Cistué, Maestro en Artes, Caballero de la Real y distinguida Orden Española de Cirios ni, de Hidráulica; y Don Mariano Calvete, cursante en Leyes , de Hídrostática. Se hace presente que</t>
  </si>
  <si>
    <t>de Clemente y Miro, Francisco</t>
  </si>
  <si>
    <t>Francisco de Clemente y Miro</t>
  </si>
  <si>
    <t>. Tratado de educación : lectura con método : tomo 2.0 del segundo viage de Robinson: traducido por D. Francisco de Clemente y Miro, Teniente de Navio de la Marina Real. Se vende, como el i.°&gt; en el despacho de la Imprenta Real, y en las librerías de Ramos, calle de las Carretas y carrera de S. Gerónimo, á 7 r</t>
  </si>
  <si>
    <t>e educación: lectura con método: tercero y último tomo del segundo viage de Robinson, traducido por D. Francisco de Clemente y Miro, Teniente de</t>
  </si>
  <si>
    <t>Lacroix, individuo del Instituto nacional de ciencias y artes de -Francia. — El Teniente de Navio. D. Francisco de Clemente y Miro sabe por experiencia propia que se han elogiado con exceso muchas obras al tiempo de anunciarlas sus autores, y que el público, solo juez competente, ha llevado grandes chascos. P</t>
  </si>
  <si>
    <t>de Cobentzel, Conde</t>
  </si>
  <si>
    <t>Conde de Cobentzel</t>
  </si>
  <si>
    <t>el Rey de Italia en Milán, adonde se asegura irá también con el mismo objeto el Conde de Cobentzel, Ministro de Estado Austríaco. : t En el Diario oficial (el Monitor) del dia 9 se desmiente el nombramiento de los Príncipes Italianos; que se llevasen ciervos, gamos y venados á Stupinis p</t>
  </si>
  <si>
    <t>de CobentzeL, Conde</t>
  </si>
  <si>
    <t>Conde de CobentzeL</t>
  </si>
  <si>
    <t>. E., y ha tenido audiencia del Conde de Colloredo, Ministro de Gabinete, y del Conde de CobentzeL, Ministro de Estado. Corre muy valida la voz de que el objeto de su viage es relativo al restablecimiento de la buena armonía entre la Francia y U Rusia. Francfort 28 de Junio. Sabemos por</t>
  </si>
  <si>
    <t>extraordinario de la Confederación Helvética en "Viena. Ha tenido audiencia del Conde de Cobentzel, Ministro de Negocios extrangeros, á quien ha entregado una Nota del Land-Amman en razón de la neutralidad de la Suiza. . Las fuerzas Austríacas se aumentan notablemente en nuestras fronter</t>
  </si>
  <si>
    <t>de Cobentzel, Felipe (conde)</t>
  </si>
  <si>
    <t>Conde Felipe de Cobentzel</t>
  </si>
  <si>
    <t>ivos hostiles se aumentaban cada día, y eran mas difíciles de justificar. El Emperador mandó que el Conde Felipe de Cobentzel, Embaxador de la Corte de Viena, fuese convidado á nuevas conferencias , y que se le comunicase la correspondencia de los Agentes diplomáticos y comerciales de S. M. Quatro dias c</t>
  </si>
  <si>
    <t>la y convenciéndola de su impotencia, y desechando sus ofertas de coligación: 6.a Nota entregada al Conde Felipe de Cobentzel en 15 de Agosto sobre la continuación de los preparativos de guerra en Austria , los que sirviendo de diversión en favor de la Inglaterra, equivalen á un principio de hostilidades:</t>
  </si>
  <si>
    <t>re los dos Soberanos, y las representaciones de oficio y ostensibles de que se encargó el Embaxador Conde Felipe de Cobentzel; y aunque las cartas en que el Emperador Napoleón participaba á S. M. sus disposiciones de formar un Reyno en Italia, estaban acompañadas de amenazas de armamentos; y aunque todo</t>
  </si>
  <si>
    <t>de Cobentzel, Luis (conde)</t>
  </si>
  <si>
    <t>Conde Luis de Cobentzel</t>
  </si>
  <si>
    <t>Instituto de Francia: 3.a Carta dirigida en 5 de Agosto por el Ministro de Negocios extrangeros al Conde Luis de Cobentzel, Vice-Cancüler de Corte y de Estado en Viena: 4.a Declaración de la Corte de Viena, ofreciendo su mediación para entablar negociaciones de paz: 5.a Nota entregada en 13 de Agosto</t>
  </si>
  <si>
    <t>de Coburgo, Fernando (príncipe)</t>
  </si>
  <si>
    <t>Príncipe Fernando de Coburgo</t>
  </si>
  <si>
    <t>á Egra con el Archiduque son: el Conde de Kollordrath, el Príncipe de Rohan, gravemente herido; el Príncipe Fernando de Coburgo, y el General Hohenzollern. Este último quedo sin embargo comprehendido en la capitulación del General Werneck. HOLANDA. Haya 30 de Octubre. Desde el momento que se supieron aquí</t>
  </si>
  <si>
    <t>de Codes, Simón</t>
  </si>
  <si>
    <t>Simón de Codes</t>
  </si>
  <si>
    <t>incommodo suitm aligere commodum magis est contra naturam qtiam -p¿ingertas , quam dolor, su au'tor D. Simón de Codes, Socio de número contribuyente , vecino de la villa de Ocaña. Como en el día 2 del mismo mes de Julio se hubiese executado la oposición de ios discípulos de la R$al escuela de Tac</t>
  </si>
  <si>
    <t>e. Memoria sobré las quiebras ó bancarrotas fraudulentas, escrita por el Dr. D. Simón de Codes, vecino de la villa de Ocaña. En la G-azeta de 8 de. Enero de éste año, donde se dió noticia de la junta pública general que celebró la Real Sociedad de Madrid en io de Julio de 1804, pue</t>
  </si>
  <si>
    <t>de Collado, Manuel</t>
  </si>
  <si>
    <t>Manuel de Collado</t>
  </si>
  <si>
    <t>rdia J de Marzo. Ayer entró en este puerto la lancha corsaria nombrada la Guipuzcoana , al mando de D. Manuel de Collado, de la dotación del puerto de S. Sebastian, conduciendo apresado el bergantín Ingles nombrado el Neli, con i6q fardos de paños finos y bayetas; y lo restante de la carga carbón de</t>
  </si>
  <si>
    <t>de Colloredo, Conde</t>
  </si>
  <si>
    <t>Conde de Colloredo</t>
  </si>
  <si>
    <t>enir á esta capital; con efecto, ha llegado ya S. E., y ha tenido audiencia del Conde de Colloredo, Ministro de Gabinete, y del Conde de CobentzeL, Ministro de Estado. Corre muy valida la voz de que el objeto de su viage es relativo al restablecimiento de la buena armonía entre la Franci</t>
  </si>
  <si>
    <t>de Contreras, Fernando</t>
  </si>
  <si>
    <t>Fernando de Contreras</t>
  </si>
  <si>
    <t>e, Subteniente reformado, D. Francisco Borja Almera y Algumola, D. Francisco del Castillo y Melgar, Don Fernando de Contreras, D. Tomas Bernardo López, y D. Hipólito Martin Sánchez. # S. M. se ha servido promover á Subtenientes de bandera en los Regimientos de infantería de Saboya y de Córdoba á los Sarg</t>
  </si>
  <si>
    <t>de Copons, Félix</t>
  </si>
  <si>
    <t>Félix de Copons</t>
  </si>
  <si>
    <t>n rústica y 4 en pasta. Instrucción moral, político-militar, que el ‘Coronel D. Félix de Copons, Teniente Coronel del Regimiento de infantería de ¡Sevilla, dexó á su hijo D. Manuel de Copons, Teniente del propio Regimiento, el que la da á luz, y dedica á sus amados compañeros. = Obser</t>
  </si>
  <si>
    <t>de Copons, Manuel</t>
  </si>
  <si>
    <t>Manuel de Copons</t>
  </si>
  <si>
    <t>ronel D. Félix de Copons, Teniente Coronel del Regimiento de infantería de ¡Sevilla, dexó á su hijo D. Manuel de Copons, Teniente del propio Regimiento, el que la da á luz, y dedica á sus amados compañeros. = Observaciones y discursos sobre el modo de establecer unos buques volantes para viajar en</t>
  </si>
  <si>
    <t>de Córdoba y Quintana, Fernando</t>
  </si>
  <si>
    <t>Fernando de Córdoba y Quintana</t>
  </si>
  <si>
    <t>en esta Corte , á los 58 años de su edad, el Ministro de Capa y Espada del Consejo de las Orde nes D. Fernando de Córdoba y Quintana, Caballero del Orden de Menresa , Brigadier de los Reales exércitos. Sirvió á S. M. mas de 40 años, habiendo empezado en la clase de Cadete en 4 de Julio de 1764. Durante su carre</t>
  </si>
  <si>
    <t>de Córdoba, Rafael</t>
  </si>
  <si>
    <t>Rafael de Córdoba</t>
  </si>
  <si>
    <t>gimiento de infantería de las Ordenes Militares al Cadete de Reales Guardias de infantería Española D. Rafael de Córdoba. En el Regimiento de caballería del Rey se ha servido S. M. conceder Tenencia al Alférez D. Joaquín Escamez y Santander: en el de España empleo de Portaestandarte al Cadete D. Joa</t>
  </si>
  <si>
    <t>de Corral, Ignacio María</t>
  </si>
  <si>
    <t>Ignacio María de Corral</t>
  </si>
  <si>
    <t>a conferido aquel Gobierno á otro Baxá. El 15, del corriente falleció en esta capital el Excmo. Sr. D. Ignacio María de Corral, Ministro Plenipotenciario de S. M. el Rey de España. Pronto ciará la vela la segunda división de la esquadra Otomana destinada para Alexandría y Corfú. RUSIA. Petérsburgo 31 de M</t>
  </si>
  <si>
    <t>erca del Gobierno Bátavo, ha hecho celebrar esta mañana una misa solemne de difuntos por el alma de D. Ignacio María de Corral, Ministro de S. M. el Rey de España cerca del Gobierno Turco, que ha fallecido en Constantinopla. Muchos individuos del Cuerpo diplomático han asistido á esta solemnidad, y ha sid</t>
  </si>
  <si>
    <t>de Cortavasría, Antonio Ignacio</t>
  </si>
  <si>
    <t>Antonio Ignacio de Cortavasría</t>
  </si>
  <si>
    <t>guel de Mendinueta. = D. Manuel dei Pozo.=:D. Domingo Fernandez de Campomanes.= D. Josef Navarro. = D. Antonio Ignacio de Cortavasría. = Registrada, D- Josef Alegre. =: Teniente de Canciller mayor, D. Josef Alegre. = Es copia de su original, de que certifico. = D. Bartolomé Muñoz. nota. Se avisará oportunamente</t>
  </si>
  <si>
    <t>de Coupigni, Alexandro</t>
  </si>
  <si>
    <t>Alexandro de Coupigni</t>
  </si>
  <si>
    <t>nto de Reales Guardias de infantería Walona se ha servido el Rey promover á primer Ayudante mayor á D. Alexandro de Coupigni, Teniente del' mismo Cuerpo. S. M. se ha servido conferir el emplfeo de Coronel del Regimiento de infantería de Zaragoza al Coronel Conde de Maceda, Teniente Coronel del del Prínc</t>
  </si>
  <si>
    <t>de Criarte y Landa, Joaquín</t>
  </si>
  <si>
    <t>Joaquín de Criarte y Landa</t>
  </si>
  <si>
    <t>influxo de las costumbres en el comercio y las artes. Se leyeron por el Dr. D. Joaquín de Criarte y Landa, Secretario del Cuerpo, las actas del año, en las que se dio á conocer la importancia del plan, que forman las tareas de la Sociedad. Los Maestros y Maestras de las escuelas gratuitas de niña</t>
  </si>
  <si>
    <t>de Cruclís, Ramón</t>
  </si>
  <si>
    <t>Ramón de Cruclís</t>
  </si>
  <si>
    <t>. M. se ha dignado conceder en el Regimiento de infantería de Zaragoza Tenencias á los Subtenientes D. Ramón de Cruclís y D. Alberto ■ Falcó y Alvarez ; y Subtenencias de bandera al Sargento primero D. Benito Rodríguez, y al Cadete de la compañía fixa del Peñón D. Vicente.. Bausa: Compañía en el de Ara</t>
  </si>
  <si>
    <t>de Cuellar, Juan</t>
  </si>
  <si>
    <t>Juan de Cuellar</t>
  </si>
  <si>
    <t>leo de Alférez al Portaestandarte D. Francisco Escofes, y el de Portaestandarte al Sargento primero D. Juan de Cuellar. También se ha servido S. M. conferir Compañía en el Regimiento de</t>
  </si>
  <si>
    <t>de Cuevas, Juan Andrés</t>
  </si>
  <si>
    <t>Juan Andrés de Cuevas</t>
  </si>
  <si>
    <t>mera de la Mitacion de Culebrilla, en la misma Diócesis, vacantes esta y aquel por fallecimiento de D. Juan Andrés de Cuevas, á Fr. Josef Canelias, Trinitario Calzado: para los Préstamos de las Iglesias Parroquiales de Arapiles y de Corporario, anexo este de Aldea Davila de la Ribera, Diócesi de ¿Salama</t>
  </si>
  <si>
    <t>de Cumbrehermosa, Conde</t>
  </si>
  <si>
    <t>Conde de Cumbrehermosa</t>
  </si>
  <si>
    <t>o. Sr. D. Joaquin Mayone, Ferrari , González y Borromei, natural de esta Corte, Conde de Cumbrehermosa , Teniente General de los Reales Exércitos, y Gentilhombre de Cámara de S. M. con entrada. Empezó á servir á S.M. desde la cuna, en la qual fue hecho Teniente del Regimiento de infantería de</t>
  </si>
  <si>
    <t>de Eguia, Francisco Xavier</t>
  </si>
  <si>
    <t>Francisco Xavier de Eguia</t>
  </si>
  <si>
    <t>rar para el Priorato de Veíate , Dignidad de la Catedral de Pamplona , vacante por fallecimiento de D. Francisco Xavier de Eguia, á D. Manuel Arias de Castro: para el Deanato primera silla y Canongía unida de la Colegial de Soria, Diócesis de Osma, vacante por muerte de D. Juan Josef Martínez, á D. Vicente</t>
  </si>
  <si>
    <t>de Eguia, Manuel Mateo</t>
  </si>
  <si>
    <t>Manuel Mateo de Eguia</t>
  </si>
  <si>
    <t>8$2 preceda oposición, dirigirán sus memoriales á D. Manuel Mateo de Eguia, uno de sus comisionados, para el dia i.° de Noviembre próximo. Por Real facultad concedida á ios interesados se ha puesto en rifa la hermosa, útil y afamada hacienda llamada de l</t>
  </si>
  <si>
    <t>de Emparan, Ignacio</t>
  </si>
  <si>
    <t>Ignacio de Emparan</t>
  </si>
  <si>
    <t>estos fueron de la clase de Académicos D. Rodrigo Tavira, D. Juan Bautista Cerain, D. Blas de Lezo, D. Ignacio de Emparan, D. Juan Cevallos, y el Cadete de Reales Guardias Walonas D* Antonio Gilman: el Seminarista mayor D. Iñigo Órtés de Velasco, los Gefes de sala D. Josef Ortés de Velasco, D. Franci</t>
  </si>
  <si>
    <t>de Enay Galban, Antonio</t>
  </si>
  <si>
    <t>Antonio de Enay Galban</t>
  </si>
  <si>
    <t>mo de Sta. María del Valle, en el término de Madridanos y Diócesis de Zamora, vacante por muerte de D. Antonio de Enay Galban, á D.Telesforo de Abascal y Polo. El Rey se ha servido nombrar para un Beneficio de parentela, baxo la invocación de Ntra. Sra. de la Redonda, fundado en la Iglesia de la misma in</t>
  </si>
  <si>
    <t>de Encalada, Andrés</t>
  </si>
  <si>
    <t>Andrés de Encalada</t>
  </si>
  <si>
    <t>itana de Lima, por fallecimiento de D. Juan de Bordanave y D. Bartolomé Bueno, al Racionero de ella D. Andrés de Encalada: para esta Ración a D. Luis Eduardo de Santiago; y para la Media-Ración, que este dexa, a D. Ventura deTagle, Cura fn aquel Arzobispado: para la segunda a D. Juan de Ceyallos: par</t>
  </si>
  <si>
    <t>de Escaño, Antonio</t>
  </si>
  <si>
    <t>Antonio de Escaño</t>
  </si>
  <si>
    <t>disciplina que se ha observado en ella, es debido en gran parte al Gefe de Esquadra y Mayor general D. Antonio de Escaño, de quien hace particular elogio. Siendo el viento contrario para dirigirse á Ferrol, fondeó la esquadra combinada en Vigo el día 27 de Julio. Habiendo dexado allí los navios Espa</t>
  </si>
  <si>
    <t>y de'Etruria y de la Reyna de Nápoles, concurrieron á cumplimentar áSS. MM.yAA. El Gefe de Esquadra D. Antonio de Escaño , Mayor General de la Esquadra del Océano , ha escrito desde el puerto de Cádiz al Exorno. Sr. Príncipe de la Paz en fecha de 22 de Octubre en los términos siguientes: ,, Excmo. S</t>
  </si>
  <si>
    <t>pe. Segundo id. El Excmo. Sr. D. Ignacio María de Alava, herido en el Santa Ana. Xefes de Esquadra. D. Antonio de Escaño, Mayor General (*), herido en C4) El Comandante general del Departamento de Cádiz D. Juan Moreno, en oficio de 29 de Octubre, dixo al Excmo. Sr. Generalísimo Príncipe de la Paz lo</t>
  </si>
  <si>
    <t>á Cádiz un correo extraordinario para que entregue en manos del Teniente General de la Real Armada D. Antonio de Escaño el oficio del tenor siguiente, de fecha de 9 de este mes. ,, En carta de 27 de Octubre dixe á V. E. que el ánimo del Rey no se satisfaría hasta el momento de señalar con premios la</t>
  </si>
  <si>
    <t>de Escoiquiz, Juan</t>
  </si>
  <si>
    <t>Juan de Escoiquiz</t>
  </si>
  <si>
    <t>a de Mallen. Obras selectas de Eduardo Young, expurgadas de todo error, y traducidas del ingles por D. Juan de Escoiquiz, Arcediano de Alcaraz, y Canónigo de la santa Iglesia de Toledo, Sumiller de Cortina de S. M.: tomos r.° y 2.0: tercera edición. Se hallarán, con el 3.0, en el despacho de la Impr</t>
  </si>
  <si>
    <t>n Ja materia, pero que pueden servir para el uso de las Escuelas de primeras letras, traducidos por D. Juan de Escoiquiz. Se hallarán en el despacho de la Imprenta Real. Por executoria de los Señores del Real y Supremo Consejo de Castilla, y en virtud de providencias del Sr. Alcalde de Corte D. Juan</t>
  </si>
  <si>
    <t>de Escovedo, Jorge</t>
  </si>
  <si>
    <t>Jorge de Escovedo</t>
  </si>
  <si>
    <t>su moderación. El dia 11 de Mayo ultimo falleció en esta Corte, á los 62 años de edad, el limo. Sr. D. Jorge de Escovedo, Conde de Cazaba , de la Real distinguida Orden de-Carlos m, del Consejo y Cámara de Indias; fué Colegial en el mayor de Cuenca, de la Universidad de Salamanca, donde su</t>
  </si>
  <si>
    <t>de Eslava, Francisco Rafael</t>
  </si>
  <si>
    <t>Francisco Rafael de Eslava</t>
  </si>
  <si>
    <t>. M. se ha servido nombrar para una Medía-Ración de la Catedral de Málaga, vacante por promoción de D. Francisco Rafael de Eslava á Ración</t>
  </si>
  <si>
    <t>de Espejo, Joaquín</t>
  </si>
  <si>
    <t>Joaquín de Espejo</t>
  </si>
  <si>
    <t>do nombrar para la Dignidad de Arcediano titular de la Catedral de Teruel, en lugar y por muerte de D. Joaquín de Espejo, á D. Pedro Gómez: para una Canongía de la Colegial de S. Juan de las Abadesas, Diócesi de Vique, vacante por fallecimiento de D. Pedro Creuhet, á D. Jayme Branxar: para una Canon</t>
  </si>
  <si>
    <t>de Estepar, Felipe</t>
  </si>
  <si>
    <t>Felipe de Estepar</t>
  </si>
  <si>
    <t>hacer mejora, acuda á la Auditoría de Guerra de esta Provincia, y escribanía principal de cargo de D. Felipe de Estepar. El Sr. D. Torquato Antonio Collado, Teniente Corregidor de esta villa , ha señalado por ante D. Félix Pico de Haedo, Escribano de ella, el dia 2 2*del comen-1 te, á hora de las d</t>
  </si>
  <si>
    <t>de Esterhazy, Nicolás (príncipe)</t>
  </si>
  <si>
    <t>Príncipe Nicolás de Esterhazy</t>
  </si>
  <si>
    <t>los Príncipes de Ligne, de Kaunitz, el Landgrave de Furstemberg, el Príncipe Cirios de Auersperg,el Príncipe Nicolás de Esterhazy y el Conde Wenceslao de Colloredo. En un coche de palacio venia la Camarera mayor, y en otros dos las 8 Damas. Cerraban esta marcha una compañía de granaderos y un destacamento de cab</t>
  </si>
  <si>
    <t>de Estrada, Nicolás</t>
  </si>
  <si>
    <t>Nicolás de Estrada</t>
  </si>
  <si>
    <t>ñoneras Inglesas. Con este motivo salió de Algeciras, para proteger á Maurelle, el Xefe de Esquadra D. Nicolás de Estrada mandando una división, que reunió hasta de 14 barcos cañoneros, y 5 botes; y luego que tuvo á tiro de metralla á los enemigos, que ya venían haciendo fuego, rompió el suyo nuestra</t>
  </si>
  <si>
    <t>de Ey, Miguel</t>
  </si>
  <si>
    <t>Miguel de Ey</t>
  </si>
  <si>
    <t>onsejo de Indias, á D. Francisco Manuel ae Herrera, Fiscal del crimen de la de Lima. Esta resulta á D, Miguel de Ey zaguirre, Rector y Catedrático de prima de Cánones de la Universidad de. Chile ; y para plaza de Oidor de la Audiencia de Guadalaxara á Don Juan Manuel Hernández de Alva. El Mercu</t>
  </si>
  <si>
    <t>de Fabrega, Antonio</t>
  </si>
  <si>
    <t>Antonio de Fabrega</t>
  </si>
  <si>
    <t>de fusU leros D. Nicolás Reinon y D. Baltasar de Áyala; á Tenientes de fusileros á los Subtenientes D. Antonio de Fabrega, D. Josef de Fromista, D. Luis Paredes, D. Antonio García y D. Francisco Ximénez; á Subtenientes de fusileros al Sargento primeto D. Sebastian Beasini , y á lós Cadetes D. Manuel</t>
  </si>
  <si>
    <t>de Frutos, Juan</t>
  </si>
  <si>
    <t>Juan de Frutos</t>
  </si>
  <si>
    <t>camino cíe Pinto, con el que linda, de 5 cel., en 270 rs. 28 mrs. Otras dos de la memoria del Lie. D. Juan de Frutos, la una frente de S. Gregorio, de 9 cel., en 675 rs.;,y la otra al sitio de la Mesa, de una fán., 5 cel. y 3 estad., en 1211 rs. 8 mrs. Otra de la memoria de</t>
  </si>
  <si>
    <t>la Izquierda, de una fan., un cel. y 7 estad., en 935 rs. Otras 2 tierras dé las memorias del Lie. D. Juan de Frutos: la una frente de S. Gregorio, de 9 cel., tasada.en 675 rs,; y la otra en la Mesa, de una fan., 5 cel. y '3 estad., én 1211 rs. 8 mrs. Otra tierra de la memoria de Francisca Gonzá</t>
  </si>
  <si>
    <t>de Fuentes, Ángel</t>
  </si>
  <si>
    <t>Ángel de Fuentes</t>
  </si>
  <si>
    <t>deFRegimiento de infantería Real de Lima al Comandante de su tercer •batallón, graduado de Coronel, D. Angel de Fuentes. En atención á los méritos y circunstancias del Teniente General Don Arturo O-Neiii, Ministro del Consejo Supremo de la Guerra, ha venido „S. M. en concederle merced de Título de</t>
  </si>
  <si>
    <t>de Fuentes, Gerónimo</t>
  </si>
  <si>
    <t>Gerónimo de Fuentes</t>
  </si>
  <si>
    <t>nte González Fernandez: para la Prestamera de la Parroquial de S. Vicente de Sevilla, por muerte de D. Gerónimo de Fuentes, y para el Préstamo de la villa de la Parra, Obispado de Cuenca, por promoción de D. Miguel de Aguilar á Canongía de la Catedral de Zamora, á D. Josef Giiemes: para el Beneficio d</t>
  </si>
  <si>
    <t>de Fuentes, Manuel</t>
  </si>
  <si>
    <t>Manuel de Fuentes</t>
  </si>
  <si>
    <t>ica, mensura y calificación de todas qualidades.de versos; D. Manuel Segovia, Don Andrés Rodríguez, D. Manuel de Fuentes, D. Esteban García, D. Josef María Sánchez de la Campa, D. Fernando Ribera, D. Vicente Garin,Don Juan Nepomuceno Montero y D. Francisco Roco en traducción de autores y reglas de s</t>
  </si>
  <si>
    <t>de Garay Artabe, Joaquín</t>
  </si>
  <si>
    <t>Joaquín de Garay Artabe</t>
  </si>
  <si>
    <t>caron ocho premios á D. Pedro de Guinea, D. Paulino Rodríguez Mutiosabal, D. Josef Joaquin de Vera, D. Joaquín de Garay Artabe, Don Lucas Cano, D. Juan Cano, D. Matías Angulo, y el octavo se sorteo entre D. Antonio Hernando Cárabes, D. Miguel Arguelles Cifuentes y Don Manuel de Iduate, y recayó en este. D</t>
  </si>
  <si>
    <t>de Gimbernat, Antonio</t>
  </si>
  <si>
    <t>Antonio de Gimbernat</t>
  </si>
  <si>
    <t>, hasta la entrega del 3.0, que se dará brevemente. Nuevo método de operar en la hernia crural, por D. Antonio de Gimbernat, ¿el Consejo de Hacienda, primer Cirujano de Cámara de S. M. &amp;c. Se hallará en la librería de la viuda de Ibarra, calle de la Gorguera; en Cádiz en la de Navarro, y en Barcelona e</t>
  </si>
  <si>
    <t>de Gimbernat, Carlos</t>
  </si>
  <si>
    <t>Carlos de Gimbernat</t>
  </si>
  <si>
    <t>tos hechos en Inglaterra para cortar el progreso de una calentura maligna contagiosa, traducida por D. Carlos de Gimbernat, Vice-Director ¿el Real Gabinete de Historia natural, é individuo de varias Sociedades literarias* =Extracto de una carta del mismo á un amigo en Madrid, sobre sus observaciones g</t>
  </si>
  <si>
    <t>de Goertz, Conde</t>
  </si>
  <si>
    <t>Conde de Goertz</t>
  </si>
  <si>
    <t>8) ces se ha notificado de oficio á la Dieta por el Conde de Goertz, Ministro Prusiano. El Marques de Wellesley ha enviado desde Bengala para la Reyna 12 magníficas sillas de marfil elegantemente adornadas. Escriben de Gibraltar, el 5 de Noviembre, lo que s</t>
  </si>
  <si>
    <t>de Graiid-pré, Henrique</t>
  </si>
  <si>
    <t>Henrique de Graiid-pré</t>
  </si>
  <si>
    <t>y el Sargento primero D. Juan Fernandez ; y á Subtenientes de bandera íos Cadetes D. Pedro Kerñion, D. Henrique de Graiid-pré, D. Alexo Lessacier yD. Carlos de. Villers, y los Sargentos primeros. D. Diego Barredo, de granaderos, y D. Juan Perez. Por Real Provisión de los Señores del Supremo Consejo de Ca</t>
  </si>
  <si>
    <t>de Grand-pré, Carlos</t>
  </si>
  <si>
    <t>Carlos de Grand-pré</t>
  </si>
  <si>
    <t>Matias Cervera y D. Ffancisco Morejon ; á Subtenientes de Compañía los de oandera D. Esteban Folch, D. Carlos de Grand-pré, D. Juan Josef Bon , Don Antonio Balde ras, D, Arnaldo GuUlemard y D. Juan Portal, y los Cadetes D. Martin Folch y D. Luis Antonio de Grandi-pré ; y el Sargento primero D. Juan Fe</t>
  </si>
  <si>
    <t>de Grandallaná, Domingo</t>
  </si>
  <si>
    <t>Domingo de Grandallaná</t>
  </si>
  <si>
    <t>l Real Decreto que S. M. acababa de dirigirle, y es dei te-J ñor siguiente: ,,Habiendo resuelto que D. Domingo de Grandallaná páse á mandar la Esquadra del Ferrol, he determinado que se encargue del Despacho de los negocios de Marina el Director General de mí Real Armada D. Francisco Gil de Lentos; y os</t>
  </si>
  <si>
    <t>de Gregorio, Juan Nepomuceno</t>
  </si>
  <si>
    <t>Juan Nepomuceno de Gregorio</t>
  </si>
  <si>
    <t>D.. Josef Segovia; á los Cadetes de Reales Guardias de infantería Española D- Josef Gil de Bernabé, D. Juan Nepomuceno de Gregorio y D. Josef .Xavier Bayona; Don Josef Lita del de caballería del Infante, D. Ramón Albo y D. Bartolomé Amat del de infantería del Rey, D. Manuel Tena del de Zamora, D. Mariano Albo del</t>
  </si>
  <si>
    <t>de Gui, Gregorio</t>
  </si>
  <si>
    <t>Gregorio de Gui</t>
  </si>
  <si>
    <t>a: para igual Dignidad de Arcediano de la de Truxillo, vacante por muerte de D. Simón de Lavalle, á D. Gregorio de Gui^nea, Canónigo Magistral de ella: para una Radon de la Metropolitana de Lima, vacante por fallecimiento de D. Juan Gerónimo Valdes, á D. Josef Mariano Cardona; y para la Media-Raci</t>
  </si>
  <si>
    <t>de Guinea, Pedro</t>
  </si>
  <si>
    <t>Pedro de Guinea</t>
  </si>
  <si>
    <t>a ortografía castellana, respondiendo con conocimiento y oportunidad. Se adjudicaron ocho premios á D. Pedro de Guinea, D. Paulino Rodríguez Mutiosabal, D. Josef Joaquin de Vera, D. Joaquín de Garay Artabe, Don Lucas Cano, D. Juan Cano, D. Matías Angulo, y el octavo se sorteo entre D. Antonio Hern</t>
  </si>
  <si>
    <t>de Guzman y Tejera, Manuel</t>
  </si>
  <si>
    <t>Manuel de Guzman y Tejera</t>
  </si>
  <si>
    <t>ara una Dignidad de Arcipreste de la Colegial de Alcázar de la ciudad de Baeza, Diócesi de Jaén , á D. Manuel de Guzman y Tejera, Canónigo de la Colegial de Baeza: para la Préstamela de la Campana de Albalat, en la Diócesi de Plasencia, con la obligación de celebrar la misa de once en los días festivos, á D</t>
  </si>
  <si>
    <t>de Hardemberg, Barón</t>
  </si>
  <si>
    <t>Barón de Hardemberg</t>
  </si>
  <si>
    <t>íncipe Fernando de Prusia, al Duque de Brunswick, al Mariscal de Mollendorf, al Barón de Hardemberg, Ministro de Negocios extrangeros, al Conde de Schulemburg, y al Conde de Haugwitz. _E1 Rey de Prusia ha conferido la Orden de la Aguila Negra al Emperador de los Franceses, al Príncipe Mur</t>
  </si>
  <si>
    <t>, y varios debates en la Cámara de los Comunes; nota de Mr. de Nowosil.tzofF al Barón de Hardemberg, Ministro de Estado Prusiano, devolviéndole los pasaportes que habia recibido de Francia para tratar asuntos pacíficos con el Emperador Napoleón, y otra inserta en el Monitor de París de 24</t>
  </si>
  <si>
    <t>nda. , Hoy á las 8 de la mañana ha llegado aquí S. M.; ha subido ^l despacho el Barón de Hardemberg, Ministro de Estado, y á las n ha dado audiencia ai Ministro de Francia y al General Duroc. ALEMANIA. Ratisbon* 1° de Octubre. Mr. Baclier, Encargado de Negocios de S. M. el Emperador de lo</t>
  </si>
  <si>
    <t>de Hardenberg, Barón</t>
  </si>
  <si>
    <t>Barón de Hardenberg</t>
  </si>
  <si>
    <t>&lt;96 A corto rato de su llegada tuvo audiencia de S. M., á la qual asistid el Barón de Hardenberg, Ministro de Negocios extrangeros: ha durado algunas horas la sesión; pero nada hemos traslucido del objeto de tan importante conferencia. La esposa del Marques de Lucchesini, que ha estado</t>
  </si>
  <si>
    <t>de Heredia, Luis</t>
  </si>
  <si>
    <t>Luis de Heredia</t>
  </si>
  <si>
    <t>yudantía á D. Isidro Quevedo; Tenencia de granaderos á D. Nicolás Romero y Fuster, y de fusileros á D. Luis de Heredia, D. Gregorio Hernández Prieto, D. Manuel Bermejo, D. Francisco Bravo, D. Hilario Chavez, D. Josef Pe</t>
  </si>
  <si>
    <t>de Heredia, Manuel</t>
  </si>
  <si>
    <t>Manuel de Heredia</t>
  </si>
  <si>
    <t>rica á los Cadetes D. juañ Martínez y D. Eduardo Rrett. En arencion a los particulares servicios de D. Manuel de Heredia, Contador principal de la Provincia de Cádiz, se ha servido S. M. distinguirle con los honores de Intendente de Provincia. La mañana del 6 de este mes se presentó frente del peque</t>
  </si>
  <si>
    <t>de Heredia, Vicente</t>
  </si>
  <si>
    <t>Vicente de Heredia</t>
  </si>
  <si>
    <t>servido nombrar para una Ración de la Catedral de Cuenca , en el Perú, vacante por fallecimiento de D. Vicente de Heredia, á D. Marrano Salazar; y para la Media-Ración, que este dexa en ella, á D. Josef Miguel Carrion. S. M. se ha dignado conferir el empleo de Capitán del Batallón de Milicias discipl</t>
  </si>
  <si>
    <t>de Heron, Carlos</t>
  </si>
  <si>
    <t>Carlos de Heron</t>
  </si>
  <si>
    <t>l Regimiento de Reales Guardias de infantería Walona fia promovido el Rey á primer Ayudante mayor á D. Carlos de Heron, Teniente del mismo Cúerpa. ' El Rey se ha servido conferir Compañía en el Regimiento de infantería de Africa al Ayudante del de Murcia, graduado de Capitán, DonÉ Gaspar Vigodet;</t>
  </si>
  <si>
    <t>de Herrera, Manuel</t>
  </si>
  <si>
    <t>Manuel de Herrera</t>
  </si>
  <si>
    <t>, se ha dignado S.M. conceder el empleo de Coronel á D. Nicolás de Oviedo; el de Teniente Coronel á D. Manuel de Herrera; Comandancias á D. Melchor Goizueta y D. Narciso Basagoitta ; Sargentía mayor á D. Ramón del Valle ; Compañía de carabineros á D. Josef Pelotieri; y sencillas ú D. Mariano Oviedo,</t>
  </si>
  <si>
    <t>de Hoces, Antonio</t>
  </si>
  <si>
    <t>Antonio de Hoces</t>
  </si>
  <si>
    <t>nes segundos á los Tenientes D; Pedro Gutiérrez y D. Josef Ruano; y á' Tenientes á los Subtenientes D. Antonio de Hoces, D. Josef Taberné, Don* Antonio Isasi, D; Antonio Cásanos D. Antonio Escalera, Di Mateo Ghar-1 denoux, D. Pedro Argaiz, D. Pablo Ventades, D. Agustín Salazar, Don Juan Pusterla, D</t>
  </si>
  <si>
    <t>de Hore, Rafael</t>
  </si>
  <si>
    <t>Rafael de Hore</t>
  </si>
  <si>
    <t>, bastará saber que han tenido por mayor las averías siguientes: Argonauta, del mando del Brigadier D. Rafael de Hore: tiene rendidos el palo de mesana y varias vergas, cortadas las xarcias, y mucha parte de la maniobra, bastante estropeado el vélámen, 21 balazos en costados y cubiertas, y otros</t>
  </si>
  <si>
    <t>de Hornos y Serras, Luis</t>
  </si>
  <si>
    <t>Luis de Hornos y Serras</t>
  </si>
  <si>
    <t>ra deis Horts de la Parroquial de S. Pedro de Matamargo, Diócesis de Solsona, vacante por muerte de D. Luis de Hornos y Serras, á D. Esteban Carlos de Hornos; y para una Canongía de la Colegial de Manresa, Diócesis de Vique, vacante por fallecimiento de D. Antonio Bovets, á D. Ramón Montaña. El Rey se ha</t>
  </si>
  <si>
    <t>de Hornos, Esteban Carlos</t>
  </si>
  <si>
    <t>Esteban Carlos de Hornos</t>
  </si>
  <si>
    <t>de S. Pedro de Matamargo, Diócesis de Solsona, vacante por muerte de D. Luis de Hornos y Serras, á D. Esteban Carlos de Hornos; y para una Canongía de la Colegial de Manresa, Diócesis de Vique, vacante por fallecimiento de D. Antonio Bovets, á D. Ramón Montaña. El Rey se ha servido conceder en el Regimien</t>
  </si>
  <si>
    <t>de Hosta, Antonio</t>
  </si>
  <si>
    <t>Antonio de Hosta</t>
  </si>
  <si>
    <t>Tenientes á los Subtenientes de granaderos D. Juan Zavaleta y D. Antonio Espejo, y al de fusileros D. Antonio de Hosta; á Subtenientes de granaderos á los de fusileros D. Josef Galindo y D. Benigno Morales, y á Subtenientes de bandera á los Cadetes D. Félix Truxillo, D. Miguel Paliza y D. Josef Pa</t>
  </si>
  <si>
    <t>de Hoyos, Manuel Antonio</t>
  </si>
  <si>
    <t>Manuel Antonio de Hoyos</t>
  </si>
  <si>
    <t>m....................... . Idem. 31 1 Juan el Isleño........... Idem................... . ídem. 111 D. Manuel Antonio de Hoyos : pára su sobrina Doña María An- tonia Rodríguez de Obeso, residente en Andalucía............... 250 ID. Josef Márquez Rebollo, Presbítero, de Cádiz: para decir mi. sas por su alm</t>
  </si>
  <si>
    <t>de Ibáñez, Fernando Ambrosio</t>
  </si>
  <si>
    <t>Fernando Ambrosio de Ibáñez</t>
  </si>
  <si>
    <t>ral de Benimaclie, Obispado de Va- Fernando Ambro­ 476 30. Id. id. sio de Ibañez... r natural r j</t>
  </si>
  <si>
    <t>de Inguanzo, Juan Antonio</t>
  </si>
  <si>
    <t>Juan Antonio de Inguanzo</t>
  </si>
  <si>
    <t>cuentren en este caso, ó tengan derecho á los bienes concursados, comparezcan en el juzgado del Sr. D. Juan Antonio de Inguanzo, del Consejo de S. M.r, su Alcalde de Casa y Corte, por la escribanía de provincia de D. Manuel López de Ribas, á deducir las acciones que les competan, dentro del término de 30 d</t>
  </si>
  <si>
    <t>as, acuda ante el referido Sr. Alcalde, por la citada escribanía. En virtud de providencias del Sr. D. Juan Antonio de Inguanzo, del Consejo * de S. M., Alcalde en su Real Casa y*Corte, se ha mandado sacar á pública subasta, por 30 dias, un pedazo de tierra labrantía,,que se halla en término del lugar de M</t>
  </si>
  <si>
    <t>can por sí, ó persona á su nombre con suficiente poder, ante el Sr. Alcalde de la Real Casa y Corte D. Juan Antonio de Inguanzo, y escribanía de Provincia de D. Manuel López de Ribas, á deducir las acciones y derechos que les competa en los autos que por este juzgado sigue D. Francisco Amezaga, vecino y de</t>
  </si>
  <si>
    <t>acudirá á mejorarla por el mismo juzgado y escribanía. 1 , En virtud de providencia del Sr. Alcalde D. Juan Antonio de Inguanzo se ha mandado sacar á pública subasta, por término de 30 dias,contados desde el 16 del presente, una casa sita en esta Corte con fachadas á las calles de la Almudena, del Sacramen</t>
  </si>
  <si>
    <t>de Iríarte, Tomás</t>
  </si>
  <si>
    <t>Tomás de Iríarte</t>
  </si>
  <si>
    <t>raducida al ingles, al italiano y al francés, y de este al castellano, con varias correcciones, por D. Tomas de Iríarte: z tomos en 8.°, quarta edición. Se vend® en la librería de Baylo, calle de las Carretas. Homilía de nuestro Santo Padre Pió vir, con el discurso que hizo quando subió al trono. =</t>
  </si>
  <si>
    <t>de Iriarte, Tomás</t>
  </si>
  <si>
    <t>Tomás de Iriarte</t>
  </si>
  <si>
    <t>ubtenientes de granaderos del Batallón de Milicias disciplinadas de Españoles de la misma capital á D. Tomas de Iriarte y D. Josef Marino, Subtenientes del mismo Cuerpo. En el Regimiento de infantería de México se ha servido el Rey promover á Capitán al Ayudante D. Pedro Terrón: á Ayudante al Teniente</t>
  </si>
  <si>
    <t>de Irurzun, Francisco Xavier</t>
  </si>
  <si>
    <t>Francisco Xavier de Irurzun</t>
  </si>
  <si>
    <t>o D. Bartolomé Matute: para su Canongía á D. Pedro Nolasco de Toro : para la Ración que este dexa á D. Francisco Xavier de Irurzun ; y para la Media-Ración que resulta á D. Luis de la Torre y Urrutia&gt; Presbítero. •- . El Rey se ha servido nombrar para la Dignidad de Arcediano dé la Catedral de Panamá, vacante</t>
  </si>
  <si>
    <t>de Irusta, Juan Antonio</t>
  </si>
  <si>
    <t>Juan Antonio de Irusta</t>
  </si>
  <si>
    <t>en el Arzobispado de Toledo^ vacante por no haber tenido efecto el nombramiento hecho por S. M. en D. Juan Antonio de Irusta, por decreto de 25 de Noviembre ultimo, á D. Domingo Herrera, Teniente de Cura de la Parroquia de S. Justo y Pastor de Madrid, con igual carga de residenüia personal; y para el Pr</t>
  </si>
  <si>
    <t>de Jas Carreras y de María Satifuentes, Manuel</t>
  </si>
  <si>
    <t>Manuel de Jas Carreras y de María Satifuentes</t>
  </si>
  <si>
    <t>atural del lugar de Nocedal, en el valle de Somorrostro, en el Señorío de Vizcaya, hijo legítimo de D. Manuel de Jas Carreras y de Doña María Satifuentes, ya difuntos: ha dexado un hermano, que reside en la ciudad de la Paz, en él Vireynato del Perú, y dos hermanas llamadas Dona Agustina y Doña María de las Carreras, casadas lá pri</t>
  </si>
  <si>
    <t>de JBetolaza, Felipe</t>
  </si>
  <si>
    <t>Felipe de JBetolaza</t>
  </si>
  <si>
    <t>os desde esta fecha, con los dor cumcntos correspondientes, al Lie. D. Manuel Ignacio de Vicuña y á D. Felipe de JBetolaza, vecinos de la ciudad de Vitoria, y testamentarios de Doña María Josefa de Oromiota, difunta; y en Madrid á D. Josef Gómez de Herrera, calle ancha de los Peligros, núm. 21, para c</t>
  </si>
  <si>
    <t>de Jócano y Madária, Sebastián</t>
  </si>
  <si>
    <t>Sebastián de Jócano y Madária</t>
  </si>
  <si>
    <t>o tiempo. Espíritu de S. Francisco de Sales,Obispo y Príncipe de Ginebra, traducida del francés por D. Sebastian de Jócano y Madária: 2 tomos en 8.°=Qbras de Cayo Salustio Crispo, y las 4 elegantísimas oraciones de Marco Tulio -Cicerón, contra Catilína, traducidas por el célebre Segoviano Andrés Laguna, Médico</t>
  </si>
  <si>
    <t>de Junco, Manuel María</t>
  </si>
  <si>
    <t>Manuel María de Junco</t>
  </si>
  <si>
    <t>- =---------- ------------ - ~ ------ - - - -- -------- -------------------Por la audiencia del Sr. D. Manuel María de Junco, del Consejo de S. M., Alcalde de su Real Casa y Corte, se ha mandado sacar á pública subasta, por término de 30 días, una casa sita en la calle de Jesús y María, núm. 7, manz. 25</t>
  </si>
  <si>
    <t>smo Sr. Juez por la escribanía de provincia de D. Manuel López de Ribas. &gt; Por la audiencia del Sr. D. Manuel María de Junco, del Consejo de S. M., Alcalde en su. Real Casa y Corte , se ha mandado sacar á pública subasta, para pago de ,acreedores, la casarnúm. 2i manz. 136 de la calle de Segovia y plazu</t>
  </si>
  <si>
    <t>ntro de 9 dií.s contados desde el 19 del corriente. Por providencia del Sr. Alcalde de Casa y Corte D. Manuel María de Junco se ha señalado para el dia 30 del presente, por la escribanía de provincia de D. Juan Antonio de Zamacola, el remate de la casa sita en la calle de Jesús y María, numero 7, manz.</t>
  </si>
  <si>
    <t>de JVIiUa y Cuellar, Ramón</t>
  </si>
  <si>
    <t>Ramón de JVIiUa y Cuellar</t>
  </si>
  <si>
    <t>rres, del Consejo de S. M., primer Teniente de Corregidor de esta villa, y escribanía del numero de D. Ramón de JVIiUa y Cuellar,..se han mandado sacar á pública subasta 4 casas correspondientes; á memorias, señalando para-su, remate el dia 4 del corriente, á las puertas de la .audiencia de su Señoría, de .</t>
  </si>
  <si>
    <t>de Keller, Conde</t>
  </si>
  <si>
    <t>Conde de Keller</t>
  </si>
  <si>
    <t>muevan la curiosidad, nos da mucho que pensar la presencia en esta ciudad, del Conde de Keller, Ministro que fue del Rey de Prusia cerca délos Estados-Generales,y del General Prusiano Barón de Kobelsdorff. Rotterdam 2$ de Enero. En las Gazetas Inglesas se da la noticia de haberse emp</t>
  </si>
  <si>
    <t>de KenobeisdoríF, Barón</t>
  </si>
  <si>
    <t>Barón de KenobeisdoríF</t>
  </si>
  <si>
    <t>cipe Electoral Carlos de Badén, S. A. el Príncipe Luis, Margrave de Badén, y el Barón de KenobeisdoríF, Ministro plenipotenciario del ftey de Prusia cerca de la Sublime Puerta, cazáron con el Emperador el 17 de este mes. El pintor David ha sido nombrado primer pintor del Emperador, quien le</t>
  </si>
  <si>
    <t>de Keysser, Francisco</t>
  </si>
  <si>
    <t>Francisco de Keysser</t>
  </si>
  <si>
    <t>iano Calafell; y á Subtenientes de bandera en los de Tarragona y primero de Barcelona á los Cadetes Don Francisco de Keysser y D. Josef Alavés. El Rey se ha' servido conceder en el Regimiento de infantería de Sevilla Tenencia al Subteniente D. Juan María Cumplido.</t>
  </si>
  <si>
    <t>de la Azuela Velasco, Antonio</t>
  </si>
  <si>
    <t>Antonio de la Azuela Velasco</t>
  </si>
  <si>
    <t>n 8.°, que comprehende 500 páginas, á 9 rs. en pergamino y 11 en pasta. Ensayo para bien morir, por D. Antonio de la Azuela Velasco, dedicado á nuestra Señora de los Dolores: un tomo en 8.° mayor, á 7 rs. en pergamino y 9 en pasta.=Examen sin excusa, alivio de penitentes y consuelo de confesores, compuesto por</t>
  </si>
  <si>
    <t>de la Barcena, Manuel</t>
  </si>
  <si>
    <t>Manuel de la Barcena</t>
  </si>
  <si>
    <t>esorero de la Catedral de Vailadolid de Mechoacan, vacante por fallecimiento de D. Josef Aregui , á D. Manuel de la Barcena, Canónigo Rectoral de la misma, iglesia ; 'yapara igual Dignidad de la de Guadala^ara, vacante por muerte de DjAgustín del Rio de la Loza ,á D.Juan Josef Caninez de los Riosj Canó</t>
  </si>
  <si>
    <t>de la Barrera, Manuel</t>
  </si>
  <si>
    <t>Manuel de la Barrera</t>
  </si>
  <si>
    <t>Mariano Aragón, D. Josef Escovedo, D. Pablo Muñoz, D. Lorenzo Lencinas, Don Josef Silva y Laguado, D. Manuel de la Barrera, D. Mariano Murguía, D. Ramón Paredes, D. Mariano Figueroa, D. Valentín Toro y D. Juan Valenzuela; empleo de Alférez de granaderos á D. Carlos Velarde; y sencillos á D. Mariano Mo</t>
  </si>
  <si>
    <t>de la Borda, Antonio</t>
  </si>
  <si>
    <t>Antonio de la Borda</t>
  </si>
  <si>
    <t>s á D. Josef Pelotieri; y sencillas ú D. Mariano Oviedo, D. Estéban Pacheco , D. Francisco Noriega, D. Antonio de la Borda, D. Josef Colombo, D. Antonio García Muñiz, D. Fernando Belon y D.Juan Canabal; Ayudantías á D. Andrés Polvorinos y Don Hilario del Rivero ; Tenencia de carabineros á D. BernaTdin</t>
  </si>
  <si>
    <t>de la Calle, Manuel</t>
  </si>
  <si>
    <t>Manuel de la Calle</t>
  </si>
  <si>
    <t>y el referido de Ñápeles á l©s Cadetes D. jVsef de S. Germán y Capdeviía, D. Antonio de xAndrada y D. Manuel de la Calle. En el Real Cuerpo de xArtillería se ha servido S. M. conferir el empleo de Teniente Coronel al Sargento Mayor, graduado de Teniente Coronel, D. Tiburcio de Francos; y el empleo d</t>
  </si>
  <si>
    <t>de la Coba, Dionisio</t>
  </si>
  <si>
    <t>Dionisio de la Coba</t>
  </si>
  <si>
    <t>dral de Almeríavacante por promoción de D. Gregorio González Beltranilla al Deanato de la de Jaen,á Don Dionisio de la Coba: para la Canongía que este obtiene en ella á D. Josef Vicente de Góngora, Beneficiado de Santa María de Jaraíz en el Obispado de Plasencia: para una Ración de la Catedral de Osma,</t>
  </si>
  <si>
    <t>de la Concepción Dolz, María</t>
  </si>
  <si>
    <t>María de la Concepción Dolz</t>
  </si>
  <si>
    <t>En el acto de la adjudicación de los premios cediéron la parte pecuniaria de ellos D. Fermín Nebot, Doña María de la Concepción Dolz, Doña Juana Ximenez del Rio y Doña María Berard y Mallen, lo que se adjudicó á otros beneméritos, á quienes no alcanzaron los demas premios. Continuóse publicando la adjudicación</t>
  </si>
  <si>
    <t>de la Costa, Vicente</t>
  </si>
  <si>
    <t>Vicente de la Costa</t>
  </si>
  <si>
    <t>de Murcia, Intendente de los Reales Exércitos, con ejercicio en el de Castilla la Nueva, dada ante D. Vicente de la Costa, Escribano del número de esta villa, y principal de esta comisión, y á virtud de Real orden de 6 del corriente mes, se na mandado sacar á pú-» blica subasta por término de 20 dias</t>
  </si>
  <si>
    <t>de la Cruz, Pedro</t>
  </si>
  <si>
    <t>Pedro de la Cruz</t>
  </si>
  <si>
    <t>cación de 90 rs. á Antonio González, oficial de ebanista, por un torno de devanar: otra de 60 rs. á D. Pedro de la Cruz por 3 dibuxos de alfombras; y otra también de 60 rs. á D. Pedro Rodríguez por 3 dibuxos</t>
  </si>
  <si>
    <t>nta, natural de, Meruelo, de 24 años. Premios segundos. Medallas Je plata, cíe 8 onzas. Pintura i á-D. Pedro de la Cruz , natural de Madridde 15 añosl Escultura , á D/Jósef Muñoznatural de Antequera, de 24 años. Arquitectura, á D. Tiburció Perez Cuervo , natural de Oviedo , de 19 años. Tercera clas</t>
  </si>
  <si>
    <t>de la Encina, Bartolomé</t>
  </si>
  <si>
    <t>Bartolomé de la Encina</t>
  </si>
  <si>
    <t>2.* Ayud. Bartolomé de la FHSjo de Tomas y de Olalla González,</t>
  </si>
  <si>
    <t>de la Encina, Luis</t>
  </si>
  <si>
    <t>Luis de la Encina</t>
  </si>
  <si>
    <t>o de Arequipa , en el Reyno del Perú, vacante „por haberlo renunciado D. Josef Chaves de la Rosa, á D. Luis de la Encina, Arcediano de la Catedral de Canarias. En la extracción extraordinaria de la Real lotería executada el lunes 20 del corriente , saliéron los números 35, 53&gt;31&gt;72y77&gt; y cont ellos</t>
  </si>
  <si>
    <t>o nombrar para la Dignidad dé Arcediano titular de la Catedral de Canaria, vacante por promoción de D. Luis de la Encina al Obispado de Arequipa , áD. Antonio María de Lugo, Canónigo de ella; y para una Media-Ración de la de Córdoba, vacante por promoción de Don Pedro García Asenjo á Ración entera d</t>
  </si>
  <si>
    <t>de la Erran Linares, Pedro</t>
  </si>
  <si>
    <t>Pedro de la Erran Linares</t>
  </si>
  <si>
    <t>se ha( servido S. M. promover á Teniente al Alférez D. Josef Ma^ría Alba; á Alférez: al;Portaguión D. Pedro de la Erran Linares, y á Portaguiones á D. Manuel Vidal, y á D. Guillermo Marurir en el de Queretaro á Capitán al Teniente D. Tomas Beña; á Teniente al Alférez: D. . Francisco Xavier Quintana; á Alfé</t>
  </si>
  <si>
    <t>de la Escalera, Joaquín</t>
  </si>
  <si>
    <t>Joaquín de la Escalera</t>
  </si>
  <si>
    <t>truir por S. M. y Señores de su Real y Supremo Consejo de Castilla. El Alcalde mayor de dicha villa D. Joaquin de la Escalera, baxo las órdenes del Sr. Don Adrián Mareos Martínez, Ministro de aquel Supremo Tribunal, se ha esmerado en procurar la pronta execucion de esta importante obra; y ha— hiendo mere</t>
  </si>
  <si>
    <t>de la Fila, Manuel</t>
  </si>
  <si>
    <t>Manuel de la Fila</t>
  </si>
  <si>
    <t>tres escuelas otras tantas dotes de á 50 ducados, que se sortearon entre las niñas mas adelantadas. Don Manuel de la Fila recibió ademas una medalla de plata, por los exámenes públicos, que, con asistencia de la Sociedad, tuvo en su escuela. Después se siguió ei examen de los alumnos de la Academia d</t>
  </si>
  <si>
    <t>de la Fuente y Oquendo, Joaquín</t>
  </si>
  <si>
    <t>Joaquín de la Fuente y Oquendo</t>
  </si>
  <si>
    <t>a la plaza de Oidor de la Chancillería de Granada, vacante por fallecimiento de D. Ignacio Areni, á D. Joaquin de la Fuente y Oquendo, Alcalde del Crimen mas antiguo de ella; y para esta resulta á D. Luis María Guerrero, con la antigüedad, desde el nombramiento de la plaza de Alcaide de la Quadra de la Audiencia</t>
  </si>
  <si>
    <t>de la Fuente, Gabriel</t>
  </si>
  <si>
    <t>Gabriel de la Fuente</t>
  </si>
  <si>
    <t>nes, Medio-Racionero de ella : para otra de la de Santander p por muerte de D. Manuel de la Peña, á D. Gabriel de la Fuente, Capellán de numero de la misma; y para el Beneficio de Santa María de Almansa, en el Obispado de Cartagena, por fallecimiento de D. Manuel de Palacio, á D. Sebastian Martínez de</t>
  </si>
  <si>
    <t>de la Fuente, Tomás</t>
  </si>
  <si>
    <t>Tomás de la Fuente</t>
  </si>
  <si>
    <t>l de España al Subteniente D. Antonio Merlo : Subtenencias de bandera en los de Mallorca y Burgos á D. Tomas de la Fuente y D.Sebastian Martínez, Cadete y Sargento primero de los mismos Cuerpos ; y en el de Jaén Compañía al Teniente de granaderos, graduado de Capitán, D. Miguel de Cantora y Amandi, y Ten</t>
  </si>
  <si>
    <t>de la Grúa, Gerónimo</t>
  </si>
  <si>
    <t>Gerónimo de la Grúa</t>
  </si>
  <si>
    <t>. Alfonso de Pignateli, Coronel de Húsares; á D. Leonardo Teran, Ministro de S. M. C. en Génova ; á D. Gerónimo de la Grúa; á D. Nicolás Orózco, Ministro plenipotenciario en Milán; al Caballero Viérgol, Secretario de la Legación en Milán; á Don Fernando de los Ríos, agregado á la misma Legación; á D.</t>
  </si>
  <si>
    <t>de la Guardia, Francisco</t>
  </si>
  <si>
    <t>Francisco de la Guardia</t>
  </si>
  <si>
    <t>menez, al Portaguión D. Antonio Ximenez, y al Cadete D. Antonio del Junco; á Subtenientes al Cadete D. Francisco de la Guardia y al Sargento primero.D. Andrés de Leon^ y á Portaguión al Soldado distifi*guido. D. Andrés Ximenez: en la Compañía urbana de Caballería de la ciudad de Cuba á Capitán al Subtenient</t>
  </si>
  <si>
    <t>de la Herran, Juan Francisco</t>
  </si>
  <si>
    <t>Juan Francisco de la Herran</t>
  </si>
  <si>
    <t>de Guatemala. El 2 2 de Agosto ííltimo remitió por el correo D. Francisco de Urruela, de Madrid, á D. Juan Francisco de la Herran, del valle de Samano, en las montañas de Santander, «a vale Real de 300 pesos.de la creación de Majo, níim. 487,109, endosado á dicho Señor; y no habiendo llegado hasta la present</t>
  </si>
  <si>
    <t>de la Hoz, Antonio</t>
  </si>
  <si>
    <t>Antonio de la Hoz</t>
  </si>
  <si>
    <t>Id. id. Antonio de la Hoz. Hijo de Tomas y de Manuela Ontoñon,</t>
  </si>
  <si>
    <t>de la Hoz, Vicente Manuel</t>
  </si>
  <si>
    <t>Vicente Manuel de la Hoz</t>
  </si>
  <si>
    <t>aras de Alcalde mayor de la villa de Medellin á D. Francisco Sánchez Castilla: del Valle de íguña á Don Vicente Manuel de la Hoz; y de la villa de la Orotava en las Islas de Canarias á D. Josef Diaz Bermudo; y para el Corregimiento de Letras de la villa de Utiel á D. Isidro de. Alcalá. En América. S. M. se</t>
  </si>
  <si>
    <t>de la Iglesia Smith, Manuel</t>
  </si>
  <si>
    <t>Manuel de la Iglesia Smith</t>
  </si>
  <si>
    <t>a, León y el expresado de Málaga.á los Cadetes D. Antonio Parreño, D. Francisco Benmidez de Castro, D. Manuel de la Iglesia Smith, y D. Saturnino Figueroa, que lo era del de Cantabria. El Rey se ha servido promover á Capitán segundo en el Regimiento de infantería Suizo de Ruttiman al Ayudante, graduado de Ca</t>
  </si>
  <si>
    <t>de la Llave, Ramón</t>
  </si>
  <si>
    <t>Ramón de la Llave</t>
  </si>
  <si>
    <t>ubtenencias de bandera en el de la Reyna ai Cadete D. Manuel Delgado; y en el de Valencia al Cadete D. Ramón de la Llave, y al Sargento primero del expresado de Zamora D. Ramón García. El Rey se ha servido conceder Tenencias en los Regimientos de infantería de Granada y Voluntarios de la Corona á lo</t>
  </si>
  <si>
    <t>de la Madrid, Tomás</t>
  </si>
  <si>
    <t>Tomás de la Madrid</t>
  </si>
  <si>
    <t>Francisco Durango é hijo mayor. En Zamora......... D. Vicente Perez de Tejada. En Zaragoza........ D. Tomas de la Madrid. En Zeuta.................D. Pedro Huguet, comisionado subalterno del de Cádiz. El dia 18 de Abril próximo venidero se executará públicamente la quema de todos los Vales correspon</t>
  </si>
  <si>
    <t>Sres. D. Francisco Durango é hijo mayor. En Zamora........... D. Josef Ligero. En Zaragoza........ D. Tomas de la Madrid. En Zenta ............ D. Pedro H uguet, comisionado subalterno del de Cádiz. En la extracción de la Real lotería executada el lunes 15 del corriente, saliéron los números 69, 1,</t>
  </si>
  <si>
    <t>r?s. D. Francisco Dúrango é hijo mayor. . En Zanlora......... . D. Josef Ligero. En Zaragoza....... D. Tomás de la Madrid. ¿í/z Zeuta......... . D. Pedro Hnget, comisionado subalternó del de Cádiz* El Rey nuestro Señor, á consulta del Consejo pleno, se ha servido resolver que desde el día 13 dei pres</t>
  </si>
  <si>
    <t>de la Mata, Francisco</t>
  </si>
  <si>
    <t>Francisco de la Mata</t>
  </si>
  <si>
    <t>Batallón de Voluntarios de Campomayor D. Francisco Satue, ai Sargento primero del mismo Regimiento D. Francisco de la Mata, á los Cadetes de los de Voluntarios ae Castilla y del Fixo de Ceuta Don Salvador del Castillo y D. Alfonso Dieste; y ai Sargento primero del de Voluntarios de Estado D. Josef Amb</t>
  </si>
  <si>
    <t>de la Mata, Juan Antonio</t>
  </si>
  <si>
    <t>Juan Antonio de la Mata</t>
  </si>
  <si>
    <t>sio , y a Portaguión á D. Josef Martin Niño de Ribera. ■ El Rey se ha dignado conceder al Brigadier D. Juan Antonio de la Mata, Teniente de Rey de la Plaza de Panamá, el Gobierno militar y político de ella, y la Comandancia general de su Provincia. S. M. se ha servido conceder el Goibierijojde la Plaza 4e</t>
  </si>
  <si>
    <t>de la Peña, Antonio</t>
  </si>
  <si>
    <t>Antonio de la Peña</t>
  </si>
  <si>
    <t>Ruiz: á Subtenientes de granaderos y de Bandera en los de Jaén y Ciudad-Rodrigo á los Subtenientes D. Antonio de la Peña y D. Juan Obregon, y á Don Francisco María de Arroquia y Oses; y á Subtenientes de Bandera en Jos de Segovia, Monterey, Xerez y Toledo á D. Bernabé López de Castro, D. Josef Salgado d</t>
  </si>
  <si>
    <t>de la Peña, Francisco</t>
  </si>
  <si>
    <t>Francisco de la Peña</t>
  </si>
  <si>
    <t>de Cuenca, vacante por ascenso de D. Manuel Corella al Beneficio de Pegalajar, Diócesi de Jaén , á D. Francisco de la Peña. El Comandante General del apostadero de Algeciras D. Bruno de Heceta ha dado cuenta al Excmo. Sr. Generalísimo Príncipe de la Paz de que en la mañana del 9 de este mes se present</t>
  </si>
  <si>
    <t>de la Peña, Manuel</t>
  </si>
  <si>
    <t>Manuel de la Peña</t>
  </si>
  <si>
    <t>antiago Fernandez de Bulnes, Medio-Racionero de ella : para otra de la de Santander p por muerte de D. Manuel de la Peña, á D. Gabriel de la Fuente, Capellán de numero de la misma; y para el Beneficio de Santa María de Almansa, en el Obispado de Cartagena, por fallecimiento de D. Manuel de Palacio,</t>
  </si>
  <si>
    <t>de la Piedra, Benito</t>
  </si>
  <si>
    <t>Benito de la Piedra</t>
  </si>
  <si>
    <t>...... D. Ramón Ltordella é hijo. En Biírgos.............D. Andrés Frayle. En Cádiz................ D. Benito de la Piedra. En Cartagena........D. Bernardo Elizalde. En Ciudad-Real... D. Ramón Antonio Pico. En Córdoba.......... . Sres. Barcia padre é hijo. " En la Coruña........ D. Manuel ElzaurdiJ. E</t>
  </si>
  <si>
    <t>...... D. Ramón Llordella é hijo. i En Burgos i*,.w.... D. Andrés Fray le. r En Cádiz.............. D. Benito de la Piedra. En Cartagena...... D. Bernardo Flizalde. En Ciudad-Re al.. D. Ramón Antonio Pico. En Córdoba..:....... Sres. Barcia padre é hijo. En'la Coruña....... T&gt;. Manuel Flzaurdi. ’ En Cu</t>
  </si>
  <si>
    <t>Llordeíla é‘ hijo. 1 En Búrgós........... D. Andrés Fravle. ; . . ' ; ■*' ‘ 'En Cádiz.........1... D. Benito de la Piedra. J * 3 - • EnCartagena...... D. Bernardo*Eliza!dé. ■ ,\A " ;; En Ciudad-Real.. D. Ramón Antonio Pico» ** ' ' En Córdoba........ Sres. Barcia padre é hijo. En la Coruña....... D. M</t>
  </si>
  <si>
    <t>de la Puente y Aranguren, Pablo</t>
  </si>
  <si>
    <t>Pablo de la Puente y Aranguren</t>
  </si>
  <si>
    <t>a, D. Manuel Cavaleri y Arana, D. Agustín del Barco y la Cendeja, D. Francisco Rio Espina y Aracil. D. Pablo de la Puente y Aranguren* D. Luis Cepeda y Ruliere, D. Francisco Andrada Wanderwilde, D. Cipriano Palafox, Marques de Fuente el Sol, D. Josef Povil y Correger, D. Juan Lliñas y Repiso, D. Joaquín Alvarez</t>
  </si>
  <si>
    <t>de la Puente, Fernando</t>
  </si>
  <si>
    <t>Fernando de la Puente</t>
  </si>
  <si>
    <t>, y D. Joaquín Borruitiner, Ayudante mayor graduado de Capitán; á Ayudantes mayores á los Tenientes D. Fernando de la Puente , de granaderos, concediéndole también el grado de Capitán que .tiene afecto por reglamento, y D. Bartolomé Morales t á Tenientes de granaderos los de fusileros D. Diego Mayeii y</t>
  </si>
  <si>
    <t>de la Puente, Francisco Xavier</t>
  </si>
  <si>
    <t>Francisco Xavier de la Puente</t>
  </si>
  <si>
    <t>i lad de Aléala: para la Media-Ración, vacante en lá Sarita Iglesia, de Cuenca por fallecimiénto de D. Francisco Xavier de la Puente, á D. Eusebio Julián Rubio: para los Beneficios simples de la Parroquia de Otur, Arciprestazgo de Valdés, Diócesi dé Oviedo, y de Sta. Ma</t>
  </si>
  <si>
    <t>de la Puente, Rafael</t>
  </si>
  <si>
    <t>Rafael de la Puente</t>
  </si>
  <si>
    <t>e Capitán, D. Luis Quintero; y en el de la Princesa al Teniente de granaderos, graduado de Capitán, D. Rafael de la Puente; y Subtenencia de bandera en el de Hibernia al Sargento primero de granaderos D. Tomas Pasquini. S. M. se ha servido conceder Subtenencias de bandera en el Regimiento de infanterí</t>
  </si>
  <si>
    <t>de la Puente, Vicente Simón</t>
  </si>
  <si>
    <t>Vicente Simón de la Puente</t>
  </si>
  <si>
    <t>ndo tenido aun efecto el nombramiento que por decreto de 22 de Julio del año próximo pasado hizo en D. Vicente Simón de la Puente, Racionero de. la Metropolitana de Burgos, para una Canongía de ella que debia vacar por promoción de D. Ignacio Alonso Bugedo al Arcedianato titular de la misma, por haberse susc</t>
  </si>
  <si>
    <t>D. Demetrio Pedro Díaz: para el de Quintaniíla de Bon, en la d§ Burgos , vacante por pro'mocion de. D. Vicente Simón de la Puente á Canon gía de aquella Iglesia Metropolitana , y para los de Santa María de la ¡Barca, Arciprestázgo de Tinco-, y de Sama María de Restiello, Arcipres* tazgo de Salcedo , ambos en</t>
  </si>
  <si>
    <t>de la Puerta, Manuel</t>
  </si>
  <si>
    <t>Manuel de la Puerta</t>
  </si>
  <si>
    <t>para la Ración que este obtenia, al Medio-Racionero D. Josef ManuelBermudes; y para esta resulta a D. Manuel de la Puerta, Cura de la Doctrina de S. Josef en la villa de Caxamarca, Obispado de Truxillo. Igualmente ha nombrado S. M. para dos plazas de Agentes del numero d! los de Indias, que han vacad</t>
  </si>
  <si>
    <t>de la Reguera, Benito</t>
  </si>
  <si>
    <t>Benito de la Reguera</t>
  </si>
  <si>
    <t>1093 reros á D. Benito de la Reguera; y sencillos á D. Josef Alcayde y Monge, D. Miguel Roxas, D. Rafael Arias,D. Juan Bautista Urreta, D. Francisco Chavez, D. Manuel Almonte, D. Genaro Torres, D.Mariano Ponce, D. Ju</t>
  </si>
  <si>
    <t>de la Riva, Juan Antonio</t>
  </si>
  <si>
    <t>Juan Antonio de la Riva</t>
  </si>
  <si>
    <t>omos en 8.° = Catecismo del P. Ripalda, añadido con 130 preguntas, con otras tantas respuestas, por D. Juan Antonio de la Riva, Canónigo de Murcia. Se hallarán en la librería de Claros, calle del Arenal. Marinería urbana, ó formación de cuerpos auxiliares para defender en caso de invasión el Real arsenal</t>
  </si>
  <si>
    <t>de la Sierra, Juan de Dios</t>
  </si>
  <si>
    <t>Juan de Dios de la Sierra</t>
  </si>
  <si>
    <t>piedad al Teniente de granaderos D. Francisco de Cisneros, y á Supernumerario al de la propia clase D. Juan de Dios de la Sierra: á Subtenientes de granaderos en los de Pontevedra, Santiago y Ecija á los de fusileros D. Manuel Llórente, D. Ramón González, y Don Miguel Ruiz Jurado; y á Subtenientes de bander</t>
  </si>
  <si>
    <t>de la Sota Crespo, Santiago</t>
  </si>
  <si>
    <t>Santiago de la Sota Crespo</t>
  </si>
  <si>
    <t>udiendo con sus proposiciones á la Secretaría de la Real Dirección, que está á cargo del Secretario D. Santiago de la Sota Crespo. “Igualmente ha prorogado hasta gi del presente el término, dentro del qual deben presentar sus proposiciones en la citada Secretaría los qae quieran surtir por su cuenta una ó ma</t>
  </si>
  <si>
    <t>de la Sota, Manuel</t>
  </si>
  <si>
    <t>Manuel de la Sota</t>
  </si>
  <si>
    <t>de Tesorero de la del Cuzco á D. Feliciano Paz y Pozo: para la Canongía que este dexa al Racionero D. Manuel de la Sota; y para esta Ración á Don</t>
  </si>
  <si>
    <t>de la Torre y Duarte, Joaquín</t>
  </si>
  <si>
    <t>Joaquín de la Torre y Duarte</t>
  </si>
  <si>
    <t>St8 cías de dragones de Sto. Domingo; á Subtenientes de granaderos los de fusileros D. Joaquín de la Torre y Duarte y D. Josef María Canalejo; á Subtenientes de Compañía los de bandera D. Francisco Lleonart y D. Justo López ; y á Subtenientes de bandera los Cadetes D- Francisco Díaz y Don Alexandro</t>
  </si>
  <si>
    <t>de la Torre y Urrutia, Luis</t>
  </si>
  <si>
    <t>Luis de la Torre y Urrutia</t>
  </si>
  <si>
    <t>ara la Ración que este dexa á D. Francisco Xavier de Irurzun ; y para la Media-Ración que resulta á D. Luis de la Torre y Urrutia&gt; Presbítero. •- . El Rey se ha servido nombrar para la Dignidad de Arcediano dé la Catedral de Panamá, vacante por fallecimienta de D. Félix Pascual de Mateo, á D. Tomas Baxo y Oz</t>
  </si>
  <si>
    <t>de la Torre, Benigno</t>
  </si>
  <si>
    <t>Benigno de la Torre</t>
  </si>
  <si>
    <t>4^4 que corresponda. Los facultativos que quisiesen pretender, dirigirán sus memoriales á D. Benigno de la Torre y D. Manuel Bombín Ponce de León, Procurador Síndico general y Personero del común, comisionados para ello; advirtiéndose que la admisión de memoriales durará hasta el dia 24 de Junio</t>
  </si>
  <si>
    <t>de la Torre, Joaquín</t>
  </si>
  <si>
    <t>Joaquín de la Torre</t>
  </si>
  <si>
    <t>ubinspector al Brigadier el Coronel D. Francisco Gelabert; y á Teniente Coronel el Mayor de Brigada D. Joaquín de la Torre. . , También sé ha dignado S. M. confirmar el nombramiento de Regidor honorario de la ciudad de la Puebla de los Angeles , hecho por su Ayuntamiento á favor del Cirujano honorario</t>
  </si>
  <si>
    <t>de la Torre, Manuel</t>
  </si>
  <si>
    <t>Manuel de la Torre</t>
  </si>
  <si>
    <t>ste mismo Cuerpo á D. Domingo de Torres, D. Francisco Gutiérrez de la Lama, D. Tuan Manuel Cabello, D. Manuel de la Torre, D. Ignacio Olarte, y D. Diego de Abarca, vecinos de aquella demarcación. Los sugetos que tengan equipages ó efectos de qualquiera clase detenidos en los almacenes de la venta de</t>
  </si>
  <si>
    <t>de la Vara, Rafael</t>
  </si>
  <si>
    <t>Rafael de la Vara</t>
  </si>
  <si>
    <t>bispo del Cuzco; y para el de Guatemala, vacante por renuncia de D. Luis de Penal ver y Cárdenas, á D. Rafael de la Vara, Obispo Auxiliar de Santa Cruz de la Sierra: para el Deanato de la Metropolitana de Lima, vacante por muerte de D. Francisco de Santiago Concha, á D. Domingo Larrion: para el Árce</t>
  </si>
  <si>
    <t>de la Vega Vázquez, Lorenzo</t>
  </si>
  <si>
    <t>Lorenzo de la Vega Vázquez</t>
  </si>
  <si>
    <t>s; que pretendan tener derecho á los bienes que mandó vincular en la villá de Villarejó de Salvanés D. Lorenzo de la Vega Vázquez per su última disposición testamentaria, para que en el término de 30 dias, contados desde 28 de Marzo próximo pasado, acudan ante dicho Señor, por la escribanía de D. Juan Villa</t>
  </si>
  <si>
    <t>de la Vega, Antonio</t>
  </si>
  <si>
    <t>Antonio de la Vega</t>
  </si>
  <si>
    <t>Julián Antezana, D. Evaristo Ximenez , D. Mariano Estevez, D. Fernando Aragón, D. Josef Callisava, D. Antonio de la Vega, D. Josef de Avila y D. Francisco Velasco; y Subtenencias de bandera á D. Domingo Terrona y D. Eusebio Cornejo. El Rey se ha dignado conceder la Compañía fixa veterana de nueva cr</t>
  </si>
  <si>
    <t>de la Vega, Juan Sebastián</t>
  </si>
  <si>
    <t>Juan Sebastián de la Vega</t>
  </si>
  <si>
    <t>pia Diócesi: para otra de la Colegial de Antequera, Diócesi de Málaga, vacante por fallecimiento de D. Juan Sebastian de la Vega, á D. Francisco Gallardo y Marín, Beneficiado de la Parroquia de S. Pedro de la misma ciudad: para otra de la referida Iglesia, vacante por muerte de,D. Juan Aguado, á D. Josef Un</t>
  </si>
  <si>
    <t>de la Vega, Remigio</t>
  </si>
  <si>
    <t>Remigio de la Vega</t>
  </si>
  <si>
    <t>o de una onza. Pintura, á D. Marcos Antonio Menezo, nat.u, ral de Meruelo, de 23 años. Escultura, á D. Remigio de la Vega, natural de Madrid, de 18 años. Arquitectura,.á D. Romualdo de Vienta, natural de, Meruelo, de 24 años. Premios segundos. Medallas Je plata, cíe 8 onzas. Pintura i á-D. Pedro de l</t>
  </si>
  <si>
    <t>de Lanuza, Gerónimo Bautista</t>
  </si>
  <si>
    <t>Gerónimo Bautista de Lanuza</t>
  </si>
  <si>
    <t>e Rain Yzich á Rabí Samuel sobre el cumplimiento de la venida del Mesías,1 inéditas XII. Parecer de D. Gerónimo Bautista de Lanuza sobre ei hábito que deben usar los Obispos Regulares, inedito. = XIII. Carta de D. Fr. Isidro Aliaga, Arzobispo de Valencia, al Sr. Lanuza sobre d mismo asunto, inedita. = XIV. Tr</t>
  </si>
  <si>
    <t>de Larramendi, Santiago</t>
  </si>
  <si>
    <t>Santiago de Larramendi</t>
  </si>
  <si>
    <t>so. La persona que los hubiere hallado, ó en cuyo poder parasen, se servirá entregarlos, ó avisar a D. Santiago de Larramendi, en la red de S. Luis, tienda inmediata á la lotería. En la villa de Gibraleon, Reyno de Sevilla, se halla vacante la plaza de única Cirujano; y habiéndose erigido en partido cerr</t>
  </si>
  <si>
    <t>de Larraondo, Juan Bautista</t>
  </si>
  <si>
    <t>Juan Bautista de Larraondo</t>
  </si>
  <si>
    <t>ander los Sres. Vial é hijo y compañía: en la Coruña los Sres. López Sagaztizabal é hijo: en Bilbao D. Juan Bautista de Larraondo*. en Barcelona D. Gerónimo Jauhela: en Valencia D. Pedro Faurie: en Murcia los Sres. Valence y sobrinos: en Cartagena D. Henrique Fauson y compañía: en Alicante D. L. Jrouchaud: e</t>
  </si>
  <si>
    <t>de las Ala, Félix</t>
  </si>
  <si>
    <t>Félix de las Ala</t>
  </si>
  <si>
    <t>á D, Alonso Sánchez Diosdado, P. Juan de Lomas, D. Domingo Pedro de Otañes, D. Juan Felipe Correa, D. Félix de las Ala? y Pumanúo , D. Manuel .del Riego Pica, y D. Joaquín María López Varela y Lemo?. . S. M. se ha servido promover en el Real Cuerpo de Ingenieros 4el exército á Capitán segundo alj</t>
  </si>
  <si>
    <t>de las Carreras, Francisco</t>
  </si>
  <si>
    <t>Francisco de las Carreras</t>
  </si>
  <si>
    <t>en sin embargo que ha escrito á la Havana en solicitud de dichos interesados, no ha tenido razón. J Don Francisco de las Carreras,.Español, murió de repente en Hamburgo en la noche del 27 ál 28 de Agosto de este anó, en donde hacia cerca de 3 que residía, habiendo ido en comisión por las casis de comercio Du</t>
  </si>
  <si>
    <t>de las Heras, Bartolomé</t>
  </si>
  <si>
    <t>Bartolomé de las Heras</t>
  </si>
  <si>
    <t>nombrar para el Arzobispado de Lima, vacante por fallecimiento de D. Juan González de la Reguera, á Don Bartolomé de las Heras, Obispo del Cuzco; y para el de Guatemala, vacante por renuncia de D. Luis de Penal ver y Cárdenas, á D. Rafael de la Vara, Obispo Auxiliar de Santa Cruz de la Sierra: para el Dea</t>
  </si>
  <si>
    <t>de las Heras, Dionisio</t>
  </si>
  <si>
    <t>Dionisio de las Heras</t>
  </si>
  <si>
    <t>nacio Ruiz; y en el de cazadores Voluntarios de España Compañía al Ayudante , graduado de Capitán , D. Dionisio de las Heras. Por el Ministerio de la Guerra se ha circulado, con fecha de 11 de 'este mes, á todos los Capitanes generales de las Provincias del Réyito Real orden para que quantos equipages l</t>
  </si>
  <si>
    <t>de las Pozas, Gerónimo</t>
  </si>
  <si>
    <t>Gerónimo de las Pozas</t>
  </si>
  <si>
    <t>que en él puede producir la libertad mercantil. Dia 18 de Abril exercitáron con igual concurso: 8.° D. Gerónimo de las Pozas sobre la regulación de las ventajas mercantiles-por medio de la Balanza, y de los medios que se emplean para averiguar su estado: 9.0 Don Mariano Calvete del origen, naturaleza y</t>
  </si>
  <si>
    <t>de Lavalle, Simón</t>
  </si>
  <si>
    <t>Simón de Lavalle</t>
  </si>
  <si>
    <t>de aquella Santa Iglesia: para igual Dignidad de Arcediano de la de Truxillo, vacante por muerte de D. Simón de Lavalle, á D. Gregorio de Gui^nea, Canónigo Magistral de ella: para una Radon de la Metropolitana de Lima, vacante por fallecimiento de D. Juan Gerónimo Valdes, á D. Josef Mariano Cardona</t>
  </si>
  <si>
    <t>de Lavega, Pedro</t>
  </si>
  <si>
    <t>Pedro de Lavega</t>
  </si>
  <si>
    <t>o Echegaraya ; y á Capitán segundo en el batallón de Voluntarios , segundo de Cataluña, al Teniente D. Pedro de Lavega. El Rey se ha servido conceder Subtenencias de bandera^ en los Regimientos de infantería de Toledo y León al Sargento segundo distinguido del de Aragón D. Josef Prino, y al Cadete</t>
  </si>
  <si>
    <t>de Legazpi, Juan</t>
  </si>
  <si>
    <t>Juan de Legazpi</t>
  </si>
  <si>
    <t>ntes al vínculo que poseyó últimamente y hasta su fallecimiento el Sr. Conde D. Juan de Legazpi, Coronel Comandante del Regimiento de infantería de Carlstad Otacherz, verificado en 27 de Enero de 1773 en la ciudad de Pest en Hungría; y por auto que proveyó en 18 de Febrero último el</t>
  </si>
  <si>
    <t>de Leon, Andrés</t>
  </si>
  <si>
    <t>Andrés de Leon</t>
  </si>
  <si>
    <t>ete D. Antonio del Junco; á Subtenientes al Cadete D. Francisco de la Guardia y al Sargento primero.D. Andrés de Leon^ y á Portaguión al Soldado distifi*guido. D. Andrés Ximenez: en la Compañía urbana de Caballería de la ciudad de Cuba á Capitán al Subteniente D. Josef María Justiz; á Teniente</t>
  </si>
  <si>
    <t>de León, Francisco Antonio</t>
  </si>
  <si>
    <t>Francisco Antonio de León</t>
  </si>
  <si>
    <t>(Se continuará.) Madrid 79 de Marzo. En atención á los dilatados méritos y buenos servicios del Sr. Don Francisco Antonio de León, Oficial mayor primero de la Secretaría del Despacho Universal de Gracia y Justicia, se ha servido el Rey concederle honores y antigüedad de su Supremo Consejo de las Indias. Tamb</t>
  </si>
  <si>
    <t>de Lerma, Sebastián</t>
  </si>
  <si>
    <t>Sebastián de Lerma</t>
  </si>
  <si>
    <t>Id. id. Sebastian de Lerma. Hijo de Juan y de Francisca Santos, na­</t>
  </si>
  <si>
    <t>de Lezo, Blas</t>
  </si>
  <si>
    <t>Blas de Lezo</t>
  </si>
  <si>
    <t>grave ni leve, y estos fueron de la clase de Académicos D. Rodrigo Tavira, D. Juan Bautista Cerain, D. Blas de Lezo, D. Ignacio de Emparan, D. Juan Cevallos, y el Cadete de Reales Guardias Walonas D* Antonio Gilman: el Seminarista mayor D. Iñigo Órtés de Velasco, los Gefes de sala D. Josef Orté</t>
  </si>
  <si>
    <t>de Liano y Aior, Manuel María</t>
  </si>
  <si>
    <t>Manuel María de Liano y Aior</t>
  </si>
  <si>
    <t>Plasencia y Ciudad-Rodrigo á D. Josef Gorgonio de Galvez Cañero , Don Antonio Escovar, D. Manuel María de Liano y Aior, y D. Ignacio Rodríguez Moreno. También se ha servido el Rey conferir la Tenencia de Rey de la ciudadela de la plaza de Pamplona á D. Agustín Muñiz, Teniente Coronel agregado al E</t>
  </si>
  <si>
    <t>de Liaño y Córdoba, Ignacio</t>
  </si>
  <si>
    <t>Ignacio de Liaño y Córdoba</t>
  </si>
  <si>
    <t>eros D. Josef Hediger. En atención á los dilatados y distinguidos servicios del Comisario Ordenador D. Ignacio de Liaño y Córdoba, Veedor de la costa del Reyno de Granada , y á los particulares que contraxo en ocasión de hallarse afligida por la epidemia la ciudad de Velez-Málaga, se ha dignado el Rest conce</t>
  </si>
  <si>
    <t>de Lianza, Rafael</t>
  </si>
  <si>
    <t>Rafael de Lianza</t>
  </si>
  <si>
    <t>o conferir Compañía en el Regimiento de infantería de Guadálaxara al Ayudanter graduado de Capitán, D, Rafael de Lianza? Tenencias en los de Granada,-Voluntarios de Castilla y Nápolés á los Sub** tenientes D. Josef Aledo r D, Francisco-de Paula Exea y D. Jayme Beau^ Ibrt; y Subtenencia de bandera e</t>
  </si>
  <si>
    <t>de Lichtenstein, Juan (príncipe)</t>
  </si>
  <si>
    <t>Príncipe Juan de Lichtenstein</t>
  </si>
  <si>
    <t>ombre Francés, y jhtar uin testimonio de su amor ai Emperador. El 3 de Diciembre al anajniieccpr el Príncipe Juan de Lichtenstein, mandando el exército Austríaco,,ha tenido á encontrar al Emperador á su quartel general, establecido empina granja. Pía tenido con él una larga audiencia. Sin embargo, nosotrosli</t>
  </si>
  <si>
    <t>de Lichtenstein, Juán (príncipe)</t>
  </si>
  <si>
    <t>Príncipe Juán de Lichtenstein</t>
  </si>
  <si>
    <t>obentzeli^ que toda lá nación mira como uno dé lo# principales autores ¡de todas las desgracias. El Príncipe Juán de Lichtenstein ha venido á hablar al Emperador al palacio de Austerlitz. El Emperador conferenció con él muchas horas, Se nota que el Emperador ha recibido con agasajo á, este General. Este Prín</t>
  </si>
  <si>
    <t>de Lidon, Andrés</t>
  </si>
  <si>
    <t>Andrés de Lidon</t>
  </si>
  <si>
    <t>nombrado S. M. para dos plazas de Agentes del numero d! los de Indias, que han vacado por muerte de D. Andrés de Lidon y D. Josef María Uré, á D. Manuel Antonio Días y a D. Francisco Mo^“En ía°maraccion de la Real lotería executada el lunes ai del corriente, salieron los números 78,76, 26, 29 y 77; y</t>
  </si>
  <si>
    <t>de Lira, Francisco</t>
  </si>
  <si>
    <t>Francisco de Lira</t>
  </si>
  <si>
    <t>granaderos á Di Josef de Noya ; y de-fusileros á D. Francisco García deJPonce, D. Antonio Zainudio, D. Francisco de Lira, Don Josef Zarate y D. Manuel Nuñez; Subtenencia de granaderos á D. Fermín Albares; de fusileros á IX Dámaso Mesa, D. Marcelo Sanabria , Don Miguel Parra, D. Josef Mesa, D. Marian</t>
  </si>
  <si>
    <t>de Liria, Blas</t>
  </si>
  <si>
    <t>Blas de Liria</t>
  </si>
  <si>
    <t>á la rústica.=Genealogía de Gil Blas de Santillana: continuación de este famoso sugeto por su hijo D. Blas de Liria, restituida á la lengua original: i 20 rs. en pergamino y 24 en pasta, un tomo en 4*° igual á los de la obra, que en todo componen 8 tomos. = Elementos de farmacia teórica y práct</t>
  </si>
  <si>
    <t>de Litnonta, Manuel Francisco</t>
  </si>
  <si>
    <t>Manuel Francisco de Litnonta</t>
  </si>
  <si>
    <t>de ella: para otra Ración vacante en la propia Iglesia por translación de D. Josef Gabriel Ayvar á D. Manuel Francisco de Litnonta; y para la Media-Ración que este obtenía á D. Juan Talón, Capellán Castrense del castillo de la Roca, boca del Morro. El Rey se ha dignado promover á Ayudante veterano del Regimie</t>
  </si>
  <si>
    <t>de Llano Ponte, Juan</t>
  </si>
  <si>
    <t>Juan de Llano Ponte</t>
  </si>
  <si>
    <t>se ha servido nombrar para la Iglesia y Obispado de Oviedo, vacante por fallecimiento del limo. Sr. D. Juan de Llano Ponte, á D. Andrés Torres y Gómez, Dean y Canónigo de la de Jaca : para una Ganongía de la Catedral de Toledo, vacante por promoción de D. Pedro Antonio Trevilla al Obispado de Córdoba,</t>
  </si>
  <si>
    <t>de Lopetidt, Bartolomé</t>
  </si>
  <si>
    <t>Bartolomé de Lopetidt</t>
  </si>
  <si>
    <t>o en 8.° Se hallará en la librería de Montero, calle dé la Concepción Gcrónima; en Cádiz en casa de Don Bartolomé de Lopetidt, en Toiosa en casa del autor; y en las dichas se hallará la Semana-Hispano-Vascongada*, un tomo en 4.0 Gramática latina en verso castellano, ó modo nuevo de enseñar la lengua latí</t>
  </si>
  <si>
    <t>de Lorenzana y Buytron, Francisco Antonio</t>
  </si>
  <si>
    <t>Francisco Antonio de Lorenzana y Buytron</t>
  </si>
  <si>
    <t>l Casa de Caridad de la ciudad de Toledo, en sufragio y memoria de su fundador el Emo. y Excmo. Sr. D. Francisco Antonio de Lorenzana y Buytron, Cardenal de la Santa Iglesia Romana, Arzobispo que fué de Toledo &lt;Scc., dixo el día i.° de Agosto del año próximo pasado de 1804 en la Parroquia de Santa María Magdalena el M. R.</t>
  </si>
  <si>
    <t>de los Reyes, Antonio</t>
  </si>
  <si>
    <t>Antonio de los Reyes</t>
  </si>
  <si>
    <t>generalmente diéron muestra de su aprovechamiento, se distinguieron singularmente D. Pedro Farelo;, Don Antonio de los Reyes y D. Manuel Bonis en los tropos de retórica, mensura y calificación de todas qualidades.de versos; D. Manuel Segovia, Don Andrés Rodríguez, D. Manuel de Fuentes, D. Esteban García, D.</t>
  </si>
  <si>
    <t>de los Ríos, Fernando</t>
  </si>
  <si>
    <t>Fernando de los Ríos</t>
  </si>
  <si>
    <t>co, Ministro plenipotenciario en Milán; al Caballero Viérgol, Secretario de la Legación en Milán; á Don Fernando de los Ríos, agregado á la misma Legación; á D. Agustín Diiboyfe, Oficial de las Guardias de S. M.C.; y á D. Mateo Bolognini, Te-i mente de Fragata. , ^ FRANCIA. , París 2/ de Mayo. El 23, di</t>
  </si>
  <si>
    <t>de los Rios, Ignacio</t>
  </si>
  <si>
    <t>Ignacio de los Rios</t>
  </si>
  <si>
    <t>ano Patino, D. Miguel Fuñol, Don Manuel del Ribero Alonsoy D. Tiburcio Vivanco, D. Manuel Eusebio y*D. Ignacio de los Rios; Ayudantía mayor á D. Domingo Apodaca; Tenencia de granaderos á Di Josef de Noya ; y de-fusileros á D. Francisco García deJPonce, D. Antonio Zainudio, D. Francisco de Lira, Don Jo</t>
  </si>
  <si>
    <t>de los Ríos, Julián</t>
  </si>
  <si>
    <t>Julián de los Ríos</t>
  </si>
  <si>
    <t>n de Milicias urbanas de Chucuyto el empleo de Coronel á D. Josef de Guerra; la Tenencia Coronela á D. Julián de los Ríos; la Sargentía mayor á D. Martin Rodríguez de Cea; Compañía de granaderos á D. Juan Carrion, y de fusileros á D. Manuel Caballero, D. Josef Matías de Paredes, D. Diego de Sosa, D.</t>
  </si>
  <si>
    <t>de los Ríos, Vicente</t>
  </si>
  <si>
    <t>Vicente de los Ríos</t>
  </si>
  <si>
    <t>ores de la Artillería que han florecido en España desde los Reyes Católicos hasta el presente , por D. Vicente de los Ríos. Véndese este tomo, con los anteriores y demas obras tic la Academia, en su despacho, callejón que llaman del Infierno. Segunda edición de la obra intitulada Lecciones de comercio</t>
  </si>
  <si>
    <t>de Loyo y Treviño, Francisco Joaquín</t>
  </si>
  <si>
    <t>Francisco Joaquín de Loyo y Treviño</t>
  </si>
  <si>
    <t>D. Alvaro de Salazar y Vilches; para la Dignidad de Chantre, que este dexa, al Canónigo de la misma D. Francisco Joaquín de Loyo y Treviño: para laCanongía, que este obtenía, á D. Francisco de Paula Lobo y Campos: para el Arcedianato de Soria, Dignidad de la Catedral de Osma, vacante por muerte de D. Basilio Antonio</t>
  </si>
  <si>
    <t>de Lugo, Antonio María</t>
  </si>
  <si>
    <t>Antonio María de Lugo</t>
  </si>
  <si>
    <t>ia, vacante por promoción de D. Luis de la Encina al Obispado de Arequipa , áD. Antonio María de Lugo, Canónigo de ella; y para una Media-Ración de la de Córdoba, vacante por promoción de Don Pedro García Asenjo á Ración entera de ella, á D. Juan Antonio de Castro, Canónigo de la Colegial d</t>
  </si>
  <si>
    <t>de Luna, Juan</t>
  </si>
  <si>
    <t>Juan de Luna</t>
  </si>
  <si>
    <t>a dignado promover en el Batallón de infantería de la Concepción de Chile á Teniente al Subteniente D. Juan de Luna, y á Subteniente al Sargento primero D. Hilarión Gaspar; y á Teniente en el Cuerpo de dragones de la frontera del mismo Reyno al Alférez D. Nicolás Toledo. El.dia 2 de Setiembre p</t>
  </si>
  <si>
    <t>de Luna, Rafael</t>
  </si>
  <si>
    <t>Rafael de Luna</t>
  </si>
  <si>
    <t>D. Francisco Calderón, herido: D. Marcos Guruzeta id.: D. Joaquin Jorganes id.: D. Luis Moreno id.: D. Rafael de Luna id. Tenientes de Fragata. D. Rafael Bobadilla, muerto; D. Martin Urias id.: D. Pedro Moriano id.: D. Josef Roso id.: D. Manuel Ribera, herido: D. Juan del Busto id.: D. Ignacio de</t>
  </si>
  <si>
    <t>de Luna, Tomás</t>
  </si>
  <si>
    <t>Tomás de Luna</t>
  </si>
  <si>
    <t>nto primero DJ Josef Vicente Salas, y sencillos al Cadete D. Josef Dávila, á los Sargentos primeros D. Tomas de Luna y D. Cayetano Cárdenas, y á los vecinos de la jurisdicción del Regimiento D. Antonio Ochoa y D. Basilio Mendizabal; y empleos de Portaguión al Sargento segundo D. Francisco Esquivel y</t>
  </si>
  <si>
    <t>de Macia, Juan</t>
  </si>
  <si>
    <t>Juan de Macia</t>
  </si>
  <si>
    <t>dro Bonneti ; á Subrigadier ai Cadete Garzón D- Juan Delaris; á Cadete de número- al supernumeraria D. Juan de Macia; y á supernumerario al Guardia D. Víctor Bourg : y eñ Ja Compañía Americana del propio Real Cuerpo ha conferido el empleo de Alférez al Exento D. Francisco Carmona; el de Exento d</t>
  </si>
  <si>
    <t>de Mack, Barón</t>
  </si>
  <si>
    <t>Barón de Mack</t>
  </si>
  <si>
    <t>rra. Los nombres de los Generales Austríacos prisioneros son los siguientes: el Barón de Mack, Teniente General: el Príncipe de Hesse-Hombourg id.: el Barón de Hipschis id.: el Conde de Giulay id.: Quartel-Maestre general del exército del Principe Fernando: el Barón de Laudon id.: e</t>
  </si>
  <si>
    <t>de Manuel y Rodríguez, Miguel</t>
  </si>
  <si>
    <t>Miguel de Manuel y Rodríguez</t>
  </si>
  <si>
    <t>frente á las gradas de S. Felipe. Memorias para la vida del Santo Rey D. Fernando, dadas á luz por D. Miguel de Manuel y Rodríguez, Bibliotecario primero de los Reales Estudios de Madrid, quien las dedica á la Reyna nuestra Señora, que Dios guarde. El nombre del Padre Marcos Burriel, autor de estas memorias,</t>
  </si>
  <si>
    <t>de Marichalar, Miguel Antonio</t>
  </si>
  <si>
    <t>Miguel Antonio de Marichalar</t>
  </si>
  <si>
    <t>rid, de 24 años. Otro igual á D. Santiago Balleto, natural de Génova , de 24 años. Arquitectura, *a D. Miguel Antonio dé Marichalar, natural de Berástegui, de 2 5 años. Segunda clase\ Premios primeros. Medallas de oro de una onza. Pintura, á D. Marcos Antonio Menezo, nat.u, ral de Meruelo, de 23 años. Escultur</t>
  </si>
  <si>
    <t>de Martino, Juan Pedro</t>
  </si>
  <si>
    <t>Juan Pedro de Martino</t>
  </si>
  <si>
    <t>la Vara de Alcalde mayor de la ciudad de Teruel á D. Tomas Canét: para la de la ciudad de Tortosa á Don Juan Pedro de Martino; y para la de la villa de Cullera á D. Miguel Anto* nio Rodrigo: todas tres de segunda clase. En América. El Rey se ha servido nombrar para las Canongías Magistral , Penitenciaria</t>
  </si>
  <si>
    <t>de Masdeu, Juan Francisco</t>
  </si>
  <si>
    <t>Juan Francisco de Masdeu</t>
  </si>
  <si>
    <t>e Brusi, y en Valencia en la de Jorge. Historia crítica de España y de la cultura Española, obra de D. Juan Francisco de Masdeu: tomo 20: trata de la España restauradora. Se hallará,- con los anteriores, en la librería de Sancha, calle del Lobo. Continuación á la historia moral del nuevo Robinson, para la</t>
  </si>
  <si>
    <t>de Mata Araujo, Luis</t>
  </si>
  <si>
    <t>Luis de Mata Araujo</t>
  </si>
  <si>
    <t>el arte métrica, ortogrófíá , trppos y figuras retóricas,con qüe se completa el curso gramático,por Don Luis de Mata Araujo, profesor de latinidad en esta Corte: un tomo en 8. Se hallará en la librería de Baylo, calle de las Carretas, á 6 rs. en pergamino y 8 en pasta. Un divertimiento de Pteyel y 3 de</t>
  </si>
  <si>
    <t>s á la filosofía común de las lenguas, arreglado también á la latina para facilitar su estudio, por D. Luis de Mata Araujo, Preceptor de Humanidades en esta Corte: un tomo en &amp;.° Se hallará en la librería de Gómez Fuentenebro, calle de las Carretas, y en la de Burguíllos* frente á S. Sebastian, á 7 rs</t>
  </si>
  <si>
    <t>En los dias 18 y 19 de Junio celebró exámenes públicos de Gramática castellana y latina él profesor D. Luis de Mata Araujo, que vive en la calle del Caballero de Gracia. Presidió estos exercicios el Sr. D. Mariano Alonso, del Consejo de S. M., Alcalde de su Real Casa y Corte, por comisión del Supremo</t>
  </si>
  <si>
    <t>de Mata Ramos, Juan</t>
  </si>
  <si>
    <t>Juan de Mata Ramos</t>
  </si>
  <si>
    <t>e Guadalaxara; y para la Fiscalía de lo Civil y Criminal de la de Manila, en las islas Filipinas, á D. Juan de Mata Ramos , Abogado de los Reales Consejos. S. M. se ha servido conceder facultad á la villa de Falset para celebrar los miércoles y sábados de cada semana mercado publico de granos , pesca</t>
  </si>
  <si>
    <t>de Maurueza, Manuel</t>
  </si>
  <si>
    <t>Manuel de Maurueza</t>
  </si>
  <si>
    <t>puede haber eti España á moderados precios: un tomo en 8.° marquilla, á 6 rs. en rústica: su autor D. Manuel de Maurueza. Resumen sacado del inventario que se hizo en el año de 1793 de arneses ■antiguos, armas blancas y de fuego de la Real Armería, por D. Ignacio Abadía: en 8.°, á 8 rs. en pasta. .</t>
  </si>
  <si>
    <t>de Mazarredo, Ramón</t>
  </si>
  <si>
    <t>Ramón de Mazarredo</t>
  </si>
  <si>
    <t>s de comunicar á V. E. el laudable patriotismo promovido en esta.villa de Bilbao por los individuos D. Ramón de Mazarredo , D. Josef de César , y otros Caballeros que voluntariamente se han propuesto contribuir y fomentar una subscripción en beneficio de las viudas y desgraciadas familias de los mari</t>
  </si>
  <si>
    <t>de Medina, Juan</t>
  </si>
  <si>
    <t>Juan de Medina</t>
  </si>
  <si>
    <t>Málaga Subtenencia de bandera al Cadete D. Josef de Zayas; y en el de Nápoles Ayudantía al Teniente Don Juan de Medina, y Subtenencia de bandera al Cadete del Inmemorial del Rey D. Ramón Texeyro. J El Rey se ha servido conferir el Gobierno del castillo de S. Felipe de la Ria del Ferrol al Capitán</t>
  </si>
  <si>
    <t>: D. Manuel Ribera, herido: D. Juan del Busto id.: D. Ignacio del Valle id. Teniente de Bornbarela. D. Juan de Medina, muerto. Alféreces_de Navio. D. Luis Perez del Camino, muerto: D. Cayetano Picado id.: D. Ramón Echague id.: D. Pedro Nuñez, herido: D. Josef Losada id.: D. Pedro Brigloer id.: D.</t>
  </si>
  <si>
    <t>de Medina, Luis</t>
  </si>
  <si>
    <t>Luis de Medina</t>
  </si>
  <si>
    <t>de la Parroquia de Sto. Domingo de Silos de la ciudad deUbeda, en la de Jaén, por fallecimiento de D. Luis de Medina, á D. Simón Rivilla. El Rey se ha dignado conceder en el Regimiento de infantería de la Reyna Ayudantía al Teniente D. Gines Sánchez; y en el de León Subtenencia de bandera al Sar</t>
  </si>
  <si>
    <t>de Medina, Martín</t>
  </si>
  <si>
    <t>Martín de Medina</t>
  </si>
  <si>
    <t>e infantería de Nueva-España se ha servido el Rey promoverá Sargento mayor al Capitán de granaderos D. Martin de Medina; y á esta resulta al Capitán de fusileros D. Josef de Castro. El Rey se ha servido conferir la Tenencia Coronela del Regimiento de infantería de Puebla, en el Reyno de Nueva-Españ</t>
  </si>
  <si>
    <t>de Mella, Gabriel</t>
  </si>
  <si>
    <t>Gabriel de Mella</t>
  </si>
  <si>
    <t>Id. Art. Gabriel de Mella.. Hijo de D. Juan y de D.* Josefa Tejada,</t>
  </si>
  <si>
    <t>de Menchaca y Miguel de Cortázar, Miguel</t>
  </si>
  <si>
    <t>Miguel de Menchaca y Miguel de Cortázar</t>
  </si>
  <si>
    <t>dos buques. El expresado Comandante de Marina aplaude Ja actividad, y los esfuerzos de los Patrones D. Miguel de Menchaca y Don Miguel de Cortázar; y también hace justicia al zeh) con que los auxir</t>
  </si>
  <si>
    <t>de Menchaca, Miguel</t>
  </si>
  <si>
    <t>Miguel de Menchaca</t>
  </si>
  <si>
    <t>de pertrechos navales, procedentes. de S. Sebastian con destino al Ferrol, aLmando de los Patrones D. Miguel de Menchaca y D. Miguel de Cortazar. Al amanecer del 21 se advirtió que los 3 botes se mantenían apostados al abrigo de la costa-esperando saliesen las embarcaciones para atacarlas; en vista de l</t>
  </si>
  <si>
    <t>de Mendinueta, Miguel</t>
  </si>
  <si>
    <t>Miguel de Mendinueta</t>
  </si>
  <si>
    <t>de Mayo, la circular siguiente: El Excmo. Sr. D. Josef Antonio Caballero ha comunicado al limo. Sr. D. Miguel de Mendinueta , Decano Gobernador interino del Consejo, con fecha del 17 de este mes, la Real orden siguiente: „ Al R. Obispo de Málaga digo en este dia lo que sigue: El Comandante general de e</t>
  </si>
  <si>
    <t>de Jimio„ Con fecha de 22 del corriente ha comunicado el Excmo. Sr. D. Pedro Cevailos al limo. Sr. D. Miguel de Mendinueta , Decano Gobernador interino del Consejo, la Real orden siguiente: „Ilmo. Señor. El Rey ha determinado que'todas las pérso-nas domiciliadas ó transeúntes, en lar.provincia de Cast</t>
  </si>
  <si>
    <t>REY. =sYo D. Sebastian Piñuela, Secretario del Rey nuestro Señor, lo hice escribir por su mandado.=D. Miguel de Mendinueta. = D. Manuel dei Pozo.=:D. Domingo Fernandez de Campomanes.= D. Josef Navarro. = D. Antonio Ignacio de Cortavasría. = Registrada, D- Josef Alegre. =: Teniente de Canciller mayor,</t>
  </si>
  <si>
    <t>licencias, que previamente se habían pedido al Effio. Sr. Cardenal Arzobispo de Toledo, é limo. Sr. D. Miguel de Mendinueta, Ministro encargado á este fin por la Superioridad en este Partido; dio las mas oportunas y eficaces providencias en Julio del año pasado de 1804, para que escogido y señalado ant</t>
  </si>
  <si>
    <t>de Mendoza y Bobadilla, Francisco</t>
  </si>
  <si>
    <t>Francisco de Mendoza y Bobadilla</t>
  </si>
  <si>
    <t>nta María, Obispo de Búrgps, el Padre Diego lainez, Fr. Gerónimo de Gracian, D. Josef del Campillo, D. Francisco de Mendoza y Bobadilla, y D. Alfonso de Cartagena, dibuxados y grabados por los mejores profesores.Españole*. Véndese á 60 rs. con el epítome y á 50 sin él en el despacho de la Calcografía establecida e</t>
  </si>
  <si>
    <t>de Mera y Pereyra, Joaquín</t>
  </si>
  <si>
    <t>Joaquín de Mera y Pereyra</t>
  </si>
  <si>
    <t>érez de la Real Brigada de Carabineros al de la propia clase del Regimiento de caballería de Borbon D. Joaquín de Mera y Pereyra,y ha conferido su resulta á D. Joaquín María de Campos, Carabinero de distinción de dicho Real Cuerpo. El Rey se ha servido promover á Sargento Mayor del Regimiento de infantería</t>
  </si>
  <si>
    <t>de Miguel, Joaquín</t>
  </si>
  <si>
    <t>Joaquín de Miguel</t>
  </si>
  <si>
    <t>tiz de Zarate, D. Domingo Antonio Loriga, D. Joaquín Montenegro, D. Miguel Panes, D. Ramón Cucalón, D. Joaquín de Miguel, D. Cristóbal de Reyna, D. Ramón Tovar y D. Joaquín Crame. El Emo. Sr. D. Luis de Borbon , Cardenal de Scala, y Arzobispo de Toledo, ha dirigido al Excmo. Sr. Príncipe de la Paz e</t>
  </si>
  <si>
    <t>de Milla Cuellaf, Ramón</t>
  </si>
  <si>
    <t>Ramón de Milla Cuellaf</t>
  </si>
  <si>
    <t>superficiales, tasada en s 13© rs. Quien quisiere hacer postura acuda á la escribanía del número de D. Ramón de Milla Cuellaf. A voluntad de&gt; su dueño se vende una casa en la calle ancha de S. Bernardo, esquina d, la de la Palma, núm. 2, manz. 493, de nueva construcción, tasada en 464,307 rs. Quien qifis</t>
  </si>
  <si>
    <t>de Milla Cuellar, Ramón</t>
  </si>
  <si>
    <t>Ramón de Milla Cuellar</t>
  </si>
  <si>
    <t>Cónsul, del Consejo dé S. M., primer Teniente Corregidor dé esta Villa, y escribanía del número de Don Ramón de Milla Cuellar, se ha mandado Volver á sacar á pública subasta, por término de 1 5 dias, una casa sita én la plazuela de Herradores, núm. 3, manz. 412, tasada en 63,365 rs.; y se ha señalado par</t>
  </si>
  <si>
    <t>una de su mañana. Quien quisiere hacer postura., acuda ante dicho Señor, y escribanía del número de D. Ramón de Milla Cuellar. A voluntad de sus dueños se vende una casa, sita en esta Corte, en la calle del Ave María, que vuelve á la de S.Simón, núm. 8, manz. 28, tasada en 161,087». Quien quisiere hacer</t>
  </si>
  <si>
    <t>en 62,196 rs. Quien quisiere hacer postura, acuda ante dicho Señor, por la escribanía del número de D. Ramón de Milla Cuellar. Por providencias del Sr. D. Torquato Antonio Collado , del Consejo de S. M., Teniente Corregidor de esta villa, executoriadas por el Consejo, se han mandado subastar por otros. 3</t>
  </si>
  <si>
    <t>ia de S. S. Quien quisiere hacer postura,, acuda ante dicho Señor , por la escribanía del número de D, Ramón de Milla Cuellar. Por providencia del referido.Sr.Teniente se ha mandado volver á sacar á publica subasta,por término de 9 dias,,1a granja ó cortijo titulado del Campillo, sita en término de la vi</t>
  </si>
  <si>
    <t>de Milla CueMar, Ramón</t>
  </si>
  <si>
    <t>Ramón de Milla CueMar</t>
  </si>
  <si>
    <t>e hacer postura á todas, ó cada una, acuda ante el referido Sr. Teniente, y escribanía numeraria de D. Ramón de Milla CueMar, donde se admitirán las que se hicieren hasta dicho dia señalado para su remate, como no sea en méaos de la cantidad de su tasa, y á metálico. Por providencia dél Sr. D. Ramón Nav</t>
  </si>
  <si>
    <t>de Milla y Cuellar, Ramón</t>
  </si>
  <si>
    <t>Ramón de Milla y Cuellar</t>
  </si>
  <si>
    <t>rs., y ambos en la total de 43©. Quien quisiere hacer postura, acuda á la escribanía del número de D. Ramón de Milla y Cuellar. A voluntad de su dueño, con facultad Real, y por providencia del Sr. D. Manuel Vicente de Torres Cónsul, del Consejo de S. M., Teniente Corregidor de esta villa, se vende un títu</t>
  </si>
  <si>
    <t>ntonio Collado, del Consejo de S. M.t Teniente Corregidor de esta villa, y escribanía del número de D. Ramón de Milla y Cuellar, se ha mandado se vuelvan á sacar á pública subasta 3 casas pertenecientes á memorias, señalando para su remate el dia 5 de Noviembre próximo, á las puertas de la audiencia de S.</t>
  </si>
  <si>
    <t>cente de Torres, del Consejo de S. M., Teniente Corregidor de esta villa, y escribanía de;número de D. Ramón de Milla y Cuellar, conseqüente á lp resuelto en fecha de 3 1 de Qcjtubre prójimo ppr la Comisión gubernativa, se ha mandado sacar al pregón y pública subasta por el término ordinario de 30 dia$ &gt; c</t>
  </si>
  <si>
    <t>del Sr. D. Manuel Vicente de Torres, Teniente Corregidor de esta villa, y escribanía del humero de D. Ramón de Milla y Cuellar, se ha señalado para (el: remate de una casa sita en esta Corte.en la red de S. Luis, núm 1 2, manz. 343 ,lque comprehende 2050 pies de sitiotasada en 98,497 rsv., el día 13 deL c</t>
  </si>
  <si>
    <t>de Milla, Ramón</t>
  </si>
  <si>
    <t>Ramón de Milla</t>
  </si>
  <si>
    <t>ip ^ofl^dp,, &lt;jel-Concejo, de S.rM.,. Teniente Corregidor de esta villa, y escribanía de niVmero de D. Ramón de Milla, y Cuellar, conseqüente á lo resuelto en 3p dje Octubre prpximo por lajCondsion gubernativa, se han mandado sacar, al pregón y pública, subasta por iétmtnp de 30, dias, que; empez</t>
  </si>
  <si>
    <t>de Miramond, Manuel</t>
  </si>
  <si>
    <t>Manuel de Miramond</t>
  </si>
  <si>
    <t>de Teniente Coronel, D. Francisco Merino: el empleo de Capitán primero del mismo Cuerpo al segundo D. Manuel de Miramond; y la Subtenencia de bandera al Cadete D. Juan Ignacio Cervera. En los Regimientos de infantería de Africa, Sevilla y Voluntarios dé la Corona se ha servido el Rey conceder Subten</t>
  </si>
  <si>
    <t>de Miravall, Fernando Martín</t>
  </si>
  <si>
    <t>Fernando Martín de Miravall</t>
  </si>
  <si>
    <t>lteras, en que muriéron. Se publica este aviso, para que los interesados, si los hubiere, remitan á D. Fernando Martin de Miravall, vecino de la ciudad de Tortosa, los documentos justificativos del parentesco, dentro del término de 30 dias, pues concluido este, se procederá á las diligencias testamentarias, c</t>
  </si>
  <si>
    <t>de Molina, Antonio</t>
  </si>
  <si>
    <t>Antonio de Molina</t>
  </si>
  <si>
    <t>os retratos de SS. MM.s También se hallará en el mismo despacho el Estado Militar en 8.° marquilla. D. Antonio de Molina, Regidor de la ciudad de Tortosa, en Cataluña, murió en 11 de Diciembre de 1803, nombrando por herederos á los parientes mas inmediatos de su difunta tia Doña Ana Valcazar, natura</t>
  </si>
  <si>
    <t>de Moncada y Botia, Francisco Ramón</t>
  </si>
  <si>
    <t>Francisco Ramón de Moncada y Botia</t>
  </si>
  <si>
    <t>dia de Corps de la Compañía Americana: para otra de la Catedral de Cartagena, vacante por muerte de D. Francisco Ramón de Moneada y Botia, á D. Andrés Ortuño, Cura de la Parroquia de S. Lorenzo de Murcia: para una Ración de la Colegial de la villa de Roa, Diócesi de Osma, vacante por promoción de Don Manuel Ramírez</t>
  </si>
  <si>
    <t>de Montoya, Manuel María</t>
  </si>
  <si>
    <t>Manuel María de Montoya</t>
  </si>
  <si>
    <t>6;n Diócesis de Cuenca , cacantes por renuncia de D. Manuel María de Montoya, á D. Josef Alcega y García. El Rey se ha servido nombrar para la Dignidad Real de Dean de la'Ca^ tedral de Vique, vacante por fallecimiento de D. Francisco Hóría, á Dóh Josef de</t>
  </si>
  <si>
    <t>de Mora y Castillejo, Antonio</t>
  </si>
  <si>
    <t>Antonio de Mora y Castillejo</t>
  </si>
  <si>
    <t>o dei referido D. Juan María de Mora, se expide el diploma correspondiente á dicho título á su hijo D. Antonio de Mora y Castillejo, libre también de lanzas y media anata por solo su vida. * ■ En América. El Rey se ha servido nombrar Subteniente de bandera del Regimiento de infantería de Puebla, en Nueva-Españ</t>
  </si>
  <si>
    <t>de Mora y Lomas, Pedro</t>
  </si>
  <si>
    <t>Pedro de Mora y Lomas</t>
  </si>
  <si>
    <t>del tercer Regimiento del propio Real Cuerpo. Por providencia del Sr. Intendente de esta Provincia D. Pedro de Mora y Lomas se han señalado 30 días, contados desde el 16 del corriente, para la mejora</t>
  </si>
  <si>
    <t>de Mora, Juan María</t>
  </si>
  <si>
    <t>Juan María de Mora</t>
  </si>
  <si>
    <t>D. Josef Navarro. Por Real decreto de 23 de Enero de este año se sirvió el Rey t para recompensar á D. Juan María de Mora, vecino de la ciudad de Granada, él precio de una de las Contadurías de la Renta de población de la misma y su Rey no, incorporada á la Corona, y en atención á lo ilustre de su fa</t>
  </si>
  <si>
    <t>de Morales y Palma, Sebastián</t>
  </si>
  <si>
    <t>Sebastián de Morales y Palma</t>
  </si>
  <si>
    <t>on a(gunos de fuera, qué concurrieron á honrar .estos exercicios pueriles. JE1 ¡generoso compatrono D. Sebastian de Morales y Palma, deseoso, del mayor .progreso de ios niños &lt;jue concurren á su establecimiento, premió á los sobresalientes, y agasajo á los demas para estimularlos á la aplicación de las’letras.</t>
  </si>
  <si>
    <t>de Morales, Andrés</t>
  </si>
  <si>
    <t>Andrés de Morales</t>
  </si>
  <si>
    <t>S. M. para la plaza de Fiscal del Crimen de la Audiencia de Guatemala, vacante por fallecimiento de D, Andrés de Morales, á D. Josef Isidro Yañez, Auditor de Guerra de Marina en Puerto Cabello. El Mercurio de España de i 5 de Julio, núm. 13, se hallará en el despacho de la Imprenta Real; en el Real</t>
  </si>
  <si>
    <t>de Moría, Tomás</t>
  </si>
  <si>
    <t>Tomás de Moría</t>
  </si>
  <si>
    <t>Gobierno Militar y Político de la plaza de Cádiz; cuyos empleos resultaron vacantes poif salida de D. Tomas de Moría. S. M. se ha servido conferir el empleo de Mari$fal de Campo de sus Exércitos al Brigadier D. Joaquín Ferrandiz. i . El Rey se ha servido conferir la Tenencia Coronela del Regimie</t>
  </si>
  <si>
    <t>de Móxawitzky, Conde</t>
  </si>
  <si>
    <t>Conde de Móxawitzky</t>
  </si>
  <si>
    <t>Hacienda , exerce las funciones de primer Ministro y Presidente del Consejo; el Conde de Móxawitzky, Ministro de los Negocios eclesiásticos y de la instrucción pu—</t>
  </si>
  <si>
    <t>de Murguía, Joaquín</t>
  </si>
  <si>
    <t>Joaquín de Murguía</t>
  </si>
  <si>
    <t>rs. en rústica y 136 en pasta. # Andantino, con variaciones para clave ó forte-piano, compuesto por D. Joaquín de Murguía, Prebendado Organista de la Santa Iglesia de Málaga. Se hallará en el almacén de música de D. Mateo Mintegui, carrera de S. Gerónimo, donde se halla toda clase de música y papel r</t>
  </si>
  <si>
    <t>de Muy, Conde</t>
  </si>
  <si>
    <t>Conde de Muy</t>
  </si>
  <si>
    <t>rdias de infantería Walona se ha servido S. M. promover á Capitán á D. Carlos , Conde de Muy , Teniente del mismo Cuerpo. í El Rey sé ha servido concedér; Tenencias en los Regimientos de Infantería de Extremadura y Malaga á los Subtenientes D. Josef Oníáony, D. Lorenzo Gómez y D. Ra</t>
  </si>
  <si>
    <t>de Muzquiz, Martín Xavier</t>
  </si>
  <si>
    <t>Martín Xavier de Muzquiz</t>
  </si>
  <si>
    <t>de Nava y Noroña. También ha nombrado S M. para el Corregimiento de Letras de la ciudad de Soria á D. Martin Xavier de Muzquiz : para igual Corregimiento del Estado de los Pedroches de Córdoba, su capital Pozoblanco, á D. Dionisio Catalan ; y para la Vara de Alcalde mayor de la ciudad de Almería á D. Dalm</t>
  </si>
  <si>
    <t>de Nava y Noroña, Juan</t>
  </si>
  <si>
    <t>Juan de Nava y Noroña</t>
  </si>
  <si>
    <t>Bernad y Vargas; de Plasencia, en la Provincia de Extremadura, á D. Josef del Aguila; y de Ecija á D. Juan de Nava y Noroña. También ha nombrado S M. para el Corregimiento de Letras de la ciudad de Soria á D. Martin Xavier de Muzquiz : para igual Corregimiento del Estado de los Pedroches de Córdoba, su</t>
  </si>
  <si>
    <t>de Oberto, Francisco</t>
  </si>
  <si>
    <t>Francisco de Oberto</t>
  </si>
  <si>
    <t>uintana; empleos de Teniente al de la misma dase agregado D. Miguel de Angulo, y á los Subtenientes D. Francisco de Oberto y D. Bartolomé Cordero; y de Subtenientes á los Cadetes D. Andrés Vaibuena , D. Josef de Cangas y D. Lorenzo de Cangas. El Teniente de Navio D. Manuel Moscoso Peñaranda ha dad© cuenta</t>
  </si>
  <si>
    <t>de Obregoa, Andrés</t>
  </si>
  <si>
    <t>Andrés de Obregoa</t>
  </si>
  <si>
    <t>, D. Mariano de Otero y D. Pedro de Otero; y á Portaguiones á D. Antonio de Velasco y Pérea Galvez, D. Andrés de Obregoa y D. Juan ele Pesquera, vecinos de la de-* marcación dei Regimiento. S. M. se ha servido promover á Teniente Veterano, con funciones de Ayudante de la Plana mayor de Blancos agregada</t>
  </si>
  <si>
    <t>de Olavarrieta y Ur, Francisco</t>
  </si>
  <si>
    <t>Francisco de Olavarrieta y Ur</t>
  </si>
  <si>
    <t>orte: para la Prestamera de Tresjuncos, en el-Obispado de Cuenca, vacante por renuncia que ha hecho D. Francisco de Olavarrieta y Ur-. quijo, á D. Josef María Anchuelo y Guztnan: para la Media-Prestamera de Ja Parroquia de S. Isidoro de la ciudad de Ubeda, en el Obispado de Jaén, vacante por fallecimiento de D.</t>
  </si>
  <si>
    <t>de Orbe y Larreategui, Andrés</t>
  </si>
  <si>
    <t>Andrés de Orbe y Larreategui</t>
  </si>
  <si>
    <t>. Serafín Tornas Miguel, del Orden de Predicadores, inéditas = XI. Preces del Arzobispo de Valencia D. Andrés de Orbe y Larreategui al Papa Benedicto xill,,.pidiéndole que concediese á su Diócesi el uso del antiguo oficio de passione im.rgbiis para el dia 9 de Noviembre, en que se celebra fiesta al Santísimo C</t>
  </si>
  <si>
    <t>de Ortega y Rengel, Antonio</t>
  </si>
  <si>
    <t>Antonio de Ortega y Rengel</t>
  </si>
  <si>
    <t>ñía fixa del Peñón D. Vicente.. Bausa: Compañía en el de Aragón al Ayudante, graduado de Capitán,.. D. Antonio de Ortega y Rengel : Subtenencias de bandera en los Batallo-nfes de Voluntarios primero de Barcelona y de Valencia al Sargento primero D. Bart¿ lome Vilardelly al Cadete D. Andrés Vicedo; y en el de</t>
  </si>
  <si>
    <t>de Osma y Tricio, Gaspar Antonio</t>
  </si>
  <si>
    <t>Gaspar Antonio de Osma y Tricio</t>
  </si>
  <si>
    <t>dexa i D. Tomas Ignacio, Pato meque; y para la. de Alcaide: deL crimen que este obtenía en ella, á D. Gaspar Antonio de Osma y Tricio^ Abogado de los Reales Consejos. Finalmente se ha dignado S. M. conceder á R Diego.Miguel Bravo, del Ribero, Regidor dé la ciudad de-Lima, honores y.antigüedad de Alcaldedel crime</t>
  </si>
  <si>
    <t>de Otaegui, Sebastián</t>
  </si>
  <si>
    <t>Sebastián de Otaegui</t>
  </si>
  <si>
    <t>sa sita en el pretil de Palacio , números ry 3, maní. 438. Qiiienujuierá tratar de ajuste acudirá a D. Sebastian de Otaegui. que vive eii.Puerta^cerrada, esquinaá la Caba baxa, núm. ó, quarto segundo. Con referencia é lo jpubtícado en la Gazeta del viérnes4 de Octubre próximo pasado, respecto á la. gra</t>
  </si>
  <si>
    <t>de Otañes, Domingo Pedro</t>
  </si>
  <si>
    <t>Domingo Pedro de Otañes</t>
  </si>
  <si>
    <t>ach}oz, Jaén, Logroño , Tuy, Oviedo, Segovia y Lugo á D, Alonso Sánchez Diosdado, P. Juan de Lomas, D. Domingo Pedro de Otañes, D. Juan Felipe Correa, D. Félix de las Ala? y Pumanúo , D. Manuel .del Riego Pica, y D. Joaquín María López Varela y Lemo?. . S. M. se ha servido promover en el Real Cuerpo de In</t>
  </si>
  <si>
    <t>de Otero, Tomás Domingo</t>
  </si>
  <si>
    <t>Tomás Domingo de Otero</t>
  </si>
  <si>
    <t>ndicó los principales y mas memorables hechor de la Sociedad en el último año. Siguió el Secretario D. Tomas Domingo de Otero leyendo el compendio de las actas de la Sociedad, desde el dia 9 de Diciembre del año anterior, en que se celebró la última junta pública, basta el día 5 de este mes: elVice-Direc</t>
  </si>
  <si>
    <t>de Oviedo, Nicolás</t>
  </si>
  <si>
    <t>Nicolás de Oviedo</t>
  </si>
  <si>
    <t>as de caballería de Lampa, en el Reyno del Perú, se ha dignado S.M. conceder el empleo de Coronel á D. Nicolás de Oviedo; el de Teniente Coronel á D. Manuel de Herrera; Comandancias á D. Melchor Goizueta y D. Narciso Basagoitta ; Sargentía mayor á D. Ramón del Valle ; Compañía de carabineros á D. Jo</t>
  </si>
  <si>
    <t>de Oxinaga, Antonio María</t>
  </si>
  <si>
    <t>Antonio María de Oxinaga</t>
  </si>
  <si>
    <t>Ja de Avila, vacante por promoción de D. Antonio Gutiérrez al de Candeleda, en la misma Diócesi, á D. Antonio María de Oxinaga, Cura del lugar de Lejona, en la de Calahorra; y,para el Medio-Préstamo de ValYerde, en el Arzobispado de Toledo, vacante por promoción de D. Sebastian Benitez á una Canongía de P</t>
  </si>
  <si>
    <t>de Palacio, Manuel</t>
  </si>
  <si>
    <t>Manuel de Palacio</t>
  </si>
  <si>
    <t>a; y para el Beneficio de Santa María de Almansa, en el Obispado de Cartagena, por fallecimiento de D. Manuel de Palacio, á D. Sebastian Martínez de Mollinedo. El dia 28 de Setiembre del año próximo pasado falleció, á los 69 años de su edad, el Dr. D. Jayme Pascual, Canónigo Regular Premonstratense,</t>
  </si>
  <si>
    <t>de Palafox y Cróy, Antonio</t>
  </si>
  <si>
    <t>Antonio de Palafox y Cróy</t>
  </si>
  <si>
    <t>P. M. Risco y Abate Masdeu sobre el verdadero sitio de la antigua Segobríga, dirigida al limo. Sr. Don Antonio de Palafox y Cróy, Obispo que fué de Cuenca, por D. Jácome Capistrano de Moya, Cura Párroco de la villa de. la Fuente de Pedro Naharro, del mismo Obispado: un tomo en quarto. Se hallará en la libre</t>
  </si>
  <si>
    <t>de Palomino, Juan</t>
  </si>
  <si>
    <t>Juan de Palomino</t>
  </si>
  <si>
    <t>ada estampa el atributo en que mas resplandeció el Santo ó Virgen, cuyos dibuxos los debió procurar D. Juan de Palomino, qqe grabó 43 de los originales ó copias mas auténticas. Se hallará el juego, á 24 rs., en la librería de Escribano, calle de las Carretas, y en la sacristía de Atocha: la estampa</t>
  </si>
  <si>
    <t>de Paula Aguilera, Francisco</t>
  </si>
  <si>
    <t>Francisco de Paula Aguilera</t>
  </si>
  <si>
    <t>53° . Colegial de Antequera, en la de Málaga, por fallecimiento de D. Francisco de Paula Aguilera, á D. Cayetano Palomo: para una Canongía dé la Colegial de Cervatos , en la de Burgos, vacante por muerte de Don Pedro Gutiérrez del Piélago , á D. Francisco- Antonio Alonso , Cur</t>
  </si>
  <si>
    <t>de Paula Andradé, Francisco</t>
  </si>
  <si>
    <t>Francisco de Paula Andradé</t>
  </si>
  <si>
    <t>iéron á esta tentativa fueron Di Camilo Garéía y. Bálcaneras, D.' Antonio Miqueli, D. Ramón Martin, D. Francisco de Paula Andradé; D. Pablo T/opeñ ; D.' Francisco.Aguirre , D. Antonio Monasterio, Di Manuel Vito Rarbajosa, D. Josef Vázquez, D. Domingo Perez4 D. Antonio Roxásy Di Antonio* Claros, D. Alexo Fari</t>
  </si>
  <si>
    <t>de Paula Antonio María, Francisco</t>
  </si>
  <si>
    <t>Francisco de Paula Antonio María</t>
  </si>
  <si>
    <t>r se vistió la Corte de gala en el Real Sitio de Aranjuez con motivo del cumpleaños del Sr. Infante Don Francisco de Paula Antonio María, hijo tercero del Rey. S. M. se ha servido conferir en el Regimiento de infantería de Extremadura la Sargentía mayor al Capitán de granaderos , graduado de Teniente Coronel, D. Jo</t>
  </si>
  <si>
    <t>de Paula Antonio, Francisco</t>
  </si>
  <si>
    <t>Francisco de Paula Antonio</t>
  </si>
  <si>
    <t>a se vistió la Corte de gala en el Real Sitio de Aranjuez, con motivo de los dias del Señor Infante Don Francisco de Paula Antonio, hijo tercero del Rey. El Rey se ha servido nombrar para el Priorato de Veíate , Dignidad de la Catedral de Pamplona , vacante por fallecimiento de D. Francisco Xavier de Eguia, á</t>
  </si>
  <si>
    <t>de Paula Cocostegui, Francisco</t>
  </si>
  <si>
    <t>Francisco de Paula Cocostegui</t>
  </si>
  <si>
    <t>n de D. Tomas Martínez Carayol a otro Beneficio de la Parroquia de Sta. María de la misma ciudad, á D. Francisco de Paula Cocostegui. j En América. El Rey se ha servido nombrar para la primera de dos Canongías que han vacado en la Metropolitana de Lima, por fallecimiento de D. Juan de Bordanave y D. Bartolomé B</t>
  </si>
  <si>
    <t>de Paula Díaz, Francisco</t>
  </si>
  <si>
    <t>Francisco de Paula Díaz</t>
  </si>
  <si>
    <t>y se ha servido nombrar para la Canongía Doctoral de la Colegial de Antequera, Diócesi de Málaga, á D. Francisco de Paula Diaz : para la Dignidad de Prior de la Catedral de la ciudad de Cuenca, vacante por muerte de D. Andrés Tirado, á D. Josef Amarilla, con retención de la Canongía que le ha conferido en</t>
  </si>
  <si>
    <t>de Paula Gomila, Francisco</t>
  </si>
  <si>
    <t>Francisco de Paula Gomila</t>
  </si>
  <si>
    <t>orca, y unido con otros 6, también vacantes en la misma Parroquia por muerte de D. Tomas Forteza, á D. Francisco de Paula Gomila: para un Beneficio de residencia, baxo la invocación de la Santi</t>
  </si>
  <si>
    <t>de Paula Lobo y Campos, Francisco</t>
  </si>
  <si>
    <t>Francisco de Paula Lobo y Campos</t>
  </si>
  <si>
    <t>l Canónigo de la misma D. Francisco Joaquín de Loyo y Treviño: para laCanongía, que este obtenía, á D. Francisco de Paula Lobo y Campos: para el Arcedianato de Soria, Dignidad de la Catedral de Osma, vacante por muerte de D. Basilio Antonio de Rábago , á D. Raymundo Albrizano, Canónigo Penitenciario de la Colegial</t>
  </si>
  <si>
    <t>de Paula Marti, Francisco</t>
  </si>
  <si>
    <t>Francisco de Paula Marti</t>
  </si>
  <si>
    <t>io extraordinario de otra medalla también de plata de 4 onzas, que costeó el Profesor de la escuela Don Francisco de Paula Marti, á D. Francisco Ginesta; y asimismo se hizo la distribución de otros 3 premios extraordinarios costeados por el zelo del Excmo. Sr. Duque de Frias, Socio de número contribuyente,</t>
  </si>
  <si>
    <t>de Paula Martí, Francisco</t>
  </si>
  <si>
    <t>Francisco de Paula Martí</t>
  </si>
  <si>
    <t>ido; convendrá que tengan principios de gramática ; y deberán presentarse en todo el presente mes á D. Francisco de Paula Martí, que vive en la calle de Francos, número 16, esquina á la plazuela de Jesús, quarto principal. En la extracción de la Real lotería executada el lunes 26 del corriente, salieron lo</t>
  </si>
  <si>
    <t>de Paula Moreno, Francisco</t>
  </si>
  <si>
    <t>Francisco de Paula Moreno</t>
  </si>
  <si>
    <t>miento que S. M. hizo en D. Estéban Querol, por su decreto de 24 de Julio del año próximo pasado, á D. Francisco de Paula Moreno, Teniente de Cura de la Parroquia de la villa del Berrocal, ambos con carga de residencia personal y de ayudar al respectivo Párroco en#las funciones de su ministerio: para el Ben</t>
  </si>
  <si>
    <t>de Paula Padial, Francisco</t>
  </si>
  <si>
    <t>Francisco de Paula Padial</t>
  </si>
  <si>
    <t>de la ciudad de Antequera á D. Pablo Jover y Placies; y para la de las ciudades de Vera y Moxacar á D. Francisco de Paula Padial. En América. El Rey se ha dignado conferir el Gobierno Militar y Político de la antigua California, en el Reyno de Nueva España, al Capitán D. Felipe Goycoechea, Comandante del Pr</t>
  </si>
  <si>
    <t>de Paula Soler, Francisco</t>
  </si>
  <si>
    <t>Francisco de Paula Soler</t>
  </si>
  <si>
    <t>a, con retención de lá bandolera que obtiene en la Compañía Española de Reales Guardias de Corps, á D. Francisco de Paula Soler. Desde i.° del próximo Diciembre se recibirán en la Tesorería mayor y en las de Exército las acciones dei Real empréstito de 240 millones de rear* les, las 2($) de ellas señaladas</t>
  </si>
  <si>
    <t>de Paula Tablada, Francisco</t>
  </si>
  <si>
    <t>Francisco de Paula Tablada</t>
  </si>
  <si>
    <t>argento primero de granaderos Don Manuel Fernandez en el de Extremadura al Cadete del Fixo de Ceuta Don Francisco de Paula Tablada; y en el de Voluntarios de Estado á los Cadetes D; Juan Luq y Tarifa y D. Julián Losada. El Rey se ha servido conceder en el Regimiento de infantería de Voluntarios de Castilla Su</t>
  </si>
  <si>
    <t>de Paula Uclés de Herrera y Ramírez, Francisco</t>
  </si>
  <si>
    <t>Francisco de Paula Uclés de Herrera y Ramírez</t>
  </si>
  <si>
    <t>o y Carrasco, D. Tomas Orive y Viana, D. Luis Tarber— né y Pavía, D. Josef Herrera Dávila y Albear, D. Francisco de Paula Uclés de Herrera y Ramírez, D. Diego Entrena y Mosquera, D. Manuel Cavaleri y Arana, D. Agustín del Barco y la Cendeja, D. Francisco Rio Espina y Aracil. D. Pablo de la Puente y Aranguren* D. Luis Cepeda y</t>
  </si>
  <si>
    <t>de Paz, Pedro</t>
  </si>
  <si>
    <t>Pedro de Paz</t>
  </si>
  <si>
    <t>os Calderón y D. Melchor Mogollon; y de bandera ai Sargento primero D. Juan Armendariz, y al Cadete D. Pedro de Paz: en el de dragones de Milicias de Lima Tenencia de granaderos al Terniente D. Vicente Salinas ; Tenencia al Subteniente D. Ignacio Cabero Tagle, y empleo de Portaguión al'Cadete.</t>
  </si>
  <si>
    <t>de Penal, Luis</t>
  </si>
  <si>
    <t>Luis de Penal</t>
  </si>
  <si>
    <t>ra, á Don Bartolomé de las Heras, Obispo del Cuzco; y para el de Guatemala, vacante por renuncia de D. Luis de Penal ver y Cárdenas, á D. Rafael de la Vara, Obispo Auxiliar de Santa Cruz de la Sierra: para el Deanato de la Metropolitana de Lima, vacante por muerte de D. Francisco de Santiago Con</t>
  </si>
  <si>
    <t>de Peñalosa, Juan Esteban</t>
  </si>
  <si>
    <t>Juan Esteban de Peñalosa</t>
  </si>
  <si>
    <t>Gregorio Martin Velasco: Capitanes en el Regimiento deMiiicias urbanas de infantería de Moquegua á D. Juan Esteban de Peñalosa y D. Juan Marcos de Angulo: Capitán en el Regimiento de Milicias urbanas de dragones de Chota á D. Ciríaco Arteaga. El Rey se ha servido nombrar para una plaza de Alcalde del Crimen d</t>
  </si>
  <si>
    <t>de Perea, Ramón</t>
  </si>
  <si>
    <t>Ramón de Perea</t>
  </si>
  <si>
    <t>sus memoriales, con los méritos de su facultad que á cada uno acompañen, hasta el dia.6 de Abril, á D. Ramón de Perea, Alcalde ordinario por el estado noble de dicha villa. Real Cédula de S. M. y Señores del Consejo, por la qual se manda suspender la práctica de la nueva Ordenanza de Montes de Ma</t>
  </si>
  <si>
    <t>de Pina y Ruiz, Juan</t>
  </si>
  <si>
    <t>Juan de Pina y Ruiz</t>
  </si>
  <si>
    <t>o un negociante particular, sin privilegio alguno que le distinga. En virtud de providencia del Sr. D. Juan de Pina y Ruiz, Caballero profeso del Orden de Santiago, Regidor perpetuo de la ciudad de Murcia, Intendente de los Reales Exércitos, con ejercicio en el de Castilla la Nueva, dada ante D. Vicen</t>
  </si>
  <si>
    <t>de Pinedo, Agustín</t>
  </si>
  <si>
    <t>Agustín de Pinedo</t>
  </si>
  <si>
    <t>es de Buenos- Ayres se ha servido el Rey promover á Sargento mayor al Capitán, graduado de Coronel, D. Agustín de Pinedo: á Capitán al Ayudante D. Manuel Alvarez: á Ayudante al Teniente D. Manuel Garayo: á Tenientes á los Alféreces D. Pedro N Rasco García y D. Cristóbal Minguez: á Alféreces á los Po</t>
  </si>
  <si>
    <t>de Ponte, Manuel</t>
  </si>
  <si>
    <t>Manuel de Ponte</t>
  </si>
  <si>
    <t>Id. Art. Manuel de Ponte.. Hijo de Santos y de Dominga Fernan­</t>
  </si>
  <si>
    <t>de Pozas, Juan</t>
  </si>
  <si>
    <t>Juan de Pozas</t>
  </si>
  <si>
    <t>r Compañía al Ayudante, graduado de Capitán, D. Josef Cortés: en el de Borbon Ayudantía al Teniente D. Juan de Pozas; y empleo de Portaestandarte al Sargento primero D. Juan Alonso : en el ae Algarbe empleo de Alférez al Portaestandarte D. Francisco Escofes, y el de Portaestandarte al Sargento p</t>
  </si>
  <si>
    <t>de Prusia, Fernando (príncipe)</t>
  </si>
  <si>
    <t>Príncipe Fernando de Prusia</t>
  </si>
  <si>
    <t>de particulares. • * £1 Emperador ha conferido la banda de la Legión de Honor al Rey de Prusia, al Príncipe Fernando de Prusia, al Duque de Brunswick, al Mariscal de Mollendorf, al Barón de Hardemberg, Ministro de Negocios extrangeros, al Conde de Schulemburg, y al Conde de Haugwitz. _E1 Rey de Prusia ha</t>
  </si>
  <si>
    <t>de Puertas, Juan</t>
  </si>
  <si>
    <t>Juan de Puertas</t>
  </si>
  <si>
    <t>Id. Ayud. Juan de Puertas... Hijo de Fernando y de Josefa García,</t>
  </si>
  <si>
    <t>de Quesada, Cayetano</t>
  </si>
  <si>
    <t>Cayetano de Quesada</t>
  </si>
  <si>
    <t>Domingo Pina,de granaderos, y D. Josef Rafael de Zayas; á Subteniente de granaderos al de fusileros D. Cayetano de Quesada; á Subtenientes de fusileros al de bandera Doh Estéban oe Varona, y al Cadete D. Luis Escovar; y á Subtenientes dé bandera á los Cadetes D. Josef Mariano González y D. Estóban de</t>
  </si>
  <si>
    <t>de Rábago, Basilio Antonio</t>
  </si>
  <si>
    <t>Basilio Antonio de Rábago</t>
  </si>
  <si>
    <t>Lobo y Campos: para el Arcedianato de Soria, Dignidad de la Catedral de Osma, vacante por muerte de D. Basilio Antonio de Rábago , á D. Raymundo Albrizano, Canónigo Penitenciario de la Colegial de S, Ildefonso : para una Canongía de la Colegial de la ciudad de Sta. Fe, en el Arzobispado de Granada, vacante</t>
  </si>
  <si>
    <t>de Ralmis, Francisco Xavier</t>
  </si>
  <si>
    <t>Francisco Xavier de Ralmis</t>
  </si>
  <si>
    <t>arse en esta ciudad la expedición costeada por S;. M., y dirigida por su Médico honorario de Cámara D. Francisco Xavier de Ralmis. Escriben dé las Provincias'internas lo siguiente: Ricardo Ortega , ve¡cino de la población militar de Namiquipa, descansaba una noche del inmediato Marzo á 1¿ puerta de su casa,</t>
  </si>
  <si>
    <t>de Répide, Juan</t>
  </si>
  <si>
    <t>Juan de Répide</t>
  </si>
  <si>
    <t>. en metálico. Quien quisiere comprarla,-acuda á la escribanía del número de esta villa, que exerce D. Juan de Répide. • . v . Se halla vacante el partido de Médico de la villa del Molar, distante 7 leguas de esta Corte: vale 6S&gt; rs. anuales, cobrados meñsualmente, y se le permiten 3 anexos. Es p</t>
  </si>
  <si>
    <t>del Consejo de S. M., Teniente Corregidor de esta villa, por la escribanía de su número, que exerce Don Juan de Répide. Se vende á voluntad de su dueño una casa , sita en el Real Sitio de Aranjuez, calle de las Infantas , esquina á la de Alpages, que comprehende 8041} pies superficiales, y consta</t>
  </si>
  <si>
    <t>del Sr. D. Manuel de Torres, Ten lente Corregidor de esta villa, y escribanía de número que exerce D. Juan de Répide, se vende una casa, sita en la villa de Brúñete, frente á la ermita de la Soledad,con 5124 pies de sitio, tasada en 58 rs.: una tierra en término de la misma villa, al sitio que l</t>
  </si>
  <si>
    <t>l Consejo de S. M., Teniente Corregldor de esta villa, y por lá escribanía de su número, que exerce D. Juan de Répide; y para el remate está señalado el dia 5 de Abril próximo. A voluntad de su dueño se vende en la villa de Arganda una casa sita en lá calle de los Huertos, que tiene de sitio 1433</t>
  </si>
  <si>
    <t>el D. Manuel Vicente de Torres, Teniente Corregidor de esta villa, por la escribanía del numera de ‘D. Juan de Répide. En el juzgado del Sr. D. Diego Gil Fernandez, del Consejo de S. M., Alcalde en su ftoal Casa y Corte, se esta subastando, para.pago de acreedores, una casa en esta Corte en la ca</t>
  </si>
  <si>
    <t>del Consejo de S. M., Teniente Corregidor de esta villa, por la escribanía de su número, que exerce D. Juan de Répide ; en inteligencia que dicha postura no se admitirá en ménos del todo de la tasa, ni otra especie que moneda metálica. En el Real taller de maquinaria, calle de las tres Cruces, nú</t>
  </si>
  <si>
    <t>del Consejo de S. M., Teniente Corregidor de esta villa, per la escribanía de su número, que exerce D. Juan de Répide; en inteligencia que dicha postura no se admitirá en ménos del todo de la tasa, ni otra especie que moneda metálica; y para su remate se ha señalado el día 23 del corriente, de do</t>
  </si>
  <si>
    <t>ante el Sr. D. Manuel de Torres, Teniente Corregidor de esta villa, por la escribanía del número de D. Juan de Répide, y está señalado para el remate el dia 3 de Setiembre, á la puerta de la audiencia del mismo Sr.Juez. En la villa de Pantoja de la Sagra, distante de esta Corte 7 leguas, se halla</t>
  </si>
  <si>
    <t>D. Manuel de Torres, Teniente Corregidor de esta villa, por la escribanía de su número, que exerce D. Juan de Répide, y está señalado para el remate el día 14 del corriente. El remate celebrado en 26 de Agosto último ante el Sr. D. Diego Gil Fernandez, del Consejo de S. M., Alcalde en su Real Ca</t>
  </si>
  <si>
    <t>ntonio Collado, Teniente Corregidor de esta villa, por la escribanía del número de ella, que exerce D. Juan de Répide. Se desea saber el paradero de Mr. Bpguis, Cirujano que fué de Reales Guardias Walonas de España, para comunicarle cierto asunto de intereses, que están á cargo de D. Santiago Gas</t>
  </si>
  <si>
    <t>el juzgado del Sr. O. Torquato Antonio Collado, Teniente Corregidor de esta villi, y escribanía de D. Juan de Répide, se venden 2 tierras en término de Coslada, la 11 na al sitio de Baldevivar, con n fanegas y 6 celemines, tasada en 3200 rs., y la otra donde llaman los Carriles, al camino de Alc</t>
  </si>
  <si>
    <t>de Reynoso y Torrijos, Manuel</t>
  </si>
  <si>
    <t>Manuel de Reynoso y Torrijos</t>
  </si>
  <si>
    <t>su propia habitación, donde se reuniéron varios niños, presentando para estimular con su exemplo á D. Manuel de Reynoso y Torrijos, su hijo único, para que fuera el primero que se vacunara; encargando al referido profesor de Medicina y á D. Salvador Perez, Cirujano titular de la referida villa, la continuació</t>
  </si>
  <si>
    <t>de Reynoso, Fernando</t>
  </si>
  <si>
    <t>Fernando de Reynoso</t>
  </si>
  <si>
    <t>terios campales en este Obispado de Cartagena---- El Teniente de Fragata retirado de la Real Armada D. Fernando de Reynoso, Corregidor de esta villa, luego que recibió la comunicación de la Real orden , ae acuerdo con el R. Obispo D. Victoriano López Gonzalo, trató de executarla con zelo, actividad é</t>
  </si>
  <si>
    <t>de Ribero y la Encina, Pedro Xavier</t>
  </si>
  <si>
    <t>Pedro Xavier de Ribero y la Encina</t>
  </si>
  <si>
    <t>la Catedral de Toledo, vacante por promoción de D. Pedro Antonio Trevilla al Obispado de Córdoba, á D. Pedro Xavier de Ribero y la Encina, Canónigo Doctoral de Zamora: para otra de lá Catedral de Cuenca, vacante por fallecimiento de D. Josef Clemente Aróstegui, á D. Cipriano Castellano Cabrejano, Racionero de ella:</t>
  </si>
  <si>
    <t>de Robles, Pedro</t>
  </si>
  <si>
    <t>Pedro de Robles</t>
  </si>
  <si>
    <t>su hermano: á la Señora Meñaca, viuda de D. Patricio Yangíie, 200 pesos fuertes poco mas ó menos: á D. Pedro de Robles 500 pesos: á Doña Luisa Polo de Aguila 300: al Marques de Santacos, vecino de la villa de Mompós, 150 pesos, procedentes de un pagaré, que ignoraba si estaba satisfecho; y á un Ec</t>
  </si>
  <si>
    <t>de Rosas, Antonio Esteban</t>
  </si>
  <si>
    <t>Antonio Esteban de Rosas</t>
  </si>
  <si>
    <t>Úxijar á D. Juan Rosales Sánchez; y. para lá Dignidad de Capellán mayor de la Catedral de Cuenca á D. Antonio Esteban de Rosas, Canónigo de la^ misma, con retención de su Canongía. ’ En los Ésquadrones de línea de la Real Brigada de Carabineros ha pro</t>
  </si>
  <si>
    <t>de Roxas y Argandoña, Manuel Nicolás</t>
  </si>
  <si>
    <t>Manuel Nicolás de Roxas y Argandoña</t>
  </si>
  <si>
    <t>Rey se ha servido nombrar para el Obispado de Santa Cruz de la Sierra, vacante por fallecimiento de D. Manuel Nicolás de Roxas y Argandoña, á Fr. Antonio de S. Fermín , Provincial de Carmelitas Descalzos d;e la provincia de S. Alberto de México. El día 2 -de Junio se Consagró éñ la Iglesia Catedral de Jaén el limo, y</t>
  </si>
  <si>
    <t>de Roxas, Gerónimo</t>
  </si>
  <si>
    <t>Gerónimo de Roxas</t>
  </si>
  <si>
    <t>rrios. En la Compañía Americana de Reales Guardias de Corps ha promovido el Rey á Alférez al Exento D. Gerónimo de Roxas; á Exento ae número al supernumerario D. Vicente Iglesias; á Supernumerarios al Brigadier Don josef Lasala, y Cadete D. Josef Pacheco; á Brigadier al Subrigadier D. Pedro de Torre</t>
  </si>
  <si>
    <t>de Rozas, Rafael</t>
  </si>
  <si>
    <t>Rafael de Rozas</t>
  </si>
  <si>
    <t>echo marítimo de Europa, escrito en italiano por Domingo Alberto Azuni, y traducido del francés por D. Rafael de Rozas: 2 tomos en 8.° mayor. Se hallará en la librería de Alonso, frente á las gradas de S. Felipe. Esta obra so debe considerar como absolutamente nueva, así por el plan que abraza par</t>
  </si>
  <si>
    <t>de Sada, Juan</t>
  </si>
  <si>
    <t>Juan de Sada</t>
  </si>
  <si>
    <t>el rezo de los Salmos Penitenciales, escritos en latín, y traducidos en romance por el R. P. Mtro. D. Juan de Sada, Monge Cisterciense de Santa María la Real de Piara &amp;c. Esta obra, que á juicio de quantos la leyéron, desempeña el soberano objeto que anuncia, contiene en su prólogo el modo mas</t>
  </si>
  <si>
    <t>de Saíignac de la Motte Fenelon, Francisco</t>
  </si>
  <si>
    <t>Francisco de Saíignac de la Motte Fenelon</t>
  </si>
  <si>
    <t>Barco, calle de la Cruz. Tratado de la educación de las hijas: escrito en Francés por el limo. Sr. Don Francisco de Saíignac de la Motte Fenelon , Arzobispo de Cambray; y traducido en Castellano por D. Remigio Asensio, Presbítero: segunda impresión. La utilidad de esta traducción no solo se manifiesta por el mérito de la o</t>
  </si>
  <si>
    <t>de Salas Vaidés, Melchor</t>
  </si>
  <si>
    <t>Melchor de Salas Vaidés</t>
  </si>
  <si>
    <t>Velarde; y sencillos á D. Mariano Mollinedo, D. Manuel Yañez Montenegro, D. Pedro Vicira Escovedo, D. Melchor de Salas Vaidés, D. Narciso Roseiió, Don Pablo Salgüeyro., D. Isidro Miranda, D. Mariano Sánchez, D. Angel Santa María Perez, D. Santiago Montesinos, D. Nicolás Perales y D. Esteban Perales ; y d</t>
  </si>
  <si>
    <t>de Salas, Francisco Gregorio</t>
  </si>
  <si>
    <t>Francisco Gregorio de Salas</t>
  </si>
  <si>
    <t>de las cosas mas precisas para el uso del alto ministerio de la predicación apos&lt;« tólica: su autor D. Francisco Gregorio de Salas, Capellán mayor de la Real Casa de Santa María Magdalena de Arrepentidas. Se hallará en la librería de Montero, calle de la Gcrguera, y en la de Moya, Cava baxa: su precia 2 rs. e</t>
  </si>
  <si>
    <t>en 8.* Se hallará en la librería de BayJo, calle de las Carretas, á 8 rs. Observatorio rústico, por D. Francisco Gregorio de Salas: última edición', corregida por el autor, y adornada con 6 graciosas estampas, que representan los principales pasages de las 6 divisiones en que va repartida la obra. En benefici</t>
  </si>
  <si>
    <t>de Salas, Joaquín</t>
  </si>
  <si>
    <t>Joaquín de Salas</t>
  </si>
  <si>
    <t>sef Brandaris, id., herido en el S. Agustín. Tententes de Navio. D. Juan González Cisniega, muerto: D. Joaquín de Salas id.: D. Juan Matute id.: D. Agustín Monzon id. : D. Juan Donesteve id.: D. Ramón Amaya id.: D. Francisco Calderón, herido: D. Marcos Guruzeta id.: D. Joaquin Jorganes id.: D. Luis</t>
  </si>
  <si>
    <t>de Salas, Lorenzo</t>
  </si>
  <si>
    <t>Lorenzo de Salas</t>
  </si>
  <si>
    <t>rancisco Xavier Arriílaga; Ayudantía al Teniente D. Pedro Santos; Tenencia de granaderos al Alférez D. Lorenzo de Salas, y sencillas al Alférez D. Andrés Gallegos, al Portaguión D. Ramón Delgado, y á los Sargentos primeros D. Josef Manuel de Salas, D. Juan de Dios Alvarez, D. Francisco AIvarez y D.</t>
  </si>
  <si>
    <t>de Salcedo, Ricardo</t>
  </si>
  <si>
    <t>Ricardo de Salcedo</t>
  </si>
  <si>
    <t>bteniente de granaderos del propio Cuerpo: de Subteniente de granaderos del de León al de fusileros D. Ricardo de Salcedo; y de Subteniente de bandera de los de Burgos, Segovia^ León y Murcia á D. Ramón de Villegas Quevedo, D. Miguel'Mendez Cabeza y Bazan, D. Gregorio Moreda y D. Francisco Rosique. ,</t>
  </si>
  <si>
    <t>de Sales Cantalapiedra, Francisco</t>
  </si>
  <si>
    <t>Francisco de Sales Cantalapiedra</t>
  </si>
  <si>
    <t>irigirán sus memoriales, con relación de sus méritos, naturaleza, residencia y edad, con cubierta á D. Francisco de Sales Cantalapiedra, Regidor Decano de esta villa, hasta el dia 20 de Octubre de este año, para que tomando informes los nominadores, puedan estos proceder á la elección. ; Nuevo Diccionario Francés-</t>
  </si>
  <si>
    <t>de Sales de la Cerda y Palafox, Francisco</t>
  </si>
  <si>
    <t>Francisco de Sales de la Cerda y Palafox</t>
  </si>
  <si>
    <t>Hermosilla, con destino á las Escuelas Fias. A mas de los 35 premios dio la Sociedad uno de honor á D. Francisco de Sales de la Cerda y Palafox, 6 de segunda clase de 40 rs. cada uno á otros tantos jovenes beneméritos, y otros 6 por el adelantamiento en el dibuxo á 2 discípulos de la Real Academia ae S. Cirios ,á 2 niños</t>
  </si>
  <si>
    <t>de San Martín, Lorenzo</t>
  </si>
  <si>
    <t>Lorenzo de San Martín</t>
  </si>
  <si>
    <t>smos autores, impresos en Barcelona el año pasado de 1804. Se hallarán en la imprenta y librería de D. Lorenzo de San Martin, calle de la Montera; y en Barcelona, casa de D. Josei Suix, en la Líbretería, á 4 rs. cada excmplar en rústica. Tratado elemental, .ó Principios de Física , fundados en los conoc</t>
  </si>
  <si>
    <t>de San, Manuel</t>
  </si>
  <si>
    <t>Manuel de San</t>
  </si>
  <si>
    <t>ecimiento de D. Juan Gerónimo Valdes, á D. Josef Mariano Cardona; y para la Media-Ración que dexa á D. Manuel de San» tibañez,Cura en dicha ciudad; y para otra Media-Ración de la Catedral de la Puebla de los Angeles, que vacó por fallecimiento de D. Joaquín Rodríguez, á D. Josef Nicolás del Mora</t>
  </si>
  <si>
    <t>de Sancha y Prado, Tomás</t>
  </si>
  <si>
    <t>Tomás de Sancha y Prado</t>
  </si>
  <si>
    <t>Cónsul, del Consejo de S. M., primer Teniente Corregidor de esta villa, y escribanía del número de D. Tomas de Sancha y Prado, se han mandado sacar á pública subasta, por término de 30 dias, 2 viñas de viñudo tinto y blanco, de caber 14 aranzadas, tasadas en 16® rs.: 2 fanegas de tierra, en 50 rs.; y 18</t>
  </si>
  <si>
    <t>nuel de Torres, del Consejo de S. M., Teniente Corregidor de esta villa, y escribanía del número de D. Tomas de Sancha y Prado. La persona que quisiere hacer mejora, acuda ante dicho Señor y escribanía. Por resultas de una testamentaría, en que ha entendido por comisión D. Juan Fermín de Arozena, Oficial</t>
  </si>
  <si>
    <t>Sr. D. Diego López Perella, para que comparezcan en el juzgado de S. S. y escribanía del número de D. Tomas de Sancha y Prado á deducir sus respectivos derechos en el término de 20 dias; con tal que pasados sin haberlo hecho, se substanciarán en estrados. Real cédula de S. M. y Sres. del Consejo, por la</t>
  </si>
  <si>
    <t>ntonio Collado, del Consejo de S. M., Teniente Corregidor de esta villa, y escribanía del número de D. Tomas de Sancha y Prado, se han mandado sacar á subasta, por término de 30 días, estas fincas. Una casa en la población de Medina de.Rioseco, calle de los Pañeros, tasada en venta en 660 rs. y en renta a</t>
  </si>
  <si>
    <t>dias contados desde el 2 del corriente, comparezcan ante dicho Sr. Juez y escribanía del número de D. Tomas de Sancha y Prado á acreditarlo, así en la testamentaría de D. Miguel Butragueño, natural que fué del lugar de Getafe, y vecino de esta Corte, que »e les oirá y administrará justicia. En el juzgado</t>
  </si>
  <si>
    <t>y postura á dichas fincas,Jo executarán en dicho término pór la indicada audiencia, y escribanía de D. Tomas de Sancha y Prado, que se admitirán las que fueren arregladas. rsrPor el mismo Señor se vende, una casa sita.en esta Corte en la calle de S. Benito , núm. 4 , ínanz. 511, tasada en 76,426 rs.., y t</t>
  </si>
  <si>
    <t>de Torres Cónsul, del Consejo dó 5 M Teniente Corregidor de esta villa, y escribanía del número de D. Tomas de Sancha y Prado, se remata una casa sita en esta Corte, calle de Jesús y María, ném. 10, marz. 49, retasada últimamente en 197,464 para cuyo remate está señalado el dia 26 del corriente en la aud</t>
  </si>
  <si>
    <t>0 dias contados desde el 24de Julio próximo pasado, ante dicho Sr. Juez, y escribanía del número de D. Tomas de Sancha y Prado. A voluntad de su poseedor se venden tres pedazos dé tierra , consistentes en término de Vicálbaro, uno entre los caminos que van de Vicálbaro y Vallécas á la barca de Mejorada, l</t>
  </si>
  <si>
    <t>ías contados desde el 31 de Octubre próximo, rr: Por la misma audiencia, y escribanía del número de D, Tomas de Sancha y Prado, se vende una casa sita en la calle de Luzon, y vuelve á la de la Cruzada, núm. 2 , manz. 427, tasada en 877,997 rs. Quien quisiere hacer postuna, acuda ante dicho Señor y expresa</t>
  </si>
  <si>
    <t>de Sande, Fernando Jorge</t>
  </si>
  <si>
    <t>Fernando Jorge de Sande</t>
  </si>
  <si>
    <t>ncia, Avila, Salamanca, Granada, Bujalance, Jaén, Sigiienza y Valladolid, Subtenencias de bandera á D. Fernando Jorge de Sande, D. Blas Sarmiento y Henao, Don Juan Nepomuceno Pineda y Benavente, Subteniente reformado, D. Francisco Borja Almera y Algumola, D. Francisco del Castillo y Melgar, Don Fernando d</t>
  </si>
  <si>
    <t>de Santander, Ramón</t>
  </si>
  <si>
    <t>Ramón de Santander</t>
  </si>
  <si>
    <t>Béjar, D. Melchor Ramos, D.Josef Vicente Andrade , D. Alberto de Castro , D. Manuel Antonio Gómez, Don Ramón de Santander y D. Joaquín Tejada; Subtenencia de granaderos á Don Eugenio de Castro, y de fusileros á D. Pedro Bustinza, D. Vicente Béjar, D. Manuel Céspedes, D. Higidio Mariaca, D. Paulino Deza,</t>
  </si>
  <si>
    <t>de Santiago Concha, Francisco</t>
  </si>
  <si>
    <t>Francisco de Santiago Concha</t>
  </si>
  <si>
    <t>liar de Santa Cruz de la Sierra: para el Deanato de la Metropolitana de Lima, vacante por muerte de D. Francisco de Santiago Concha, á D. Domingo Larrion: para el Árcedianato que este dexa á Don Pablo Laurnaga: para la Chantría á D. Josef de Silva: para la Tesorería al Canónigo D. Bartolomé Matute: para su Can</t>
  </si>
  <si>
    <t>de Santíbañéz, Ángel</t>
  </si>
  <si>
    <t>Ángel de Santíbañéz</t>
  </si>
  <si>
    <t>$26 naciones: el Príncipe de Maserano presentó á D. Angel de Santíbañéz, Secretario de la Embastada; al Excmo. Srv Conde de Lumiares, Grande dé España de primera clase; á D. Alfonso de Pignateli, Coronel de Húsares; á D. Leonardo Teran, Ministro de S.</t>
  </si>
  <si>
    <t>de Sarasa, Juan</t>
  </si>
  <si>
    <t>Juan de Sarasa</t>
  </si>
  <si>
    <t>éstamo de Santa Cecilia de Medellin, en el de Plasencia, vacante por muerte de D. Antonio Miguel, á D. Juan de Sarasa. S. M. se ha dignado nombrar en el Regimiento de infantería de Zamora Compañía al Ayudante, graduado de Capitán, D. Mariano Vázquez: en el de Valencia Subtenencia de bandera al Ca</t>
  </si>
  <si>
    <t>de Saxonía-Teschen, Alberto (duque)</t>
  </si>
  <si>
    <t>Duque Alberto de Saxonía-Teschen</t>
  </si>
  <si>
    <t>erra, y han salido condenados á la pena de muerte.” ; Hamburgo 10 de Mayo, Escriben de Viena que el Duque Alberto de Saxonía-Teschen se halla enteramente restablecido de su enfermedad, y que irá á pasar este verano en algún pueblo del mediodía de la Francia. Parece que la Corte de Suecia ha dado ya algún paso p</t>
  </si>
  <si>
    <t>de Sedaño, Pedro</t>
  </si>
  <si>
    <t>Pedro de Sedaño</t>
  </si>
  <si>
    <t>allecido, para entregar á cada uno cierta cantidad que le pertenece. A quien le interese, acudirá á D. Pedro de Sedaño, Procurador de los Reales Consejos, que vive calle de la Encomienda, núm. 2, quarto segundo. En el arca de tres llares de les Reales almacenes de cristales de esta Corte existen,</t>
  </si>
  <si>
    <t>de Senra, Felipe</t>
  </si>
  <si>
    <t>Felipe de Senra</t>
  </si>
  <si>
    <t>al Teniente de granaderos D. Josef Paredes: ¿Teniente de granaderos del de Betanzos al de fusileros D. Felipe de Senra: á Teniente de fusileros de los de Ciudad-Rodrigo y-Plasencia á los Subtenientes D. Gaspar Escapa y Leal y D. Pascual Gamero, el primero de granaderos: ¿ Subtenientes de granadero</t>
  </si>
  <si>
    <t>de Siles, Antonio</t>
  </si>
  <si>
    <t>Antonio de Siles</t>
  </si>
  <si>
    <t>de agricultura, industria y artes, desde la junta pública anterior, que leyó su Secretario interino D. Antonio de Siles ; y la Excma. Sra. Condesa del Montijo leyó asimismo el de las actas de la junta dé Señoras de honor y mérito, de que*es Secretaria. En segnida se procedió á'la distribución de pr</t>
  </si>
  <si>
    <t>Las memorias y discursos aspirantes á estos premios se remitirán al Secretario de. la Real Sociedad Don Antonio de Siles hasta 15 de Abril del año¡ siguiente de f S06, debiendo sus autóreé omitir su nombre, para que puedan ser juzgados con imparcialidad, poniéndolo en.pliego separado y cerrado, con</t>
  </si>
  <si>
    <t>de Solazar, Manuel</t>
  </si>
  <si>
    <t>Manuel de Solazar</t>
  </si>
  <si>
    <t>ento de.D. Pedro Faustino Bru.net&gt;, á IV Josef.Joaquín.Chacen ? para el Arcedianátoque este: dexa á D. Manuel de Solazar : para la Chantría á D. Santiago Martínez , Maestrescuela : para esta Dignidad á D. Bernardo Baamonde , Canónigo mas antiguo ; y para esta Canongía á D. Manuel Gonzafez de Aguírre</t>
  </si>
  <si>
    <t>de Sorrcguieta, Tomás</t>
  </si>
  <si>
    <t>Tomás de Sorrcguieta</t>
  </si>
  <si>
    <t>a varios censores filosóficos enmascarados, en tres cartas dirigidas 4 los literatos Españoles, por D. Tomas de Sorrcguieta, Presbítero, Contiene en su mayor parte una breve, nei</t>
  </si>
  <si>
    <t>de Sosa, Diego</t>
  </si>
  <si>
    <t>Diego de Sosa</t>
  </si>
  <si>
    <t>de granaderos á D. Juan Carrion, y de fusileros á D. Manuel Caballero, D. Josef Matías de Paredes, D. Diego de Sosa, D. Mauricio Zamalloa, D. Teodoro Martínez dei Campo, D. Mariano Mallea, Don Josef Marcelino de Molina y D. Manuel Melchor Vargas; Ayudantía á D. Isidro Quevedo; Tenencia de grana</t>
  </si>
  <si>
    <t>de Sousa, Luis</t>
  </si>
  <si>
    <t>Luis de Sousa</t>
  </si>
  <si>
    <t>. Félix María Roberty i Tenencias en el expresado de Tolédo' y en el dé Hibernia á los Subtenientes D. Luis de Sousa, D¿ Maiwel Quarteraro y Doá Josef Alvarez:; y'Subtenencia de bandereen eh de^;Murcia* al Cadete Don Carlos Vinet. *■;?: '• ’• *En el Regimiento de infantería de Zaragoza* se ha-se</t>
  </si>
  <si>
    <t>de Taranco, Francisco Ignacio</t>
  </si>
  <si>
    <t>Francisco Ignacio de Taranco</t>
  </si>
  <si>
    <t>rcio de sedas de Puerta de Guadalaxara de esta Corte, remitió por el correo del día 15 de Octubre á D. Francisco Ignacio de Taranco, vecino de la villa de Velez Rubio, un vale dinero de 150 pesos de la creación de i.° de Enero, con el núm. 273,276; y no habiéndolo recibido, la persona en cuyo poder se halle, l</t>
  </si>
  <si>
    <t>de Tena, Juan Nepomuceno</t>
  </si>
  <si>
    <t>Juan Nepomuceno de Tena</t>
  </si>
  <si>
    <t>ía-Ración de la Catedral de Córdoba, vacante por fallecimiento de D. Francisco Solano Castillejo, á D. Juan Nepomuceno de Tena, Guardia de Corps de la Compañía Americana: para otra de la Catedral de Cartagena, vacante por muerte de D. Francisco Ramón de Moneada y Botia, á D. Andrés Ortuño, Cura de la Parr</t>
  </si>
  <si>
    <t>de Teran, Francisco</t>
  </si>
  <si>
    <t>Francisco de Teran</t>
  </si>
  <si>
    <t>e todo lo indicado se realizase con el debido acierto, se sirvió el Rey comisionar privativamente á D. Francisco de Teran, Vice-Director de aquella Real Sociedad económica, y Juez Presidente de la Junta del camino de arrecife, para que lo llevase á efecto en todas sus partes. _Y sin embargo de que no</t>
  </si>
  <si>
    <t>de Tercilia, Vicente María</t>
  </si>
  <si>
    <t>Vicente María de Tercilia</t>
  </si>
  <si>
    <t>or Luis Antonio Muratori, Bibliotecario del Sermo. Sr. Duque de Módená, traducido al castellano por D. Vicente María de Tercilia: dedicado á la estudiosa juventud de la Universidad de Valiadolid. La verdadera eloqiiencia no puede ser sino una, aunque su ornato puede ser diverso, según la variedad de los gen</t>
  </si>
  <si>
    <t>de Torrejon, Gaspar</t>
  </si>
  <si>
    <t>Gaspar de Torrejon</t>
  </si>
  <si>
    <t>Ecija y Sevilla á los Subtenientes D. Rafael Ayerdi, Don Ramón Ribadulla, J&gt;. Francisco Calderón, y D. Gaspar de Torrejon : las</t>
  </si>
  <si>
    <t>de Torres Cónsul, Manuel</t>
  </si>
  <si>
    <t>Manuel de Torres Cónsul</t>
  </si>
  <si>
    <t>les , según queda publicado en el suplemento á la Gazeta de 25 del pasado. Por la audiencia dei Sr. D. Manuel de Torres Cónsul, del Consejo de S. M., primer Teniente Corregidor de esta villa, y escribanía del número de D. Tomas de Sancha y Prado, se han mandado sacar á pública subasta, por término de 30 d</t>
  </si>
  <si>
    <t>de Torres Cónsul, Manuel Vicente</t>
  </si>
  <si>
    <t>Manuel Vicente de Torres Cónsul</t>
  </si>
  <si>
    <t>s sobre enagenacion de fincas de memorias y obras pías se están subastando por la audiencia del Sr. D. Manuel Vicente de Torres Cónsul, primer Teniente Corregidor de esta villa, y por la escribanía del número de D. Gervasio Fernandez Izquierdo, varias lincas sitas en el término de la villa de Velilla de S. Antoni</t>
  </si>
  <si>
    <t>o en Madrid'al expresado Rosales, calle de las Carretas, frente al Correo. Por providencia del Sr. D. Manuel Vicente de Torres Cónsul, del Consejo de S M primer Teniente de Corregidor de esta villa, y escribanía del número de XX Ramón de Milla Cueliar, se ha señalado el dia 9 del corriente para el remate de 4 ca</t>
  </si>
  <si>
    <t>., v dan por ella la misma cantidad en vales Reales. Quien quisiere hacer mejora, acuda ante el Sr. D. Manuel Vicente de Torres Cónsul, del Consejo de S. M., Tepíente Corregidor de esta villa, y escribanía de D. Casim.ro Antonio Gómez; y en Badajoz al Sr. Corregidor de ella, y oficio de D. Benito Gil y Nogues, en</t>
  </si>
  <si>
    <t>e D. Ramón de Milla y Cuellar. A voluntad de su dueño, con facultad Real, y por providencia del Sr. D. Manuel Vicente de Torres Cónsul, del Consejo de S. M., Teniente Corregidor de esta villa, se vende un título de Castilla. Quien quisiere hacer postura, acuda á la escribanía de D. Cristóbal de Vicuña; y está señ</t>
  </si>
  <si>
    <t>de Torres y Portocarrero, Sebastián</t>
  </si>
  <si>
    <t>Sebastián de Torres y Portocarrero</t>
  </si>
  <si>
    <t>tudio de gramática y ortografía castellana que regenta D. Guillelmo Xaramillo, presidiéndole el Sr. D. Sebastian de Torres y Portocarrero, del Consejo Real; el Catedrático, Examinadores y varios de los concurrentes preguntaron á los alumnos acerca de todas las partes de la gramática, excelencia de nuestro idioma, de</t>
  </si>
  <si>
    <t>de Torres, Domingo</t>
  </si>
  <si>
    <t>Domingo de Torres</t>
  </si>
  <si>
    <t>Teniente al Alférez D. Josef de Ulibarri; y nombrar Alféreces y Portaguiones de este mismo Cuerpo á D. Domingo de Torres, D. Francisco Gutiérrez de la Lama, D. Tuan Manuel Cabello, D. Manuel de la Torre, D. Ignacio Olarte, y D. Diego de Abarca, vecinos de aquella demarcación. Los sugetos que tengan</t>
  </si>
  <si>
    <t>de Torres, Juan Nepomuceno</t>
  </si>
  <si>
    <t>Juan Nepomuceno de Torres</t>
  </si>
  <si>
    <t>rar para una Canongía de la Colegial de Antequera, Diócesis de Málaga, vacante por fallecimiento de D. Juan Nepomuceno de Torres, á D. Manuel Diez de Tejada y Paz: para otra de la Catedral de Barcelona, vacante por fallecimiento de D. Francisco Andreu , á D. Josef Espinos , Canónigo de la Colegiata de Sta.</t>
  </si>
  <si>
    <t>de Torres, Manuel</t>
  </si>
  <si>
    <t>Manuel de Torres</t>
  </si>
  <si>
    <t>vales Reales, y los 15SÍ en metálico, está señalado el día 25 del corriente en la audiencia del Sr. D. Manuel de Torres, del Consejo de S. M., Teniente Corregidor de esta villa, y escribanía del número de D. Tomas de Sancha y Prado. La persona que quisiere hacer mejora, acuda ante dicho Señor y esc</t>
  </si>
  <si>
    <t>za, á la viuda de Jaén, en Estella, ó á D. Francisco^ Salanava, en Madrid. Por la audiencia del Sr. D. Manuel de Torres, Ten lente Corregidor de esta villa, y escribanía de número que exerce D. Juan de Répide, se vende una casa, sita en la villa de Brúñete, frente á la ermita de la Soledad,con 5124</t>
  </si>
  <si>
    <t>nte dicho Señor por la escribanía de provincia de D. Manuel López de Ribas. Por providencia del Sr. D. Manuel de Torres, primer Teniente Corregidor de esta villa, se subasta, por término de 30 dias, una casa sita en esta Corte, calle de las Huerta?, núm. 7, manz. 243, con 1263- pies de area, tasada</t>
  </si>
  <si>
    <t>remate el dia 8 de Mayo próximo, de doce á una de la mañana, á las puertas de la audiencia del Sr. D. Manuel de Torres , Teniente Corregidor de está villa, por ante el Escribano de su número D. Claudio Sanz, acuda’ala escribanía ¿e este. Por providencia dei Sr. D. Torquato Antonio Collado, Tenient</t>
  </si>
  <si>
    <t>al importe en metálico, todos los Vales-dinero de 600, 300 y 150 pesos de la misma creación. El Sr. D. Manuel de Torres, del Consejo de S. M., Teniente Corregidor dje esta villa, ha señalado el día x.° de Agosto próximo, de doce á una de la mañana, en su audiencia, para el remate de una casa princi</t>
  </si>
  <si>
    <t>an por ellas el todo de su tasación en vales Reales. Quien quisiere hacer mejora, acuda ante el Sr. D. Manuel de Torres, Teniente Corregidor de esta villa, por la escribanía del número de D. Juan de Répide, y está señalado para el remate el dia 3 de Setiembre, á la puerta de la audiencia del mismo</t>
  </si>
  <si>
    <t>llamado de las Piedras, con 18 fam, en 10,800 rs. Quien quisiere hacer postara, acuda ante el Señor D. Manuel de Torres, Teniente Corregidor de esta villa, por la escribanía de su número, que exerce D. Juan de Répide, y está señalado para el remate el día 14 del corriente. El remate celebrado en 26</t>
  </si>
  <si>
    <t>. de su tasa,: pagaderos en vales Reales. Quien quisiere hacer mejora del quarto, acuda ante el Sr. D. Manuel de Torres, del Consejo de S. M., Teniente Corregidor de esta villa, por la escribanía de su número, que exerce I). Juan de Répide, dentro de 30 dias, que ha señalado el Sr. Intendente, cont</t>
  </si>
  <si>
    <t>de Torres, Manuel Vicente</t>
  </si>
  <si>
    <t>Manuel Vicente de Torres</t>
  </si>
  <si>
    <t>ante el citado Sr. Alcalde, por la escribanía de provincia de D. Juan Antonio Diaz Noriega. El Sr. D. Manuel Vicente de Torres, Teniente Corregidor de esta villa, ha señalado el 5 de este mes para el remate de 4 casas sitas en la calle de S. Antón, núms. 32, 34, 35 y 36, manz. 323, que la primera tiene de</t>
  </si>
  <si>
    <t>del remate, y admitirá las mejoras que se hicieren, siendo arregladas. í Por Ja 'audiencia deJ Sr. D. Manuel Vicente de Torres, del Consejó dé S. M., Teniente Corregidor de esta villa, se cita, llama y emplaza á todas y qualesquierá personas; que pretendan tener derecho á los bienes que mandó vincular en</t>
  </si>
  <si>
    <t>ido rematada por el todo de su tasa en vales Reales. Quien quisiere hacer mejora, acuda ante.el.Sr. D. Manuel Vicente de Torres, del Consejo de S. M., Teniente. Corregidor de esta villa, y escribanía del npniero de D. Ramón.Milla Cuellar. Por providencia del Sr. D. Manuel Vicente de Torres, Teniente Correg</t>
  </si>
  <si>
    <t>de Gracia, núm. 39, en ei quarto baxo del Maestro Vidriero, que dará razón. Por providencia del Sr. D. Manuel Vicente de Torres, del Consejo de S. M., Teniente Corregidor de esta villa, de 4 de Abril último, se cita, llama y emplaza á todos los nietos, nietas, biznietos y biznietas de Doña Antonia Butrague</t>
  </si>
  <si>
    <t>1 de Ja mañana,donde se admitirán las pujas que se hicieren, y manifestarán sus condiciones. El Sr. D. Manuel Vicente de Torres, del Consejo de S. M., primer Teniente Corregidor de esta villa, por la escribanía del número de D. Diego Benigno González ha mandado sacar á pública subasta , por término de 30 d</t>
  </si>
  <si>
    <t>de 1798, tiene 69,758 pie», y se apreció en 81,548 rs. El que quiera comprarlo, acuda ai citado Sr. D. Manuel Vicente de Torres, por la referida escribanía propietaria del número de D. Diego Benigno González. Por el juzgado del Sr. D. Torquato Antonio Collado, del Consejo de S. M., Teniente Corregidor de e</t>
  </si>
  <si>
    <t>de las casas de Ayuntamiento. A voluntad de su dueño, con facultad Real, y por providencia del Sr. D. Manuel Vicente de Torres, del Consejo de S. M., Teniente Corregidor de esta villa, y escribanía de D. Cristóbal de Vicuña, se vende un título de Castilla. Quien quisiere hacer postura, acuda ante dicho Se</t>
  </si>
  <si>
    <t>794 rs., y la otra ccn 7 celemines, en 408 rs. 1 2 mrs. Quien quisiere hacer postura, acuda ante el D. Manuel Vicente de Torres, Teniente Corregidor de esta villa, por la escribanía del numera de ‘D. Juan de Répide. En el juzgado del Sr. D. Diego Gil Fernandez, del Consejo de S. M., Alcalde en su ftoal Cas</t>
  </si>
  <si>
    <t>s juzgáron acreedores á la consideración de la Sociedad. (Se continuara.) • Por providencia del Sr. D. Manuel Vicente de Torres, del Consejo de S.-M., primer Teniente Corregidor de esta villa, se ha mandado sacar á pública subasta, por término de 30 dias, una casa sita en la calle de las Huertas, núm. 4, m</t>
  </si>
  <si>
    <t>ebeldía con los estrados del propio juzgado de bienes de difuntos- de Cuba. Por providencia del Sr. D. Manuel Vicente de Torres, Teniente Corregidor de esta villa, está señalado, ante D. Félix Pico de Haedo, el dia 30 de este mes, de doce á una, en.la audiencia del referido Señor, para celebrar el remate d</t>
  </si>
  <si>
    <t>indicado Sr. Urruela, ó á Samano al referido la Herran. El Sr. Teniente de Corregidor de esta villa D. Manuel Vicente de Torres, ante el Escribano del número D. Jacobo Manuel Manrique, ha señalado el dia 25 del corriente, á la hora de audiencia, para el remate de dos casas: la una intitulada del Platero, á</t>
  </si>
  <si>
    <t>a Salem, de esta jurisdicción, tasada en 32,248 rs., que se vende en virtud de próvido ncia del Sr. D. Manuel Vicente de Torres, del Consejo de S. M., Teniente Corregidor de esta villa," para pago de acreedores, acuda ante dicho Señor, y escribanía del número de D. Cristóbal de Vicuña. La subasta de la cas</t>
  </si>
  <si>
    <t>ones admisibles, se procederá al remate en la casa de Intendencia. En virtud de providencia del Sr. D. Manuel Vicente de Torres, del Consejo de S. M., primer Teniente de Corregidor de esta villa, y escribanía del numero de D. Ramón de JVIiUa y Cuellar,..se han mandado sacar á pública subasta 4 casas corres</t>
  </si>
  <si>
    <t>ñaa los Señores Trauscke y compañía, y en Santiago á D. Cirilo Diaz Gómez. Por la audiencia del Sr. D. Manuel Vicente de Torres, Teniente Corregidor de esta villa, y escribanía del número de D. Gervasio Fernandez Izquierdo, se es^f tan subastando dos casas sitas en esta Corte, la primera en la calle de la;</t>
  </si>
  <si>
    <t>da escribanía, en el término de 30 dias contados desde el 4 del corriente. Por la audiencia del Sr. D. Manuel Vicente de Torres, Teniente Corregidor de esta villa,;y escribanía del número de D. Gervasio Fernandez Izquierdo, se estan subastando 2 casas sitas en esta Corte , la ,primera en la calle de Santa</t>
  </si>
  <si>
    <t>líneas 40 y 41, se puso quedaron prisioneros hombres ¡ y debe decir , £00. Por,providencia del Sr. D. Manuel Vicente de Torres, Teniente Corregidor de esta villa, y escribanía de D. Félix Pic-o, se ha mandado publicar por término de 30 dias contados desde el 12 del presente, para la admisión de la mejora</t>
  </si>
  <si>
    <t>i°47 Por providencia del Sr. D, Manuel Vicente de Torres, Teniente Corregidor de esta villa, se ha mandado sacar á pública subasta, por término de 30 días contados desde el 6 de Noviembre próximo pasado, una casa sita ep la calle del Ca</t>
  </si>
  <si>
    <t>o del término de 30 dias, contados desde el 29 de Noviembre próximo pasado. Por providencia del Sr. D. Manuel Vicente de Torres, Teniente Corregidor de esta villa, y escribanía del humero de D. Ramón de Milla y Cuellar, se ha señalado para (el: remate de una casa sita en esta Corte.en la red de S. Luis, nú</t>
  </si>
  <si>
    <t>icho Sf. Tendente por* las expresadas escribanías. / ¡ i1." &gt; * .-&gt;■ v ■r"l Por providencia del Sr. D. Manuel Vicente de Torres, Teniente Corregidor de esta villa, y escribanía del número de D. Luis Perez Peñuelas, se ha mandado sacar á pública subasta, por término de 30 dias contados desde el 18 de Noviem</t>
  </si>
  <si>
    <t>mejora, acuda en el término de 30 días contados desde el 7 del corriente por la audiencia del Señor D. Manuel Vicente de Torres, Teniente Corregidor de esta villa, y escribanía del número de D. Gervasio Fernandez Izquierdo.</t>
  </si>
  <si>
    <t>anz.332, que comprehende 5534g piesquadrados superficiales, tasada en 53,761 rs., acuda ante el Sr. D. Manuel Vicente de Torres, Teniente Corregidor de esta villa', y escribanía de D. Cristóbal de Vicuña, dentro de 30 dias contados desde el 14 del corriente.</t>
  </si>
  <si>
    <t>ante sola# sin reedificar, en 25,883 rs. Quién quisiere -comprarías acuda* dentro de 30 dias al Sr. D. Manuel Vicente de Torres / Teniente Corregidor de esta villa , por la escribanía dél número de D. Diego Eenigno González. Quaiquiera persona que conceptuase tener derecho para percibir parte de los rédito</t>
  </si>
  <si>
    <t>de Torres, Pedro</t>
  </si>
  <si>
    <t>Pedro de Torres</t>
  </si>
  <si>
    <t>upernumerarios al Brigadier Don josef Lasala, y Cadete D. Josef Pacheco; á Brigadier al Subrigadier D. Pedro de Torres; á Subrigadier al Cadete D. Agustín Irumberri; á Cadetes de número á los supernumerarios D. Juan Josef y D. Manuel Ripperdá, y á Supernumerario al Guardia D. Juan Montes. El Rey s</t>
  </si>
  <si>
    <t>de Torres, Sebastián</t>
  </si>
  <si>
    <t>Sebastián de Torres</t>
  </si>
  <si>
    <t>cer y recomendándole por los medios que le sugieran su prudencia y su zelo.” Dios guarde &amp;c. El Sr. D. Sebastian de Torres, del Consejo Real , como Juez protector y Presidente del estudio del lenguage general y Español, establecido en la calle dé Relatores, número 9, ha señalado el dia 28 de Enero de</t>
  </si>
  <si>
    <t>Subtenientes de bandera á los Sargentos segundos D. Francisco Peña,yI)on Brígido Valdés. í^ £1 Sr. D. Sebastian de Torres, dei Consejo Real, ha señalado el dia 16 del corriente para dar principio á las lecciones dei duodécimo curso del lenguage general y Español, establecido en la calle de Relatores,</t>
  </si>
  <si>
    <t>de Trasviña, Manuel</t>
  </si>
  <si>
    <t>Manuel de Trasviña</t>
  </si>
  <si>
    <t>á publicar su venta, á 48 rs. en papel, 50 en rústica y 60 en pasta, como antes, en la droguería de D. Manuel de Trasviña, calle, de Postas, y en el despacho de ¡a Imprenta Real, ■■ - ........." .... ■' * 1 y.•■■■■■■ EN LA IMPRENTA RJEAX.</t>
  </si>
  <si>
    <t>de Treviila, Pedro Antonio</t>
  </si>
  <si>
    <t>Pedro Antonio de Treviila</t>
  </si>
  <si>
    <t>a y Obispado de Córdoba* vacante por fallecimiento del limo. Sr. D. Agustín de Ayestaran y Landa, á D. Pedro Antonio de Treviila, Canónigo de la Iglesia Metropolitana de Toledo: para una Canongía de dicha Iglesia Metropolitana, vacante por muerte de O. Juan de Anchuelo, á D. Pedro Estala, Bibliotecario ae s</t>
  </si>
  <si>
    <t>de Ugarte, Domingo</t>
  </si>
  <si>
    <t>Domingo de Ugarte</t>
  </si>
  <si>
    <t>de Guajuco en aquella Diócesis, á D. Juan Josef Garza, Cura del Sagrario de la misma Catedral, y á D. Domingo de Ugarte, Racionero de ella; y para la Canongía Penitenciaria de la Iglesia de Comayagua á D. Francisco Marques, Presbítero , y Cura que fue de este Obispado. El dia 5 de Mayo de este año,</t>
  </si>
  <si>
    <t>zquez, Cura de esta ciudad; y para una Ración de la del Nuevo Rcyno de León, vacante por ascenso de D. Domingo de Ugarte, á D. Juan Francisco de Arce y Rosales, Cura del Obispad© de Durango. En el Regimiento de infantería de Buenos-Ayres se ha servido el Rey promover á Capitán al Teniente de granade</t>
  </si>
  <si>
    <t>de Uriarte, Antonio Nazareo</t>
  </si>
  <si>
    <t>Antonio Nazareo de Uriarte</t>
  </si>
  <si>
    <t>servido S. M. promover á Capitán ai Teniente D. Manuel Martínez García; á Tenientes á los Alféreces D. Antonio Nazareo de Uriarte, Don Blas de Cárdenas, D. Nicolás Arniaud y D. Juan Manuel de Alcega, y á Alféreces á los Portaestandartes D. Agustín González y D. Santiago Mugerza, y al Cadete D. Josef Severo C</t>
  </si>
  <si>
    <t>de Uriosté, Francisco</t>
  </si>
  <si>
    <t>Francisco de Uriosté</t>
  </si>
  <si>
    <t>na Agustina y Doña María de las Carreras, casadas lá primera con D Lúeas de Ostria y la segunda con Don Francisco de Uriosté, vecinos ambos del dicho lugar de Nocedal. Lo que se anuncia al público, á fin de que los que efectivamente resulten herederos del dicho Don Francisco de. las Carreras, acudan ant</t>
  </si>
  <si>
    <t>de Urquizu, Juan Ramón</t>
  </si>
  <si>
    <t>Juan Ramón de Urquizu</t>
  </si>
  <si>
    <t>los lugares circunvecinos de la villa, ó en otra qualquiera forma. Los eomisionadoí nombrados son D. Juan Ramón dé Urquizu y D. Juan Agustín de Gasteá, vecinos de dicha villa, con todas lás facultades necesarias para tratar, conferenciar;y escriturarle con el pretendiente que mejor les pareciese, añadiend</t>
  </si>
  <si>
    <t>de Ürraza, Juan Antonio</t>
  </si>
  <si>
    <t>Juan Antonio de Ürraza</t>
  </si>
  <si>
    <t>SoS baníi de níimero de D. Juan Antonio dé Ürraza; previniendo está señalado para su remate el dia 28 del corriente. A voluntad de su dueño se vende una casa sita en la calle de S. Joaquín de esta Corte, que hice esquina á la del</t>
  </si>
  <si>
    <t>de Urruela, Francisco</t>
  </si>
  <si>
    <t>Francisco de Urruela</t>
  </si>
  <si>
    <t>el del Castillo Negrete, Regente de la de Guatemala. El 2 2 de Agosto ííltimo remitió por el correo D. Francisco de Urruela, de Madrid, á D. Juan Francisco de la Herran, del valle de Samano, en las montañas de Santander, «a vale Real de 300 pesos.de la creación de Majo, níim. 487,109, endosado á dicho</t>
  </si>
  <si>
    <t>de Vado, Luis Santiago</t>
  </si>
  <si>
    <t>Luis Santiago de Vado</t>
  </si>
  <si>
    <t>ntiago de Villena, en la Diócesis de Cartagena , vacante por fallecimiento de D. Joaquín Cebrian, á D. Luis Santiago de Vado , con obligación de residirle, y ayudar al Párroco en la administración de Sacramentos. El Rey se ha servido nombrar para una Canongía de la Catedral de Málaga , vacante por ascen</t>
  </si>
  <si>
    <t>de Valadous, Henrique</t>
  </si>
  <si>
    <t>Henrique de Valadous</t>
  </si>
  <si>
    <t>a á los Cadetes D. Manuel Palau y D. Josef Gutiérrez Camberos y España; y en el de Borbon al Cadete D. Henrique de Valadous, y al Sargento primero D. Bernardo Casenave. El Rey se ha servido conceder empleo de Alférez en el Regimiento de caballería del Príncipe al Portaestandarte D. Alvaro Maldonado: en</t>
  </si>
  <si>
    <t>de Valladares, Pedro</t>
  </si>
  <si>
    <t>Pedro de Valladares</t>
  </si>
  <si>
    <t>uieran hacer postura, acudan ante dicho Sr. Comisionado, por la escribanía de provincia que exerció D. Pedro de Valladares. Continúa abierta la subscripción á las Efemérides de España por el segundo trimestre de este año, ó sea el quinto de su publicación. Los editores de esta obra, deseando correspon</t>
  </si>
  <si>
    <t>cha' casa, aC\1dan ante' el 'insilluado Sr. Comisionado, por la escribanía de provincia que exerci6 D. Pedro de Valladares, y sirve D. J~an Garrido, que se ad!i'litirán las que, se hic;iercn,' no siendo manos muertaS, 'ni b~1[.ndo del precio de su tasacion., '" ' _', ~)"r Real Cédula de S. )1.. '7 Se¡</t>
  </si>
  <si>
    <t>de Vargas, Francisco</t>
  </si>
  <si>
    <t>Francisco de Vargas</t>
  </si>
  <si>
    <t>ha servido nombrar Subinspector Comandante de Artillería del Departamento de Cartagena al Brigadier D. Francisco de Vargas, Gefe de Escuela del de Sevilla. S. M. se ha servido conferir el empleo de Guarda-Almacén extraordinario de Artillería de la plaza de Seu deUrgel ai Gu arda-Al macen reformado del</t>
  </si>
  <si>
    <t>de Velasco y Pérea Galvez, Antonio</t>
  </si>
  <si>
    <t>Antonio de Velasco y Pérea Galvez</t>
  </si>
  <si>
    <t>ortaguiones D. Manuel Fernandez Alonso, D. Mariano de Otero y D. Pedro de Otero; y á Portaguiones á D. Antonio de Velasco y Pérea Galvez, D. Andrés de Obregoa y D. Juan ele Pesquera, vecinos de la de-* marcación dei Regimiento. S. M. se ha servido promover á Teniente Veterano, con funciones de Ayudante de la Plana</t>
  </si>
  <si>
    <t>de Velasco, Manuel</t>
  </si>
  <si>
    <t>Manuel de Velasco</t>
  </si>
  <si>
    <t>Garibaldi,«orno preferente á todas, á mas del premio, con otro igual palillero, que costeó el socio Don Manuel de Velasco. En el acto de la adjudicación de los premios cediéron la parte pecuniaria de ellos D. Fermín Nebot, Doña María de la Concepción Dolz, Doña Juana Ximenez del Rio y Doña María Bera</t>
  </si>
  <si>
    <t>de Vera y Pantoja, Pedro</t>
  </si>
  <si>
    <t>Pedro de Vera y Pantoja</t>
  </si>
  <si>
    <t>a del Mercado de la villa de Alburquerque., vacante por fallecimiento de D. Francisco Perez Ruiz, á D. Pedro de Vera y Pantoja, con retención de los dos Medios-Beneficios servideros que obtiene en la Parroquial de S. Mateo de la misma villa. El Rey se ha servido nombrar para un Beneficio de residencia de</t>
  </si>
  <si>
    <t>de Victoria, Carlos</t>
  </si>
  <si>
    <t>Carlos de Victoria</t>
  </si>
  <si>
    <t>ntos de caballería de línea se Ha servido el Rey promover: en el del Infante á Ayudante al Teniente D. Carlos de Victoria: en el de Algarbe á Alférez ai Portaestandarte D. Pablo Huguet; y á Portaestandartes en los deFarnesio y Santiago á los Sargentos primeros Don Juan Díaz y D. Juan Portaz. En los d</t>
  </si>
  <si>
    <t>de Vicuña, Manuel Ignacio</t>
  </si>
  <si>
    <t>Manuel Ignacio de Vicuña</t>
  </si>
  <si>
    <t>ntro de 30 dias precisos, contados desde esta fecha, con los dor cumcntos correspondientes, al Lie. D. Manuel Ignacio de Vicuña y á D. Felipe de JBetolaza, vecinos de la ciudad de Vitoria, y testamentarios de Doña María Josefa de Oromiota, difunta; y en Madrid á D. Josef Gómez de Herrera, calle ancha de los</t>
  </si>
  <si>
    <t>de Vienta, Romualdo</t>
  </si>
  <si>
    <t>Romualdo de Vienta</t>
  </si>
  <si>
    <t>elo, de 23 años. Escultura, á D. Remigio de la Vega, natural de Madrid, de 18 años. Arquitectura,.á D. Romualdo de Vienta, natural de, Meruelo, de 24 años. Premios segundos. Medallas Je plata, cíe 8 onzas. Pintura i á-D. Pedro de la Cruz , natural de Madridde 15 añosl Escultura , á D/Jósef Muñoznatur</t>
  </si>
  <si>
    <t>de Vignri, Luis</t>
  </si>
  <si>
    <t>Luis de Vignri</t>
  </si>
  <si>
    <t>año de 1805 á L&gt;. Rafael Gómez Rombaud como Intendente interino de la Havana, siendo el propietario D. Luis de Vignri. A voluntad:de su dueño se vende una casa sita en la calle de la Abada, que vuelve á la de la Salud, núm. 18 , manz. 358, que tiene 5361 pies, que según la compra que de ella se h</t>
  </si>
  <si>
    <t>de Vigurí, Luis</t>
  </si>
  <si>
    <t>Luis de Vigurí</t>
  </si>
  <si>
    <t>nes, Alférez del de Cazadores de Olivencía. Satisfecho S. M. de los dilatados y buenos servicios de D. Luis de Vigurí, Intendente de Exército jubilado de la isla de Cuba, se ha servido concederle los honores de Ministro del Consejo Supremo de Guerra. Por ios últimos avisos del Virey de México se</t>
  </si>
  <si>
    <t>de Villa, Pedro Ramón</t>
  </si>
  <si>
    <t>Pedro Ramón de Villa</t>
  </si>
  <si>
    <t>del Sacromonte de dicha ciudad: para la Canongía de la Iglesia de Vailadolid, vacante por muerte de D. Pedro Ramón de Villa, á D. Tomas Moyano, Canónigo de la Colegiata de Santa Fe, Diócesi de Granada: para el Priorato de nuestra Señora del Puy , extramuros de la ciudad de Estella, Diócesi de Pamplona,</t>
  </si>
  <si>
    <t>de VillaIon, Nicolás</t>
  </si>
  <si>
    <t>Nicolás de VillaIon</t>
  </si>
  <si>
    <t>Rey se ha servido nombrar para la C-anongía Doctoral de la Catedral de Cuba, vacante por muerte de D. Nicolás de VillaIon , á D. Josef Nicolás Veranes, Racionero de la propia Iglesia. En el Regimiento de infantería de la Havana se ha servido el Rey conferir la Sargentía mayor al Teniente Coronel D. M</t>
  </si>
  <si>
    <t>de Villanueva, Martín</t>
  </si>
  <si>
    <t>Martín de Villanueva</t>
  </si>
  <si>
    <t>en lá calle de los Huertos, que tiene de sitio 1433 pies. El que quisiere hacer postura, acudirá á D. Martin de Villanueva, Procurador de los Reales Consejos, calle delL Príncipe, esquina á la de la Lechuga, quién dará mas'noticias sobre el particular. A voluntad de su dueño se venden tres casas en es</t>
  </si>
  <si>
    <t>de Villanueva, Miguel</t>
  </si>
  <si>
    <t>Miguel de Villanueva</t>
  </si>
  <si>
    <t>roco en el de Larragueta, tasada en 80S rs. La persona que quiera hacer postura acuda en Pamplona ¿ D. Miguel de Villanueva, Escribano y Portero Real, y en Madrid en la librería de Montero, calle de la Concepción, escribiendo á este último. E11 ia villa de Mondejar, partido de Guadalaxara, distante 8 l</t>
  </si>
  <si>
    <t>de Villasante, Antonio</t>
  </si>
  <si>
    <t>Antonio de Villasante</t>
  </si>
  <si>
    <t>aderas, puertas, piedra, y demas para acabarla. Quien quisiere tratar de su ajuste, acuda á casa de D. Antonio de Villasante, en su tienda al lado del Repeso de Corte. En la villa de Borox se halla vacante el Magisterio. de primeras Letras, cuya dotación es de 300 ducados.&gt;Lqs pretendientes han de estar</t>
  </si>
  <si>
    <t>de Villegas Quevedo, Ramón</t>
  </si>
  <si>
    <t>Ramón de Villegas Quevedo</t>
  </si>
  <si>
    <t>leros D. Ricardo de Salcedo; y de Subteniente de bandera de los de Burgos, Segovia^ León y Murcia á D. Ramón de Villegas Quevedo, D. Miguel'Mendez Cabeza y Bazan, D. Gregorio Moreda y D. Francisco Rosique. , En América. En el Regimiento de infantería de.Buenos-Ayres se ha ser? vidó el Rey,promover á Tenient</t>
  </si>
  <si>
    <t>de Villena, Francisco Manuel</t>
  </si>
  <si>
    <t>Francisco Manuel de Villena</t>
  </si>
  <si>
    <t>or Pou. En la Compañía Española de Reales Guardias de Corps ha promovido el Rey á Alférez al Exento D. Francisco Manuel de Villena; á Exento de número al supernumerario D. Antonio Pascual Barradas; á supernumerario al Brigadier D. Antonio Ruano; á Brigadier al Subrigadier D. Diego Oviedo.; á Subrigadier al Ca</t>
  </si>
  <si>
    <t>de Vives, Juan Miguel</t>
  </si>
  <si>
    <t>Juan Miguel de Vives</t>
  </si>
  <si>
    <t>siguientes: 1 5079^,158584, 1^458 r 17131 r:, endesadós pbr'el pnaa General de Mallorca, D. Juan Miguel de Vives, TD. Joaquín de Palafcx* se le han extraviado ó caído en la Reai Tesorería , donde fué antes- á comisión del CCuerpo, ó en Ja casa Aduana, Jo que se da noticia para que la persona</t>
  </si>
  <si>
    <t>de Werger, Barón</t>
  </si>
  <si>
    <t>Barón de Werger</t>
  </si>
  <si>
    <t>mismo Land-Amman estaba el Ministro de Ajus.tjri» Mr. Crumpipen, acompañado del Barón de Werger, Ministro de Baviera. Luego que estuvieron todos colocados, se levantó el Land-Amman, y pronunció ;un discurso, qué duró media hora, á que siguió otro de los Diputadas. Después de la ceremo</t>
  </si>
  <si>
    <t>de Yríarte, Tomás</t>
  </si>
  <si>
    <t>Tomás de Yríarte</t>
  </si>
  <si>
    <t>Cartera, historia de Cieza, y disertaciones en Kit defensa* Colección de.obras en verso y prosa de D. Tomas de Yríarte, segunda edición, en que se agregan algunas que habla el autor impreso separadamente, como los literatos en quaresma., _ la. Señorita mal criada, comedia en. -tres actos , y .Guzn</t>
  </si>
  <si>
    <t>de Zafra y Bermudez, Miguel</t>
  </si>
  <si>
    <t>Miguel de Zafra y Bermudez</t>
  </si>
  <si>
    <t>pado: para otra Ración de la Catedral de Avila, vacante por muerte de D. Ignacio Díaz Caballero , á D. Miguel de Zafra y Bermudez, Cura mas antiguó del Sagrario de la Catedral de Jaén; y para el Beneficio Sacristía del lugar de Guardamiro, en la Diócesi de Salamanca* vacante por fallecimiento de D. Narciso d</t>
  </si>
  <si>
    <t>de Zalacain, Francisco Miguel</t>
  </si>
  <si>
    <t>Francisco Miguel de Zalacain</t>
  </si>
  <si>
    <t>uia de Santianes de Molenes, Arciprestazgo de Grado, en la Diócesi de Oviedo, vacante por muerte de D. Francisco Miguel de Zalacain, y el Préstamo de la villa de Belinchon, en la Diócesi de Cuenca, vacante por ascenso de D. Manuel Corella al Beneficio de Pegalajar, Diócesi de Jaén , á D. Francisco de la Peña.</t>
  </si>
  <si>
    <t>de Zamácola, Juan Antonio</t>
  </si>
  <si>
    <t>Juan Antonio de Zamácola</t>
  </si>
  <si>
    <t>manz. 257, tasada en 36,742 rs. Quien quisiere hacer postura, acuda á la escribanía de provincia de D. Juan Antonio de Zamácola. En virtud de providencia del Sr. O. Manuel Vicente de Torres, del Consejo de S. M., Teniente Corregidor de esta villa, se fea mandado sacar á pública subasta una casa sita en el</t>
  </si>
  <si>
    <t>de Zamacola, Juan Antonio</t>
  </si>
  <si>
    <t>Juan Antonio de Zamacola</t>
  </si>
  <si>
    <t>dado continuar por 30 días mas. Quien quisiere hacer postura, acuda á la escribanía de provincia de D. Juan Antonio de Zamacola. Se vende una casa de campo, con 111 fanegas de tierra al rededor, parte de ellas plantadas con 12© cepas, 300 pies de olivo, y otros muchos árboles frutales y no frutales, con to</t>
  </si>
  <si>
    <t>614 Quien quisiere hacer postura acuda á la escribanía de provincia de D. Juan Antonio de Zamacola. ' . En el año pasado de 1766 se formó concurso á los bienes de D. Pedro Josef de Adame, vecino de esta Corte, en el que se presentaron varios acreedores á virtud de repetidos emp</t>
  </si>
  <si>
    <t>Manuel María de Junco se ha señalado para el dia 30 del presente, por la escribanía de provincia de D. Juan Antonio de Zamacola, el remate de la casa sita en la calle de Jesús y María, numero 7, manz. 257, barrios de Jesús, tasada en 36.742 rs., que se anunció en la Gazeta de 16 de Julio próximo, y dan por</t>
  </si>
  <si>
    <t>de Zamudio, Rafael</t>
  </si>
  <si>
    <t>Rafael de Zamudio</t>
  </si>
  <si>
    <t>o conceder en el Batallón de Milicias urbanas de Puno, en el Reyno del Perú, el empleo de Coronel á D. Rafael de Zamudio; la Tenencia Coronela á D. Rufino Vercoime; la Sargentía mayor i D. Pedro Alcocer; Compañía de granaderos á D. Martin Rivarola, y de fusileros á D. Evaristo Franco, D. Diego Aliag</t>
  </si>
  <si>
    <t>de Zarate, Juan</t>
  </si>
  <si>
    <t>Juan de Zarate</t>
  </si>
  <si>
    <t>o ; y los Seminaristas Don J.osef de .Castro, Cadete de Reales. Guardias Walonas, D. Manuel Abbad, ;D. Juan de Zarate , D. Gerónimo Maza , D¿ Juan Maza , y D¡ Juan Lecumberri. El premio extraordinario de instrucción religiosa no se había adjudicado hasta ahora , porque para ganarle no basta saber</t>
  </si>
  <si>
    <t>de Zavala y Zamora, Gaspar</t>
  </si>
  <si>
    <t>Gaspar de Zavala y Zamora</t>
  </si>
  <si>
    <t>n la librería de Escribano , calle de las Carretas, á real. Oderay: novela Americana, traducida por D. Gaspar de Zavala y Zamora : un tomo en 8.° Estilo nada común, comparaciones tan exactas como sencillas, amor finísimo, contenido en los límites de la razón y decencia, y la noticia de los usos, trages, rit</t>
  </si>
  <si>
    <t>de Zavala, Ignacio María</t>
  </si>
  <si>
    <t>Ignacio María de Zavala</t>
  </si>
  <si>
    <t>podrá acudir, por medio de memorial, á los. Comisionados D. Josef Agustín de Oxangoiti-Cadalso, ó á D. Ignacio María de Zavala, vecinos de dicha villa, durante el próximo mes de Mayo, á cuyo tiempo se procederá á su provisión por el Ayuntamiento, precedidos los informes conducentes. Los subscriptores á la</t>
  </si>
  <si>
    <t>de Zelaya, Ramón</t>
  </si>
  <si>
    <t>Ramón de Zelaya</t>
  </si>
  <si>
    <t>e fusileros á D. Josef Ignacio Larrazabal y D. Antonio Batres y Asturias; Tenencia de grariaderos á D. Ramón de Zelaya, y de fusileros á D. Leonardo Josef Jáuregui ,D. Antonio Robles,, D. Francisco Xavier Aguirre y Larios ,* D. Tadeo Pinol y Aycinena y D. Juan Josef Gorriz; Subtenencia de granader</t>
  </si>
  <si>
    <t>de Zichy, Conde</t>
  </si>
  <si>
    <t>Conde de Zichy</t>
  </si>
  <si>
    <t>ecinos. En el día se habla mucho de un proyecto presentado (según dicen) por el Conde de Zichy, Ministro de Hacienda de Austria, y aprobado por el Emperador ; cuyo objeto se reduce á hacer entrar en el tesoro Imperial estas obligaciones para anularlas después, y ponerlas de este modo</t>
  </si>
  <si>
    <t>de Zuloaga, Ramón</t>
  </si>
  <si>
    <t>Ramón de Zuloaga</t>
  </si>
  <si>
    <t>ancisco Barraycua, D. Alonso .AIvarado, y D. Sebastian. Gorvea? los Gefes de trozo D. Pedro Tavira, D. Ramón de Zuloaga, D¿ Ramón Fernandez, D. josef Martínez , y, D. Manuel Ferrando ; y los Seminaristas Don J.osef de .Castro, Cadete de Reales. Guardias Walonas, D. Manuel Abbad, ;D. Juan de Zarate</t>
  </si>
  <si>
    <t>de Zuloaga, Santiago</t>
  </si>
  <si>
    <t>Santiago de Zuloaga</t>
  </si>
  <si>
    <t>e ha servido nombrar para-una Media-Ración de la Metropolitana de Carácas, vacante por promoción de D. Santiago de Zuloaga á Canónigo Doctoral de ella, á D. Domingo Diaz Argote, Cura de Guatire en aquel Arzobispado. Igualmente ha nombrado S. M. para el empleo de Teniente letrado y Auditor de Guerra de</t>
  </si>
  <si>
    <t>De, General</t>
  </si>
  <si>
    <t>General De</t>
  </si>
  <si>
    <t>iales de. esta nación entre muertos y heridos ? 50 soldados muertos, y 250'heridos. La conducta del General De:roi merece, los mayores elogios: es un Oficial an*ciano: lleno de honor, y muy áfectp.al Elector, dp quien es amigo. Há habido hasta ¿hora ‘tanto yqité hacer, que el imperador ño</t>
  </si>
  <si>
    <t>Debost, Pedro</t>
  </si>
  <si>
    <t>Pedro Debost</t>
  </si>
  <si>
    <t>y de bandera á D. Ulrico' Mayenfisch y D. Pedro á Marca: en el de Wimpnen á Teniente al Subteniente D. Pedro Debost; á Subteniente de granaderos al de fusileros Don Andrés Bonenzy ; y á Subteniente de bandera ál Cadete D. Francisco VIVÍS. ' - ■ ^ ’ : y •' S. M. se ha servido conferir el Gobiern</t>
  </si>
  <si>
    <t>Decaen, General</t>
  </si>
  <si>
    <t>General Decaen</t>
  </si>
  <si>
    <t>rle arrestado á la Isla de Francia'.__ El 2$ de Mayo, el navio Berceau fué enviado á Francia por el General Decaen, con pliegos, quejándose de Linois.__ El Gobierno Francés de la Isla de Francia na propuesto á los Holandeses guarnecer con tropas de su nación el Cabo de Buena Esperanza y Batavi</t>
  </si>
  <si>
    <t>nte , con cuyo objeto ha creado nuevos empleos el Emperador. El Ministerio, ha recibido pliegos del General Decaen, Comandante General de la Isla de Francia, de la Reunión y de sus dependencias, en que comunica haberse proclamado en aquellas colonias el Emperador Napoleón como su Soberano, y a</t>
  </si>
  <si>
    <t>ara conseguirlo con ios Príncipes Indios. Sus sospechas se fundan, en la llegada de Mr. Biiiot y el General Decaen á Pondichery, después de la conclusión del tratado de Amiens,y efri la conducta que observaron ámbos en aquel establecimiento; pues le parecía ademas que la intención de la Franci</t>
  </si>
  <si>
    <t>Decombes, Carlos</t>
  </si>
  <si>
    <t>Carlos Decombes</t>
  </si>
  <si>
    <t>caballería, de la, Reyna se ha servido el Rey conceder Ayudantía ai Teniente, graduado de Capitán,. D. Carlos Decombes:: en el de Borbon empleo de Alférez, al Portaestandarte D.. Francisco Salíquet; y empleo de Teniente en el de Algarbe al- Alférez D..Ventura.Garcia*. También -se ha servido M.. co</t>
  </si>
  <si>
    <t>Deigras, Domingo</t>
  </si>
  <si>
    <t>Domingo Deigras</t>
  </si>
  <si>
    <t>as Milicias urbanas del Campo deGibraltar D. Nicolás Rendon, y en el de Granada al Sargento primero D. Domingo Deigras. El Rey se ha servido conceder en el Regimiento de infantería de Asturias Tenencia al Subteniente de granaderas. D. Franpisco Lago y. Viñas ; y en el de Extremadura Subtenencia de</t>
  </si>
  <si>
    <t>Dejouy, Pedro</t>
  </si>
  <si>
    <t>Pedro Dejouy</t>
  </si>
  <si>
    <t>ila. El Rey se ha servido conceder en el Regimiento de infantería de Hibernia Ayudantía al Teniente D. Pedro Dejouy; y en el de Toledo Tenencia al Subteniente D. Josef Muñoz de Toro. En ios Regimientos de caballería de línea se ba servido el Rey conferir, en el de Santiago, el empleo de Tenient</t>
  </si>
  <si>
    <t>del Barco y la Cendeja, Agustín</t>
  </si>
  <si>
    <t>Agustín del Barco y la Cendeja</t>
  </si>
  <si>
    <t>cisco de Paula Uclés de Herrera y Ramírez, D. Diego Entrena y Mosquera, D. Manuel Cavaleri y Arana, D. Agustín del Barco y la Cendeja, D. Francisco Rio Espina y Aracil. D. Pablo de la Puente y Aranguren* D. Luis Cepeda y Ruliere, D. Francisco Andrada Wanderwilde, D. Cipriano Palafox, Marques de Fuente el Sol, D.</t>
  </si>
  <si>
    <t>del Barco, Pedro</t>
  </si>
  <si>
    <t>Pedro del Barco</t>
  </si>
  <si>
    <t>Di Mateo Ghar-1 denoux, D. Pedro Argaiz, D. Pablo Ventades, D. Agustín Salazar, Don Juan Pusterla, D. Pedro del Barco, D. Francisco Saravia y D. Manuel Cebi-ian¿ En Iqs Cuerposde Milicias Provinciales ha promovido el Rey á Tenientes, en ei;d¿ León, á Ios-Subtenientes D. Santiago Lorenzo Largo y D</t>
  </si>
  <si>
    <t>del Busto, Juan</t>
  </si>
  <si>
    <t>Juan del Busto</t>
  </si>
  <si>
    <t>la, muerto; D. Martin Urias id.: D. Pedro Moriano id.: D. Josef Roso id.: D. Manuel Ribera, herido: D. Juan del Busto id.: D. Ignacio del Valle id. Teniente de Bornbarela. D. Juan de Medina, muerto. Alféreces_de Navio. D. Luis Perez del Camino, muerto: D. Cayetano Picado id.: D. Ramón Echague id.</t>
  </si>
  <si>
    <t>del Camino, Joaquín Antonio</t>
  </si>
  <si>
    <t>Joaquín Antonio del Camino</t>
  </si>
  <si>
    <t>r concedido los votes á la Iglesia de Santiago de Galicia, en seguida de la batalla de Clavijo, por D. Joaquín Antonio del Camino *. 5.a Impugnación al papel que con el t'tuio de Múñela y Cértirna, celtibéricas, dió á luz el R. P. M. Fr. Manuel Risco, por D. Juan Francisco Martínez Palero: 6.* Discurso sobre</t>
  </si>
  <si>
    <t>del Campo y Rivas, Manuel</t>
  </si>
  <si>
    <t>Manuel del Campo y Rivas</t>
  </si>
  <si>
    <t>ncia de México, vacante por ascenso de D. Francisco Alvaxez Mendieta á otra de Oidor de la misma, á D. Manuel del Campo y Rivas, Decano de la de Guadalaxara; y para la Fiscalía de lo Civil y Criminal de la de Manila, en las islas Filipinas, á D. Juan de Mata Ramos , Abogado de los Reales Consejos. S. M. se</t>
  </si>
  <si>
    <t>del Campo, Agustín</t>
  </si>
  <si>
    <t>Agustín del Campo</t>
  </si>
  <si>
    <t>o á Exento de número de la Compañía Italiana deí Real Cuerpo de Guardias de Corps al Supernumerario D. Agustín del Campo; y ha conferido Tenencia en el Regimiento de Sagunto,</t>
  </si>
  <si>
    <t>del Carmen, Francisco</t>
  </si>
  <si>
    <t>Francisco del Carmen</t>
  </si>
  <si>
    <t>Francisco del Cár- Hijo de Pablo , nat. de la villa de Vera en")</t>
  </si>
  <si>
    <t>del Castaño, Ventura</t>
  </si>
  <si>
    <t>Ventura del Castaño</t>
  </si>
  <si>
    <t>D. Pedro Martínez Unamuzaga, Don' Pedro Cañedo, D. Manuel GonzálezÁramburu, D. Juan Manuel Lozano, D. Ventura del Castaño, D. Mariano Cruceta, D..SantiagoRizo, D. Eugenio Ibarrcia, D. Josef Osorio, y-'D. Martin Arambunn En el de los Valles de Acari y Chala Ayudantía ai Teniente del mismo D. Josef Ant</t>
  </si>
  <si>
    <t>del Castillo Negrete, Manuel</t>
  </si>
  <si>
    <t>Manuel del Castillo Negrete</t>
  </si>
  <si>
    <t>Regente de la Audiencia de México, vacante por fallecimiento de D. Cosme de Mier y Trespalacios, á D. Manuel del Castillo Negrete, Regente de la de Guatemala. El 2 2 de Agosto ííltimo remitió por el correo D. Francisco de Urruela, de Madrid, á D. Juan Francisco de la Herran, del valle de Samano, en las monta</t>
  </si>
  <si>
    <t>del Castillo y Melgar, Francisco</t>
  </si>
  <si>
    <t>Francisco del Castillo y Melgar</t>
  </si>
  <si>
    <t>on Juan Nepomuceno Pineda y Benavente, Subteniente reformado, D. Francisco Borja Almera y Algumola, D. Francisco del Castillo y Melgar, Don Fernando de Contreras, D. Tomas Bernardo López, y D. Hipólito Martin Sánchez. # S. M. se ha servido promover á Subtenientes de bandera en los Regimientos de infantería de Sab</t>
  </si>
  <si>
    <t>del Castillo y Mercado, Gabriel</t>
  </si>
  <si>
    <t>Gabriel del Castillo y Mercado</t>
  </si>
  <si>
    <t>o González. Por el juzgado del Corregidor de la ciudad de Avila, y escribanía del número de ella de D. Gabriel del Castillo y Mercado, se está subastando uno de los quatro oficios de Notarías mayores de aquel Tribuna! Eclesiástico, tasado en 38,500 rs. en venta, y 1150 en renta; previniendo que se hallan hechas</t>
  </si>
  <si>
    <t>del Castillo, Diego</t>
  </si>
  <si>
    <t>Diego del Castillo</t>
  </si>
  <si>
    <t>mudez de Castro, muerto: D. Juan Balsola, herido: D. Nicolás del Rio id.: D. Josef de la Serna id.: Don Diego del Castillo id.: D. Gerónimo Obregon id. Teniente de Brulote. D. Jacobo Alemán, herido. Contramaestre de Esquadra. D. Miguel García, muerto. Guardias Marinas. DvGerónimo Salas , muerto: D. Jo</t>
  </si>
  <si>
    <t>.............................. D. Jacinto Guiral. Alférez de Fragata.......... .................... D. Diego del Castillo. Idem y primer Piloto.................... . D. Aniceto Perez. ^ ,. ,, . JD. Manuel Briones. Guardias Marinas..................................\D. Antonio Bobadilla y Eslava. Herid</t>
  </si>
  <si>
    <t>del Castillo, Domingo</t>
  </si>
  <si>
    <t>Domingo del Castillo</t>
  </si>
  <si>
    <t>. Mariano Hinojosa, D. Andrés Losa, D. Manuel Calderón, D. Estéban Carvajal, D. Francisco Calderón, D. Domingo del Castillo y D. MarianoGab do; y de bandera á D. Eladio de la Riba y D. Bernardo Portugal. El Rey se ha dignado conceder en el Batallón de Milicias urbanas de Puno, en el Reyno del Perú, el empl</t>
  </si>
  <si>
    <t>del Castillo, Juan</t>
  </si>
  <si>
    <t>Juan del Castillo</t>
  </si>
  <si>
    <t>ronel ,D. Antonio García de los Ríos; y á Subteniente de bandera del de Sevilla al Sargento primero D. Juan del Castillo. La Junta de gobierno del Banco nacional de S. Carlos, en virtud del cap. 19 de la Real cédula de erección,y de lo que previenen el i.° y 2.0 del Reglamento de Juntas generales, h</t>
  </si>
  <si>
    <t>del Castillo, Salvador</t>
  </si>
  <si>
    <t>Salvador del Castillo</t>
  </si>
  <si>
    <t>miento D. Francisco de la Mata, á los Cadetes de los de Voluntarios ae Castilla y del Fixo de Ceuta Don Salvador del Castillo y D. Alfonso Dieste; y ai Sargento primero del de Voluntarios de Estado D. Josef Ambros: en el de Murcia al Cadete del de Granada D. Ignacio Garcini; y en el de Voluntarios de la Coro</t>
  </si>
  <si>
    <t>del Imperio Berthier, Mariscal</t>
  </si>
  <si>
    <t>Mariscal del Imperio Berthier</t>
  </si>
  <si>
    <t>a. El Mariscal del Imperio Massena, General en gefe del exército de Italia , al Mariscal del Imperio Berthier, Ministro de la Guerra. —En el quartel general de S. Martin d 29 de Octubre. =rSeñor Mariscal: En conseqüencia de la marcha del exército grande, y siempre guiándome por 1a idea ¿le subordin</t>
  </si>
  <si>
    <t>del Imperio, Mariscal</t>
  </si>
  <si>
    <t>Mariscal del Imperio</t>
  </si>
  <si>
    <t>división Belliard, Gefe del Estado mayor general de S. A. S. el Príncipe Murat, Mariscal del Imperio, Teniente de S. M. el Emperador de los Franceses y Rey de Italia, y el Teniente General Wernek, Comendador y Gentilhombre de S. M. el Emperador de Alemania, y Comandante de un cuerpo de exé</t>
  </si>
  <si>
    <t>del Junco, Antonio</t>
  </si>
  <si>
    <t>Antonio del Junco</t>
  </si>
  <si>
    <t>rejon; á Tenientes ai Subteniente Don Felipe Ximenez, al Portaguión D. Antonio Ximenez, y al Cadete D. Antonio del Junco; á Subtenientes al Cadete D. Francisco de la Guardia y al Sargento primero.D. Andrés de Leon^ y á Portaguión al Soldado distifi*guido. D. Andrés Ximenez: en la Compañía urbana de</t>
  </si>
  <si>
    <t>del Moral, Manuel</t>
  </si>
  <si>
    <t>Manuel del Moral</t>
  </si>
  <si>
    <t>e las Tres Villas, en NuevaEspaña,se ha servido el Rey promover á Capitán al Teniente de granaderos D. Manuel del Moral; á Teniente de granaderos al de fusileros D. Antonio Arguelles; á Teniente al Subteniente D. Juan Antonio Llano; á Subteniente de granaderos al de fusileros D. Joaquín Barrena; á</t>
  </si>
  <si>
    <t>del Peso y Quiñones, Pedro</t>
  </si>
  <si>
    <t>Pedro del Peso y Quiñones</t>
  </si>
  <si>
    <t>, creación de 1.® de Enero, número 344,090: et que lo hubiere hallado, lo entregará en esta Corte a D. Pedro del Peso y Quiñones, y en la ciudad de Avila á D. Joseph Espinosa Lozano. ' '' Se desea saber el paradero dé IX Juan Férnahcld del Castillo, que vivía en está Corte el año de 1787, para entregarle un</t>
  </si>
  <si>
    <t>del Postigo, Isidoro</t>
  </si>
  <si>
    <t>Isidoro del Postigo</t>
  </si>
  <si>
    <t>, poniéndose en huida al remo, y ayudados de remolques. El falucho del mando del Alférez de Fragata D. Isidoro del Postigo logró acercarse á los enemi gos , é incomodarlos bastante con su fuego; pero tuvo que desistir por no empeñarse con fuerzas tan superiores. Reunida la esquadra luego que el viento</t>
  </si>
  <si>
    <t>del Puero, Alonso</t>
  </si>
  <si>
    <t>Alonso del Puero</t>
  </si>
  <si>
    <t>aderos Provinciales de Andalucía; y en el de Extremadura Subtenencia de bandera al Sargento primero D. Alonso del Puero. El Rey ha promovido en los Regimientos Provinciales á Capitanes de granaderos de los de Córdoba y Toro á los de fusileros D. Josef de Vi— llacevallos y D. Antonio Carrasco: á Cap</t>
  </si>
  <si>
    <t>del Rio y Carrillo, Gonzalo</t>
  </si>
  <si>
    <t>Gonzalo del Rio y Carrillo</t>
  </si>
  <si>
    <t>onero de ellat para la de Arcediano de Terrantona en la Catedral de Lérida, vacante por renuncia de D. Gonzalo del Rio y Carrillo, á D. Francisco López de Sigüenza, Capellán ma</t>
  </si>
  <si>
    <t>del Rió, Andrés</t>
  </si>
  <si>
    <t>Andrés del Rió</t>
  </si>
  <si>
    <t>'. Cristóbal Cladera al redactor del Correo de Londres t noticia de un nuevo metal, descubierto por D. Andrés del Rió en' México»—</t>
  </si>
  <si>
    <t>del Rio, Nicolás</t>
  </si>
  <si>
    <t>Nicolás del Rio</t>
  </si>
  <si>
    <t>Rato, herido. Alféreces de Fragata. D. Benito Bermudez de Castro, muerto: D. Juan Balsola, herido: D. Nicolás del Rio id.: D. Josef de la Serna id.: Don Diego del Castillo id.: D. Gerónimo Obregon id. Teniente de Brulote. D. Jacobo Alemán, herido. Contramaestre de Esquadra. D. Miguel García, muer</t>
  </si>
  <si>
    <t>del Rio, Pedro</t>
  </si>
  <si>
    <t>Pedro del Rio</t>
  </si>
  <si>
    <t>rn° sela Iglesia Católica para el gobierno de su kalendarioí un tomo Cn*J^Ui°S P°r pasta : su autor D. Pedro del Rio. t0mo cn 4” » a 26 en por Oraciones D. Antonioy Cartas de Isócrates,* tradacidas Ranz Romanillos: tomos en 8del vrieeo é¿ ¡Jstradas con notas 0 «favor hallarán en el despacho de l</t>
  </si>
  <si>
    <t>del Valle Inclan, Francisco Antonio</t>
  </si>
  <si>
    <t>Francisco Antonio del Valle Inclan</t>
  </si>
  <si>
    <t>a Parroquia de S. Nicolás de la villa de Requena, Diócesis de Cuenca , vacante por fallecimiento de D. Francisco Antonio del Valle Inclan, á D. Josef Alonso Duque, Rector del Seminario Conciliar de aquella ciudad : para el Beneficio de la villa de Flores de Avila, en aquel Obispado, vacante por muerte de D. Alonso B</t>
  </si>
  <si>
    <t>del Valle, Ignacio</t>
  </si>
  <si>
    <t>Ignacio del Valle</t>
  </si>
  <si>
    <t>rias id.: D. Pedro Moriano id.: D. Josef Roso id.: D. Manuel Ribera, herido: D. Juan del Busto id.: D. Ignacio del Valle id. Teniente de Bornbarela. D. Juan de Medina, muerto. Alféreces_de Navio. D. Luis Perez del Camino, muerto: D. Cayetano Picado id.: D. Ramón Echague id.: D. Pedro Nuñez, herido:</t>
  </si>
  <si>
    <t>del Valle, Ramón</t>
  </si>
  <si>
    <t>Ramón del Valle</t>
  </si>
  <si>
    <t>. Manuel de Herrera; Comandancias á D. Melchor Goizueta y D. Narciso Basagoitta ; Sargentía mayor á D. Ramón del Valle ; Compañía de carabineros á D. Josef Pelotieri; y sencillas ú D. Mariano Oviedo, D. Estéban Pacheco , D. Francisco Noriega, D. Antonio de la Borda, D. Josef Colombo, D. Antonio Ga</t>
  </si>
  <si>
    <t>Delanne, Juan María</t>
  </si>
  <si>
    <t>Juan María Delanne</t>
  </si>
  <si>
    <t>e del primer Batallón del Regimiento de su guardia de infantería Walona al Capitán del mismo Cuerpo D. Juan María Delanne, y en esta calidad le ha promovido igualmente á Brigadier de sus exércitos: para la Compañía que resulta vacante ha nombrado S. M. á D. Luis Alexandro de Bassecourt, Teniente y pr</t>
  </si>
  <si>
    <t>Delgado Monroy, Manuel Nicolás</t>
  </si>
  <si>
    <t>Manuel Nicolás Delgado Monroy</t>
  </si>
  <si>
    <t>a al público, p¿ra que si á alguno le acomodase , dirija su pretensión, en el término de 30 dias, á D. Manuel Nicolás Delgado Monroy, Alcalde ordinario por el estado noble de dicha villa. Compendio de la historia universal, quaderno 44 (último del tomo 11), con las 6 estampas correspondientes. Se hallará en la</t>
  </si>
  <si>
    <t>Delgado Náxera y Josef María Aguirre y Larios, Pedro</t>
  </si>
  <si>
    <t>Pedro Delgado Náxera y Josef María Aguirre y Larios</t>
  </si>
  <si>
    <t>ga; á Tenientes al Cadete D. Manueí del Castillo Negrete , Don Francisco Xavier Barrutia y Croquer, D. Pedro Delgado Náxera y Don Josef María Aguirre y Larios, los tres últimos vecinos dei mismo Reyno: y en el de la Nueva Segovia á Capitanes aí Teniente D. Josef María Garmendia y al Subteniente D. Josef Antonio Romero; á Tenientes á D.</t>
  </si>
  <si>
    <t>Delgado y Ayala, Francisco</t>
  </si>
  <si>
    <t>Francisco Delgado y Ayala</t>
  </si>
  <si>
    <t>ervido nombrar para la Vara de Alcalde mayor del Gobierno de la ciudad de Xerez de los Caballeros á D. Francisco Delgado y Ayala: para la de la villa del Corral de Almaguer á D. Jacobo Vázquez García; y para la de la villa de los Santos á D. Rafael Abrtu y del Moral, todas tres en el territorio de la Orden</t>
  </si>
  <si>
    <t>Delgado, Manuel</t>
  </si>
  <si>
    <t>Manuel Delgado</t>
  </si>
  <si>
    <t>Subteniente de granaderos D* Rafael del Hoyo; y Subtenencias de bandera en el de la Reyna ai Cadete D. Manuel Delgado; y en el de Valencia al Cadete D. Ramón de la Llave, y al Sargento primero del expresado de Zamora D. Ramón García. El Rey se ha servido conceder Tenencias en los Regimientos de i</t>
  </si>
  <si>
    <t>Delgado, Ramón</t>
  </si>
  <si>
    <t>Ramón Delgado</t>
  </si>
  <si>
    <t>granaderos al Alférez D. Lorenzo de Salas, y sencillas al Alférez D. Andrés Gallegos, al Portaguión D. Ramón Delgado, y á los Sargentos primeros D. Josef Manuel de Salas, D. Juan de Dios Alvarez, D. Francisco AIvarez y D. Jacinto Roque de Luna: empleo de Alférez de granaderos al Sargento primero</t>
  </si>
  <si>
    <t>Delile, Simón</t>
  </si>
  <si>
    <t>Simón Delile</t>
  </si>
  <si>
    <t>y en la Flamenca á Exénto Supernumerario al Brigadier D. Gerónimo Knapp; á Brigadier al Subrigadier D. Simón Delile; á Subrigadier al Cadete D. Josef Franquesa; á Cadete de número al Supernumerario D. Joaquín Colomé; y á Supernumerario al Guardia D. Juan Massia. En los Regimientos Provinciales</t>
  </si>
  <si>
    <t>Demetrio de Tejada</t>
  </si>
  <si>
    <t>illa y Voluntarios dé la Corona se ha servido el Rey conceder Subtenencias de bandera á los Cadetes D. Demetrio de Tejada, D. Fernando Mesía y Aranda, D. Miguel Aguilar y D. Manuel Gual, -este del batallón de Castilla hxo de CampecheEn América. El Rey se ha servido nombrar para la C-anongía Doctoral</t>
  </si>
  <si>
    <t>Demetrio Pedro Díaz</t>
  </si>
  <si>
    <t>a villa de Ledesma, en la de,Salamanca, yacante.por: fallecimiento de D, Manuel Hernández Vicente,á D. Demetrio Pedro Díaz: para el de Quintaniíla de Bon, en la d§ Burgos , vacante por pro'mocion de. D. Vicente Simón de la Puente á Canon gía de aquella Iglesia Metropolitana , y para los de Santa María</t>
  </si>
  <si>
    <t>Demetrio Subow, General</t>
  </si>
  <si>
    <t>General Demetrio Subow</t>
  </si>
  <si>
    <t>Nicolás Subow, Caballerizo mayor, su hermano el Príncipe Platón Subow, General de infantería, y el General Demetrio Subow van á edificar á su costa y con permiso de S. M. I. una Iglesia dedicada á San Valeriano Mártir, cerca del sitio en que está enterrado su hermano el General Valeriano Subow. Piensan c</t>
  </si>
  <si>
    <t>Deroi, General</t>
  </si>
  <si>
    <t>General Deroi</t>
  </si>
  <si>
    <t>ado en Lintz muchos almacenes, grande cantidad de paños y de capotes en las fábricas Imperiales. El General Deroi, al frente de un cuerpo Bávaro, ha encontrado en Lovers la vanguardia de una coluna¡de 5 Regimientos Austríacos, que ve</t>
  </si>
  <si>
    <t>cañones ,'y ocupároh los Tuer tes! En el ataque del ultimo fue herido de un pistoletazo el Teniente'General Deroi, 'Comandante en gefe’del exércitoEáVaro, y ha habido 12 Oficiales de. esta nación entre muertos y heridos ? 50 soldados muertos, y 250'heridos. La conducta del General De:roi mere</t>
  </si>
  <si>
    <t>Deroy, Teniente General</t>
  </si>
  <si>
    <t>Teniente General Deroy</t>
  </si>
  <si>
    <t>colocado muy cerca del enemigo, que no debe perder tiempo para evitar su entera ruina. Proclama del Teniente General Deroy al servicio del Elector Bdvaro Palatino. „Soldados: La patria os llama á su defensa. En medio de la paz nuestro Elector ha sido atacado por el Austria; la Baviera está inundada de</t>
  </si>
  <si>
    <t>Desaugiers</t>
  </si>
  <si>
    <t>r casi general. El Conde de Yoldi, á instancias de sus amigos, ha salido esta mañana, acompañado de Mr. Desaugiers, primer Secretario de la Legación de Francia, á una casa de campo. Hace ya muchos años que no se había executado aquí la pena fcapital con ningún delinqüente. El Gobierno, siguien</t>
  </si>
  <si>
    <t>Despuig, Cardenal</t>
  </si>
  <si>
    <t>Cardenal Despuig</t>
  </si>
  <si>
    <t>que se imprime en Pisa. Están adornados con el retrato del Dante, grabado por Morghen, y con el del Cardenal Despuig, que se le supone su editor. El Ministro de Francia, Mr. Saliceti, ha negociado con nuestro Gobierno , á nombre del Emperador Napoleón , un nuevo convenio , por el qual, entre otr</t>
  </si>
  <si>
    <t>Destandau, Juan Pedro</t>
  </si>
  <si>
    <t>Juan Pedro Destandau</t>
  </si>
  <si>
    <t>Francisco Romero, Capitán del mismo Cuerpo; y empleo de Portaestandarte en el del Infante al Cadete D. Juan Pedro Destandau. En América. El Rey se ha servido nombrar para el Obispado de Guayana, vacante por fallecimiento de D. Josef García Mohedano, á D. Josef Ventura Cabello, Canónigo de aquella Igles</t>
  </si>
  <si>
    <t>Destein</t>
  </si>
  <si>
    <t>o gi de Marzb. El Emperador de Rusia ha condecorado con la Oirden de Santa Ana, de segunda clase, á Mr. Destein, Consejero íntimo de S. M. Prusiana , por haber desempeñado, á satisfacción de ámbos Soberanos, el arreglo de los límites de sus fronteras , y particularmente la navegación del ri</t>
  </si>
  <si>
    <t>Desvignes, Antonio</t>
  </si>
  <si>
    <t>Antonio Desvignes</t>
  </si>
  <si>
    <t>pitán del de infantería de Búrgos: en el Regimiento Suizo de Wimpffen á Capitán segundo al Teniente D. Antonio Desvignes; á Tenientes de granaderos á los de fusileros D. Josef Rubel, y D. Francisco Wirtz ; á Teniente de fusileros al Subteniente de granaderos D. Francisco Scolar; á Subteniente de gra</t>
  </si>
  <si>
    <t>Dewínter, Almirante</t>
  </si>
  <si>
    <t>Almirante Dewínter</t>
  </si>
  <si>
    <t>o__ _La nueva legislatura tomará posesión el 15 de Mayo con lk denominaciori de SS. AA. PP. El Vice-Almirante Dewínter parece qué ha pasado de Dunkerque á Boloña, á avocarse con Mr. Vérhuél, Comandante de la flotilla. Se asegura que el hermano de este Comandante, que es un Oficial de mucho mérito</t>
  </si>
  <si>
    <t>Dewinter---- Para, Almirante</t>
  </si>
  <si>
    <t>Almirante Dewinter---- Para</t>
  </si>
  <si>
    <t>del departamento de la Guerra,, y otros muchos Oficiales de las dos naciones, como también el Vice-Almirante Dewinter---- Para aumentar mas las fuerzas de la esquadra expedicionaria lia mandado el Gobierno habilitar el Chatam, navio de línea de oo cañones y 650 hombres de tripulación. El mando de este nav</t>
  </si>
  <si>
    <t>Diácono del Evangelio, Cardenal</t>
  </si>
  <si>
    <t>Cardenal Diácono del Evangelio</t>
  </si>
  <si>
    <t>quienes sostendrán las puntas de su capa. Delante irán el Cardenal Obispo asistente con capa , y el Cardenal Diácono del Evangelio con dalmática. Irá inmediata á S. S. una guardia de honor, que le hará los honores correspondientes. 6.° Luego que la procesión llegue á la puerta de la Iglesia, entrará el Clero,</t>
  </si>
  <si>
    <t>Diácono, Cardenal</t>
  </si>
  <si>
    <t>Cardenal Diácono</t>
  </si>
  <si>
    <t>, las dos mitras y la tiara.__ En la segunda, colocada inmediata á ella, estarán los ornamentos del Cardenal Diácono, y del Prelado Subdiácono..__ En la tercera se pondrán los ornamentos del Diácono y Subdiácono Griegos; y en la quarta estarán los 7 candeleros, que servirán á los 7 Acólitos.__ A</t>
  </si>
  <si>
    <t>Días, Manuel Antonio</t>
  </si>
  <si>
    <t>Manuel Antonio Días</t>
  </si>
  <si>
    <t>el numero d! los de Indias, que han vacado por muerte de D. Andrés de Lidon y D. Josef María Uré, á D. Manuel Antonio Días y a D. Francisco Mo^“En ía°maraccion de la Real lotería executada el lunes ai del corriente, salieron los números 78,76, 26, 29 y 77; y con ellos han ganado l0S ’e^24'dediciembre úl</t>
  </si>
  <si>
    <t>Díaz Argote, Domingo</t>
  </si>
  <si>
    <t>Domingo Díaz Argote</t>
  </si>
  <si>
    <t>politana de Carácas, vacante por promoción de D. Santiago de Zuloaga á Canónigo Doctoral de ella, á D. Domingo Diaz Argote, Cura de Guatire en aquel Arzobispado. Igualmente ha nombrado S. M. para el empleo de Teniente letrado y Auditor de Guerra del Gobierno de Popayan á D. Manuel Santiago Valleciilas</t>
  </si>
  <si>
    <t>Díaz Arpín, Francisco</t>
  </si>
  <si>
    <t>Francisco Díaz Arpín</t>
  </si>
  <si>
    <t>5- ,d- Francisco Díaz Ar"i Hijo del mismo y de Manuela Casan, na-</t>
  </si>
  <si>
    <t>Díaz Caballero, Ignacio</t>
  </si>
  <si>
    <t>Ignacio Díaz Caballero</t>
  </si>
  <si>
    <t>lia de Araño, en aquel Arzobispado: para otra Ración de la Catedral de Avila, vacante por muerte de D. Ignacio Díaz Caballero , á D. Miguel de Zafra y Bermudez, Cura mas antiguó del Sagrario de la Catedral de Jaén; y para el Beneficio Sacristía del lugar de Guardamiro, en la Diócesi de Salamanca* vacante</t>
  </si>
  <si>
    <t>Díaz Cadórmga, Juan</t>
  </si>
  <si>
    <t>Juan Díaz Cadórmga</t>
  </si>
  <si>
    <t>ia de este Prelado y padre de sus feligreses. Se desea saber la existencia de D. Torlbio de Cueneo, D. Juan Díaz Cadórmga, Doña Dorotea Delgado, D. Mateo Gaspar Leonesi y Josef Lobrado, ó sus herederos si hubiesen fallecido, para entregar á cada uno cierta cantidad que le pertenece. A quien le intere</t>
  </si>
  <si>
    <t>Díaz Camacho, Juan</t>
  </si>
  <si>
    <t>Juan Díaz Camacho</t>
  </si>
  <si>
    <t>de mas de 100 anos de antigüedad, que se vende á voluntad de su dueño, y con facultad Real, acula á D. Juan Díaz Camacho, que vive en la calle de la Greda,núm. 1 r ,quarto^ segundo. Se vende á voluntad de su dueño una casa sita en el Real Sirio de Aranjuez, calle de las Infantas, esquina á la del Al</t>
  </si>
  <si>
    <t>Díaz de Arjona, Félix</t>
  </si>
  <si>
    <t>Félix Díaz de Arjona</t>
  </si>
  <si>
    <t>del Príncipe al Portaestandarte D. Alvaro Maldonado: en el de Alcántara empleo de Portaestandarte á D. Félix Díaz de Arjona, Cadete del de Borbon ; y en el de Cazadores Voluntarios de España Tenencia ai Alférez D. Pedro Romo. S. M. se ha servido promover á Comisario de Artillería honorario de Guerra de</t>
  </si>
  <si>
    <t>Díaz de la Guerra, Juan</t>
  </si>
  <si>
    <t>Juan Díaz de la Guerra</t>
  </si>
  <si>
    <t>eral de Cruzada 12© rs., de los productos de la vacante del Señor Obispo último de aquella Diócesis D. Juan Diaz de la Guerra, y 2© del de los indultos de carne del Arzobispado de Zaragoza. El Señor Obispo actual, D.Pedro Inocencio Vejarano,franqueó 6©; el Sr. D. Victoriano López Gonzalo, que lo es de Ca</t>
  </si>
  <si>
    <t>Díaz de Parga, Francisco</t>
  </si>
  <si>
    <t>Francisco Díaz de Parga</t>
  </si>
  <si>
    <t>encias de granaderos de los. de Ronda, Betarizos y Ciudad-Real á los de fusilerosD.Joaquin Tenorio, D. Francisco Díaz de Parga, y Don Luis Medranó; y las Subtenencias de bandera de los citado de CiudadReal , Segovia y Xerez á D. Manuel Antonio García Durango, D. Joaquín Vicente Nadal, y D. Antonio Arquell</t>
  </si>
  <si>
    <t>Díaz de Valdés, Pedro</t>
  </si>
  <si>
    <t>Pedro Díaz de Valdés</t>
  </si>
  <si>
    <t>los sexagenarios del precepto del.ayuno. Lo escribe en defensa de la verdad, y dedica al Excmo. Sr. D. Pedro Díaz de Valdés, Obisoo de Barcelona, el Dr. D. Gaspar Llauger, Presbítero, Director del Seminario Episcopal de Barcelona, y su Catedrático de Prima por la Suma de Santo Tomas. Se hallará en la l</t>
  </si>
  <si>
    <t>Díaz del Castillo, Cayetano</t>
  </si>
  <si>
    <t>Cayetano Díaz del Castillo</t>
  </si>
  <si>
    <t>al Teniente del segundo D. Josef Castillo: á Teniente de granaderos en el de Ecija al de fusileros D. Cayetano Diaz del Castillo: á Tenientes de fusileros en los de Lorca, Monterey-y Córdoba á D. Fernando Martínez Aguilar, Teniente, agregado, y á los Subtenientes de granaderos D. Josef Domínguez y Don Franc</t>
  </si>
  <si>
    <t>Díaz Escandon, Pedro</t>
  </si>
  <si>
    <t>Pedro Díaz Escandon</t>
  </si>
  <si>
    <t>de la Catedral de Guadalaxara, vacante por fallecimiento de D. Salvador Antonio Roca, al Arcediano D. Pedro Diaz Escandon: para el Arcedianato al Chantre Don Manuel Gutiérrez de Hermosilla: para la Chantría al Maestrescuela Don Joan Josef Moreno: para la Maestrescolia á D. Juan Gómez Villaseñor; y pa</t>
  </si>
  <si>
    <t>Díaz Galazo, Francisco</t>
  </si>
  <si>
    <t>Francisco Díaz Galazo</t>
  </si>
  <si>
    <t>ía ae Córdoba se ha servido S. M. conferir Compañía al Teniente de granaderos, graduado de Capitán, Don Francisco Diaz Galazo: Tenencia al Subteniente de granaderos D. Valentín Alegre ; y Subtenencias de bandera en el mismo al Cadete D. Manuel Miranda: en el de Zaragoza á los Cadetes de los de Burgos y O</t>
  </si>
  <si>
    <t>Díaz Isaac, Gregorio</t>
  </si>
  <si>
    <t>Gregorio Díaz Isaac</t>
  </si>
  <si>
    <t>conforme á lo prevenido en el prospecto que se dió con la Gazeta de 31 de Enero de 1801. Poesías de D. Gregorio Diaz Isaac: esta obra contiene una graciosa colección original de varias letrillas, églogas, odas, anacreónticas &amp;c. Se hallará en las librerías de Fuentenebro, Barco y compañía, calle de la</t>
  </si>
  <si>
    <t>Díaz Ncriega, Juan Antonio</t>
  </si>
  <si>
    <t>Juan Antonio Díaz Ncriega</t>
  </si>
  <si>
    <t>Gil Fernandez, del Consejo de S. M., Alcalde de su Real Casa y Corte, y escribanía de provincia de D. Juan Antonio Diaz Ncriega, de dos pedazos de tierra sitos en el lugar de Fuenlabrada, el uno de una fanega y 9 celemines, y el otro de 2 fan., 7 cel. y 7 estad., tasados en 5045 rs., y rematados en 3500 rs</t>
  </si>
  <si>
    <t>Díaz Noriega, Juan Antonio</t>
  </si>
  <si>
    <t>Juan Antonio Díaz Noriega</t>
  </si>
  <si>
    <t>Diego Gil Fernandez, del Consejo de S. M., su Alcalde de Casa y Corte, y escribanía de provincia de D. Juan Antonio Díaz Noriega. = Por el mismo Señor y citada escribanía se ha señalado el día 5 del corriente, á las doce de su mañana, para el remate de 2 pedazos de tierra, sitos en término del referido luga</t>
  </si>
  <si>
    <t>dia y hora señalado para su remate ante el referido Sr. Alcalde, por la escribanía de provincia de D. Juan Antonio Diaz Noriega. Memorial literario, núm. 66, y último del año de 1804: contiene la historia económica del privilegio de los cosecheros de vino de Granada; un discurso sobre la pantomima; noticia</t>
  </si>
  <si>
    <t>Fernandez, del Consejo de S. M., Alcalde en su Real Casa y Corte, por la escribanía de provincia de D. Juan Antonio Díaz Noriega, de varias tierras sitas en término del lugar de Fuenlabrada, pertenecientes á diferentes memorias, señalando el término de 30 dias para la mejora del quarto, cujas fincas, con su</t>
  </si>
  <si>
    <t>Gil Fernandez, del Consejo de S. M., Alcalde de su Real Casa y Corte, y escribanía de provincia de D. Juan Antonio Díaz Noriega, de varias tierras sitas en el lugar de Fuenlabrada, pertenecientes á diferentes memorias, las quales, con sus tasas y cabidas,' son á saber; Primeramente, una tierra de 3 fanegas</t>
  </si>
  <si>
    <t>ves 7 del próximo mes de Febrero, á hora de las doce de su mañana, en la escribanía de provincia de D. Juan Antonio Díaz Noriega, las quales son á saber: Primeramente, una tierra al camino alto de Getafe, con el que linda, su caber de una fanega y 8 celemines, tasada en 1166 rs. Otra al camino de Pinto, al</t>
  </si>
  <si>
    <t>Gil Fernandez, del Consejo de S. M., Alcalde de su Real Casa y Corte, y escribanía de provincia de D. Juan Antonio Díaz Noriega. rr: Asimismo se ha hecho la mejora del quarto á otras tierras, pertenecientes á varias memorias, sitas en el término de dicho lugar d&amp; Fuenlabrada, que Son á saber: Dos tierras á</t>
  </si>
  <si>
    <t>iere hacer dicha ¿uja del quartoacuda ante el citado Sr. Alcalde, por la escribanía de provincia de D. Juan Antonio Díaz Noriega. . , Por auto proveído por el Sr. D. Diego Gil Fernandez, del Consejo de S. M., Alcalde de su Real Casa y Corte, se ha señalado nuevamente el dia 20 del corriente, á hora de las d</t>
  </si>
  <si>
    <t>s ó á cada una de dichas (incas, acuda ante el citado Sr. Alcalde por la escribanía de provincia de D. Juan Antonio Diaz Noriega. Se halla vacante el partido de Cirujano de la villa de Villósláda de Cameros, Provincia de Soria, cuyo vecindario es de 350 vecinos poco mas, sin aldea ni anexo: tiene de salario</t>
  </si>
  <si>
    <t>. Quien quisiere hacer postura, acuda ante el citado Sr. Alcalde, por la escribanía de provincia de D. Juan Antonio Diaz Noriega. El Sr. D. Manuel Vicente de Torres, Teniente Corregidor de esta villa, ha señalado el 5 de este mes para el remate de 4 casas sitas en la calle de S. Antón, núms. 32, 34, 35 y 36</t>
  </si>
  <si>
    <t>ate se ha señalado el día 28 del presente mes, a las once de su mañana, en la escribanía dTincia de D. Juan Antonio Díaz Noriega, por donde se admitirán las posturas sr mejoras que se hagan. r “ ‘ A'.'voluntad de su dueño se- venden a casas en la plazuela del coliseo de la Cruz, la primera, num. 6, manz, 1.</t>
  </si>
  <si>
    <t>u remate, que será el 8 de Julio próximo, á las once de su mañana, en la escribanía de provincia de D, Juan Antonio Diaz Noriega, la qual comprehende 9140 pies de sitio, y está tasada en 453,890 rs. Quien quisiere hacer postura, acuda al sitio señalado. ~ Se vended voluntad de; su dueño una casa libre de ¡t</t>
  </si>
  <si>
    <t>n 29,844 rs. Quien quisiere hacer postura, acuda ante dicho Señor por la escribanía de provincia de D. Juan Antonio Díaz Noriega. A voluntad de su dueño se vende una casa sita en el lugar de Carabanchel de ábaxo, calle del Sacristán, al lado de la del Excmo. Sr. Duque de Aledinácelí, que tiene 5783^ pies de</t>
  </si>
  <si>
    <t>remate el mártes 3 de Setiembre próximo, á las doce de su mañana * en la escribanía de provincia de D. Juan Antonio Diaz Noriega, cuyas fincas, sus sitios, cabidas, tasaciones y pertenencias se expresan en la forma siguiente: Primeramente, 5 tierras pertenecientes á la memoria de Miguel de la Vieja: la una,</t>
  </si>
  <si>
    <t>Díaz Noríega, Juan Antonio</t>
  </si>
  <si>
    <t>Juan Antonio Díaz Noríega</t>
  </si>
  <si>
    <t>í tuviese. Quien quisiere hacer postura, acuda ante dicho Sr. Alcaide, y escribanía de provincia de D. Juan Antonio Díaz Noríega. Por providencia del Sr. D. Francisco Gutiérrez Vigil de Quiñones, del Consejo de S. M., y Alcalde en su Real Casa y Corte, se subastan dos casas unidas, sitas en esta Corte, la u</t>
  </si>
  <si>
    <t>del quarto. Quien quisiere hacerla, acuda ante dicho Sr. Alcalde, por la escribanía de provincia de D. Juan Antonio Díaz Noriega. Se vende uñ molino de papel, huerta y huelgas correspondientes en la inmediación de la villa de Gárgoles de abaxo, Obispado de Sigüenza, distante 8 leguas de Guadalaxara: su fach</t>
  </si>
  <si>
    <t>dos fincas, juntas ó separadas, acuda ante elcitadp Sr. Alcalde, por la escribanía.de provincia de D. Juan Antonio Díaz Noriega. Por providencia del Sr. D. Ramón Navajrrp. Pingarron, del Consejo de S. M., Alcalde de su Real Ga^a-y,Corte,,- y escribanía de provincia de P. Valdomero Moraleda&gt; se ha mandado s</t>
  </si>
  <si>
    <t>e, se ha señalado el dia 6 del corriente, á las doce de su mañana, en la escribanía de provincia de D. Juan Antonio Diaz Noriega, para el remate de una casa sita en la calle del Gobernador de esta Corte, que vuelve á la de la Alameda, num. 13, manz. 257/comprehensiva de 3256 pies de sitio, tasada en 67,750</t>
  </si>
  <si>
    <t>S. M., y Alcalde de su Real Casa y Corte, ha señalado en su audiencia y escribanía de provincia de D. Juan Antonio Díaz Noriega el dia 23 del corriente para el remate de la casa-meson, sita en la plaza del lugar de Majadahonda, jurisdicción de esta Corte, tasada en 51,367 majuelo al sitio de la CÍpreste, cam</t>
  </si>
  <si>
    <t>Díaz, Ignacio</t>
  </si>
  <si>
    <t>Ignacio Díaz</t>
  </si>
  <si>
    <t>María Queypo de Llano ; y para una Ración de la; Catedral; dé Avila, vacante por .fallecimiento Üe D. Ignacio Diaz 1 Ga-* balleío, á D. Migpel deuZáfm y Bermudcz.oj y. :í - ¿i í j 1 &gt; £i Rj&amp;yl bateaiddájbtieíi. cxéar,una;Comaadancia general militarteniél</t>
  </si>
  <si>
    <t>Díaz, Joaquín Juan</t>
  </si>
  <si>
    <t>Joaquín Juan Díaz</t>
  </si>
  <si>
    <t>de S. M., Alcalde de su Real Casa y Corte, Juez que conoce en los autos de abintestato del difunto D. Joaquín Juan Díaz, artífice reloxero que fué en ella, con tienda en la calle del Carmen, se ha mandado citar y emplazar nuevamente, y por segundo y último término, á todas las personas que hubiesen</t>
  </si>
  <si>
    <t>Díaz, Juan</t>
  </si>
  <si>
    <t>Juan Díaz</t>
  </si>
  <si>
    <t>andarte D. Pablo Huguet; y á Portaestandartes en los deFarnesio y Santiago á los Sargentos primeros Don Juan Díaz y D. Juan Portaz. En los de caballería ligera igualmente se ha servido S. M. promover: en el de cazadores de Almansa á Ayudante al Teniente D. Juan Bonilla; y en el de cazadores de la</t>
  </si>
  <si>
    <t>Díaz, Juan Antonio</t>
  </si>
  <si>
    <t>Juan Antonio Díaz</t>
  </si>
  <si>
    <t>ha señalado eLjxiéves-iz: del corriente, á: las doce de su mañana, en la escribanía de provincia de D. Juan Antonio Díaz; Noriega. Quien quisiere hacer dicha puja, acuda por la misma escribanía. Por providencia del Lie. D. Benito Saez González , Abogado de los Reales Consejos, Corregidor de la villa</t>
  </si>
  <si>
    <t>Díaz, Lorenzo</t>
  </si>
  <si>
    <t>Lorenzo Díaz</t>
  </si>
  <si>
    <t>Juan Nepomuceno de Castro y D. Josef Manuel González; á Subtenientes de granaderos los de fusileros D. Lorenzo Díaz y D. Manuel Chenard; á Subtenientes de compañía 3os de bandera D. Josef Chamizo y D. Antonio Nuñez; y á esta resulta al Cadete D. Manuel Que ral ta y al Sargento primero D. Josef More</t>
  </si>
  <si>
    <t>Díaz, Manuel</t>
  </si>
  <si>
    <t>Manuel Díaz</t>
  </si>
  <si>
    <t>aderos Provinciales de Andalucía; Subtenencias de bandera en dicho Cuerpo al Cadete del de Zaragoza D. Manuel Díaz: en el de Córdoba al Sargento primero D. Miguel Chamizo ; y en el de Jaén al de la propia clase de granaderos D. Alonso González; y Tenen-r cia en el segundo batallón de Voluntari</t>
  </si>
  <si>
    <t>Alféreces de Fragata.....................i.D. Sebastian Rodríguez de Ar&amp;sli ID. Gabriel de Pazos. {.D. Manuel Díaz. Alféreces de Fragata y primeros PÍ-5d. jos^fCa^zat Aotos....... ........................................." CD. Joaquín Bedriñana. Graduado de Teniente de Brulot...... D. Pedro Ta</t>
  </si>
  <si>
    <t>DiazNoriega, Juan Antonio</t>
  </si>
  <si>
    <t>Juan Antonio DiazNoriega</t>
  </si>
  <si>
    <t>Fernandez, del Consejo de S. M., Alcalde de su Real Casa y Corte, por la escribanía de provincia de Don Juan Antonio DiazNoriega, y ha señalado para la mejora del quarto el término de 30 días, de 23 pedazos de tierra,sitas en término del lugar deFuenlabrada, de caber 56 fanegas, 5 celemines y 137 estadales</t>
  </si>
  <si>
    <t>Diez de Lara, Agustin</t>
  </si>
  <si>
    <t>Agustin Diez de Lara</t>
  </si>
  <si>
    <t>ra la Canongía vacante en la Catedral de Granada, por fallecimiento de D. Juan Francisco Hidalgo, á D. Agustin Diez de Lara, Canónigo de la Colegiata del Sacromonte de dicha ciudad: para la Canongía de la Iglesia de Vailadolid, vacante por muerte de D. Pedro Ramón de Villa, á D. Tomas Moyano, Canónigo</t>
  </si>
  <si>
    <t>Diez de Tejada y Paz, Manuel</t>
  </si>
  <si>
    <t>Manuel Diez de Tejada y Paz</t>
  </si>
  <si>
    <t>gial de Antequera, Diócesis de Málaga, vacante por fallecimiento de D. Juan Nepomuceno de Torres, á D. Manuel Diez de Tejada y Paz: para otra de la Catedral de Barcelona, vacante por fallecimiento de D. Francisco Andreu , á D. Josef Espinos , Canónigo de la Colegiata de Sta. Ana de aquella ciudad: para una Ca</t>
  </si>
  <si>
    <t>Diez de Tejada, Manuel</t>
  </si>
  <si>
    <t>Manuel Diez de Tejada</t>
  </si>
  <si>
    <t>undez: para el Beneficio de Aimbdovar del Rio, en la Diócesis de Córdoba , vacante por promoción de D. Manuel Diez de Tejada á úna Canongía de la Colegial de Antequera, á D. Antonio «Ugena , Maestro de música jubilado de ia Capilla de su Real Palacio: para el Beneficio de S. Verísimo de Sergude, en el A</t>
  </si>
  <si>
    <t>Díez Ferreyro, Fernando</t>
  </si>
  <si>
    <t>Fernando Díez Ferreyro</t>
  </si>
  <si>
    <t>Id. ¡d. Fernando Diez Fer- .Hijo de Miguel, natural de la Feligresía</t>
  </si>
  <si>
    <t>Digárel, Andrés</t>
  </si>
  <si>
    <t>Andrés Digárel</t>
  </si>
  <si>
    <t>duda para reparar su aparejo. Hallándose en este tiempo gravemente herido el Capitán supernumerario D. Andrés Digárel* Oficial que por su mucha experiencia y valor era de mayor utilidad en la acción, y necesitando reparar toda la maniobra del corsario y las velas del palo de proa, aprovechamos de</t>
  </si>
  <si>
    <t>Diiboyfe, Agustín</t>
  </si>
  <si>
    <t>Agustín Diiboyfe</t>
  </si>
  <si>
    <t>ol, Secretario de la Legación en Milán; á Don Fernando de los Ríos, agregado á la misma Legación; á D. Agustín Diiboyfe, Oficial de las Guardias de S. M.C.; y á D. Mateo Bolognini, Te-i mente de Fragata. , ^ FRANCIA. , París 2/ de Mayo. El 23, dia de la coronación del Emperador como Rey de Italia,</t>
  </si>
  <si>
    <t>Dillon</t>
  </si>
  <si>
    <t>mara de los Comunes el discurso pronunciado por el Rey en la de los Parés, el mismo día 15, propuso Mr. Dillon que se hiciese un discurso de gracias á S. M. Apoyó esta proposición Mr. Carlos Adams. Mr. Fox dixo que no era su intención oponerse ai discurso que acababa de leerse en la Cámara</t>
  </si>
  <si>
    <t>Diputado Bátavo</t>
  </si>
  <si>
    <t>se arreglará conforme corresponde á su dignidad. Mr. Brantzen, que asistió como Diputado Bátavo á la coronación del Emperador Napoleón, ha sido nombrado por S. E. Embaxadot de esta República en Francia. El 5 se celebró un Consejo extraordinario en casa de</t>
  </si>
  <si>
    <t>diputado Búlgaros</t>
  </si>
  <si>
    <t>RIA. Semlin i&amp;de Mayo. _ La mediación de la Puerta, que efectivamente envió sus diputados Búlgaros al campo de los Servios, no ha servido mas que para acrecentar su animosidad. Han puesto un cordon á orillas del Danubio y del Save, para que no pueda escapars</t>
  </si>
  <si>
    <t>diputado Servios</t>
  </si>
  <si>
    <t>establecido su quartel general en Ostronizza, donde se haiia arreglando con los diputados Servios diversos pontos de que aun no habían convenido. Czerni-Jorge está, al parecer, reconciliado con él. Continúan demoliéndose las fortificaciones de esta ciudad,</t>
  </si>
  <si>
    <t>Diputado Servios</t>
  </si>
  <si>
    <t>los Servios enviaron, hace algún tiempo, á Petersburgo. Según su relación, ios Diputados Servios fueron muy bien recibidos en aquella ciudad; pero parece que no han conseguido el. objeto de su comisión. El Protopapa lleva, consigo muchos ornamentos de Igle</t>
  </si>
  <si>
    <t>uhe. Por las ultimas cartas de las fronteras de la Turquía hemos sabido que los Diputados Servios, que fueron á Constantinopla para entablar negociaciones con el Divan, no han logrado el buen éxito que esperaban. . El Conde de Markoff, que estuvo en París d</t>
  </si>
  <si>
    <t>Director Conde del Aguila</t>
  </si>
  <si>
    <t>ciudad celebró su Junta general en las Cansas Consistoriales, presidida por su Director Conde del Aguila, en; los dias 23 y 24 del presente mes. Fué numeroso y brillante el concurso de</t>
  </si>
  <si>
    <t>Director General</t>
  </si>
  <si>
    <t>errol, he determinado que se encargue del Despacho de los negocios de Marina el Director General de mí Real Armada D. Francisco Gil de Lentos; y os lo comunico para que ínterin resuelvo otra cosa, se me dirijan por su mano los negocios relativos á este ramo.</t>
  </si>
  <si>
    <t>Director Marques de Valera</t>
  </si>
  <si>
    <t>s sexós* 12 que dio la Sociedad, í2 el Excmo. Sr. Arzobispo Director, 7 el Vice-Director Marques de Valera, y 4 el socio D. Juan Martínez de Hermosilla, con destino á las Escuelas Fias. A mas de los 35 premios dio la Sociedad uno de honor á D. Francisco de Sales de</t>
  </si>
  <si>
    <t>Director Subinspector</t>
  </si>
  <si>
    <t>Josef Roldan. En el Real Cuerpo de Ingenieros del exército ha promovido S. M. á Director Subinspector al Brigadier D. Josef de Ampudia, Coronel de dicho Cuerpo. En los Regimientos de caballería de línea se ha dignado S. M. conferir en el del Infante Compañía al</t>
  </si>
  <si>
    <t>uín Hernández. En el Real Cuerpo de Ingenieros de exército ha promovido S. M. á Director Subinspector al Brigadier el Coronel D. Pedro de Cortes: á Coronel el graduado de tal el Teniente Coronel D. Manuel Caballero; á Teniente Coronel D. Francisco Hurtado, Sarg</t>
  </si>
  <si>
    <t>le. En el Real Cuerpo de Ingenieros de exército se ha dignado el Rey promover á Director Subinspector al Brigadier el Coronel D. Francisco Gelabert; y á Teniente Coronel el Mayor de Brigada D. Joaquín de la Torre. . , También sé ha dignado S. M. confirmar el no</t>
  </si>
  <si>
    <t>Director Subinspector del Real Cuerpo de Ingenieros</t>
  </si>
  <si>
    <t>ferir el Gobierno de la plaza de Ceuta al Mariscal de Campo D. Francisco Horta, Director Subinspector del Real Cuerpo de Ingenieros. En América. El Rey se ha servido conferir el empleo de Capitán en el Batallón de Milicias disciplinadas de blancos de Valencia, en la provincia de Vanezuela,</t>
  </si>
  <si>
    <t>Director, Arzobispo</t>
  </si>
  <si>
    <t>Arzobispo Director</t>
  </si>
  <si>
    <t>IO de ambos sexós* 12 que dio la Sociedad, í2 el Excmo. Sr. Arzobispo Director, 7 el Vice-Director Marques de Valera, y 4 el socio D. Juan Martínez de Hermosilla, con destino á las Escuelas Fias. A mas de los 35 premios dio la Sociedad uno de honor á D. Fran</t>
  </si>
  <si>
    <t>Diumenjó, Antonio</t>
  </si>
  <si>
    <t>Antonio Diumenjó</t>
  </si>
  <si>
    <t>Montblanc,, 66. 12. Antonio Diumenjó... Daniel.... Josefa Tramots, ., , Barcelona ,, Idem , , ,, 66. 12» Josef Bonet................ Otro...........Margarita Serras,., Tarragona, , Idem ,</t>
  </si>
  <si>
    <t>Docho, Esteban</t>
  </si>
  <si>
    <t>Esteban Docho</t>
  </si>
  <si>
    <t>ÍJ. ÍJ.' Esteban Docho... , Hijo de Juan y de Catalina Campet, na­</t>
  </si>
  <si>
    <t>Doctor Caírne</t>
  </si>
  <si>
    <t>rrx de lidio. Extracto de ¿a Gazeta the Star. Copia de la carta escrita por el Doctor Caírne, Cirujano á bordo del navio Princesa Real de la esquadra del Almirante Cornwallis, al Dr. Gartshore, con fecha de 25 de Julio. ^Hemos estado cruzando durante tres semanas en el golfo de Viz</t>
  </si>
  <si>
    <t>Doctor Núñez</t>
  </si>
  <si>
    <t>de un pagaré, que ignoraba si estaba satisfecho; y á un Eclesiástico llamado el Doctor Nuñez, vecino de la ciudad de Cáliz, Provincia de Popayan, 50 pesos. Y por auto que ha proveído dicho Sr. Juez, en 27 de Agosto de este año, se ha mandado dar este aviso, para que dichos acreed</t>
  </si>
  <si>
    <t>Doctor Ricardo Mead</t>
  </si>
  <si>
    <t>la sagrada Escritura: un tomo en 12.°:==:Consejos y preceptos de Medicina, del Doctor Ricardo Mead, Médico que fué del Rey de Inglaterra: un tomo en 8.°=Principios de economía política, por el célebre Herrensch Wañd, y traducidos ai castellano por D. Juan Smith, Brigadier de la Real Ar</t>
  </si>
  <si>
    <t>Dodun</t>
  </si>
  <si>
    <t>r de Francia cerca de la Puerta Otomana, ha escrito ai Encargado de Negocios de su nación en Viena, Mr. Dodun, su salida de Constantinopla. La carta está escrita el 18 de Diciembre en Ponte-Picolo, á dos jornadas de aquella capital, donde ha dexado como Encargado de Negocios á su Secretar</t>
  </si>
  <si>
    <t>Dolgoroucki, Príncipe</t>
  </si>
  <si>
    <t>Príncipe Dolgoroucki</t>
  </si>
  <si>
    <t>DEL VIERNES 20 DE DICIEMBRE DE i8of. PRUSIA. Berlín 2$ de Noviembre, ■ Ha venido aquí de Olmutz el Príncipe Dolgoroucki» Teniente General que está al servicio de la Rusia.__ También ha llegado el General Ingles Clinton. ' El Emperador de Alemania ha concedido al General Ruso Conde de Kutusow la Gra</t>
  </si>
  <si>
    <t>Dolgorouky, Príncipe</t>
  </si>
  <si>
    <t>Príncipe Dolgorouky</t>
  </si>
  <si>
    <t>mente correos á sus Cortes; y vuelve á esparcirse la voz de que los pliegos traídos de Pulaw por el Príncipe Dolgorouky, y los que ha llevado de aquí el Conde de Kalkreuth, han determinado a S. M. elr Emperador de las Rusias á emprender un viage á esta capital. Si llega á confirmarse la noticia, es</t>
  </si>
  <si>
    <t>Dolgorouski, Príncipe</t>
  </si>
  <si>
    <t>Príncipe Dolgorouski</t>
  </si>
  <si>
    <t>al para restituirse á la de Petersburgo, y continuará las negociaciones que ha dexado entabladas el Príncipe Dolgorouski, á quien esperamos de un dia á otro de Berlín. Wessel 13 de Julio. En Osnabruck ha sucedido un caso que denota hasta qué punto llega la industria de los tahúres y,bellacos. En un</t>
  </si>
  <si>
    <t>Dolgorowski, Príncipe</t>
  </si>
  <si>
    <t>Príncipe Dolgorowski</t>
  </si>
  <si>
    <t>Embaxadores que hay aquí correos extraordinarios á sus Cortes respectivas. Los pliegos que traxo el Príncipe Dolgorowski han dado motivo a varias conferencias de S- M- con los Ministros, y sus resultas han sido dar mayor actividad á los preparativos7 marciales. El Rey padece todavía la indisposición</t>
  </si>
  <si>
    <t>Dolgorucky, Príncipe</t>
  </si>
  <si>
    <t>Príncipe Dolgorucky</t>
  </si>
  <si>
    <t>viene acompañado dei Gran Mariscal Conde de Tolstoy, del Príncipe Czartoriusky, dei Edecán general Príncipe Dolgorucky, del General Conde de Liewen, del Consejero de Estado Ministro de la Guerra Gubril, y del Consejero de Estado Villie &gt; Médico de S. M. Hoy ha estado el Emperador Alexandro en Berl</t>
  </si>
  <si>
    <t>Domergue</t>
  </si>
  <si>
    <t>cripciones queda al arbitrio de los subscriptores. El Presidente perpetuo del Consejo gramatical es Mr. Domergue, individuo del Instituto nacional, y el Secretario Mr. Fontaine , profesor que fue de gramática general, y ahora lo es de lengua Francesa. ESPAÑA. •V* Madrid 22 de Febrero. El Rey</t>
  </si>
  <si>
    <t>Domingo Alonso</t>
  </si>
  <si>
    <t>id. id. Domingo Alonso. Hijo de Santiago y de Manuela de Cas­</t>
  </si>
  <si>
    <t>Domínguez, Antonio</t>
  </si>
  <si>
    <t>Antonio Domínguez</t>
  </si>
  <si>
    <t>érica. En el Regimiento de infantería de México se ha servido -el Reí promoverá Capitán al Ayudante D. Antonio Domínguez; á Ayudante* al Teniente D. Francisco Espinosa; á Teniente al Subteniente de granaderos D. Manuel Villalba;á Subteniente* de granaderos al de fusileros JD. Josef Castro Palomino,</t>
  </si>
  <si>
    <t>Domínguez, Juan</t>
  </si>
  <si>
    <t>Juan Domínguez</t>
  </si>
  <si>
    <t>istóbal Alfonso y D. Joaquín Gil de Bernabé; y en el de las Ordenes Militares Ayudantía al Teniente D. Juan Domínguez; y Subtenencia de bandera al Cadete D. Josef Roldan. En el Real Cuerpo de Ingenieros del exército ha promovido S. M. á Director Subinspector al Brigadier D. Josef de Ampudia, Coro</t>
  </si>
  <si>
    <t>Don, General</t>
  </si>
  <si>
    <t>General Don</t>
  </si>
  <si>
    <t>zos sin la menor apariencia de jfüégo: en 27 ó 28 segundos no quedó ningún rastro del bergantín. El General Don, Mr. Pitt, Sir Sidney Smith y varios Oficiales de mar y tierra presenciaron este experimento. El efecto de esta máquina, verdaderamente infernal, ha excedido la idea que se había</t>
  </si>
  <si>
    <t>dge acompañará la legión Hannoveriana : compónese de amos 10© hombres de todas armas, y la manda.el General Don. Mr. Jackson, hermano de nuestro JEmbaxador Berlín, ha llegado aquí con pliegos. Mañana partirá^para Berlín Lord Plarrowby, nombrado Embaxador extraordinario cerca d^ aquella C.or</t>
  </si>
  <si>
    <t>ciudad los Prusianos á distancia de una legua de la plaza. La legión Hannoveriana á las órdenes del General Don , y las tropas Inglesas que la siguen, llegaron el 16 y-el 17 del corriente al Elba, y .al W síser en- 13T buques de-transporte , y el .18 y ¿9. desembarcaron en Bfcemer? le he ,</t>
  </si>
  <si>
    <t>Donado, Pedro Julián</t>
  </si>
  <si>
    <t>Pedro Julián Donado</t>
  </si>
  <si>
    <t>ero de ella: para otra de la Colegial de S. Salvador de la ciudad de Sevilla, vacante por muerte de D. Pedro Julián Donado , á D. Juan Ignacio Xetrero y Torrado , Cura de la Parroquial de Santiago el Mayor dé aquella ciudad : para un Beneficio de la villa de Pareja, en el</t>
  </si>
  <si>
    <t>Donesteve, Juan</t>
  </si>
  <si>
    <t>Juan Donesteve</t>
  </si>
  <si>
    <t>uan González Cisniega, muerto: D. Joaquín de Salas id.: D. Juan Matute id.: D. Agustín Monzon id. : D. Juan Donesteve id.: D. Ramón Amaya id.: D. Francisco Calderón, herido: D. Marcos Guruzeta id.: D. Joaquin Jorganes id.: D. Luis Moreno id.: D. Rafael de Luna id. Tenientes de Fragata. D. Rafael</t>
  </si>
  <si>
    <t>Dorado, Nicolás</t>
  </si>
  <si>
    <t>Nicolás Dorado</t>
  </si>
  <si>
    <t>Id. id. Nicolás Dorado.... Hijo de Josef y de Ana Rodríguez, na­</t>
  </si>
  <si>
    <t>Dorotea Delgado</t>
  </si>
  <si>
    <t>dre de sus feligreses. Se desea saber la existencia de D. Torlbio de Cueneo, D. Juan Díaz Cadórmga, Doña Dorotea Delgado, D. Mateo Gaspar Leonesi y Josef Lobrado, ó sus herederos si hubiesen fallecido, para entregar á cada uno cierta cantidad que le pertenece. A quien le interese, acudirá á D. Pedro</t>
  </si>
  <si>
    <t>Douglas, Almirante</t>
  </si>
  <si>
    <t>Almirante Douglas</t>
  </si>
  <si>
    <t>él exén ito de lá India ; y de aquí á 2 años sucederá en el gobierno general á Lord Cornwallis. El; Almirante Douglas se ha hecho á la vela de Folkstone con una esquadra, que cruzará en las costas enemigas. ; En la junta, de ayer 19, de la Cámara de los Pares ha declarado 1</t>
  </si>
  <si>
    <t>vela á la primera señal. La esquadra ligera destinada contra la esquadrilla de Boloña, al mando del Almirante Douglas, se compone de dos buques de 50 cañone* : de uno de 44: de uno de 40: de uno de 36: de uno de 28: de uno de 20: de uno de 18: de ó de 16: de 18 berganti</t>
  </si>
  <si>
    <t>DoulcetPontecoulant</t>
  </si>
  <si>
    <t>d.; á Mr. Gouvion, Inspector general de la Gendarmería; á Mr, Dambarere, Inspector de Ingenieros; á Mr. DoulcetPontecoulant, Prefecto del Dyle; á Mr. Colchen, Prefecto del Mosela; á Mr. Cauiaincourt, Presidente del Colegio Electoral del Aisne; á Mr. St.-Vallier, Presidente del Colegio del Droma; á Mr.</t>
  </si>
  <si>
    <t>Doy, Henrique</t>
  </si>
  <si>
    <t>Henrique Doy</t>
  </si>
  <si>
    <t>para la mejora de. las lanas ordinarias,con otras cosas muy útiles á este ramo de agricultura: por Don Henrique Doy le.. Se hallará en la librería de Castillo, frente á las gradas de S. Felipe, con el Tratado sobre las patatas del mismo autor. Discurso de la excelencia del Telémaco, y sobre la</t>
  </si>
  <si>
    <t>Drouet, General</t>
  </si>
  <si>
    <t>General Drouet</t>
  </si>
  <si>
    <t>isión del GenerárRiváud, apoyada en la derecha del Príncipe Murat, y ,á su derecha lar división del General Drouet. Ei Mariscal Soult, que mandaba la derecha del.exército, tenia á su izquierda la división del General Vandamme, en el centro la,división del General Saint-Hilaire,y á su derecha l</t>
  </si>
  <si>
    <t>Du Couedic de Kergoualer, Luis</t>
  </si>
  <si>
    <t>Luis Du Couedic de Kergoualer</t>
  </si>
  <si>
    <t>ecogiendo los restos del que arruinaron, y se grabe en él esta inscripción : Aquí yace el cuerpo de Mr. Luis Du Couedic de Kergoualer f Militar condecorado &gt; Capitán de Navio, muerto el 7 de Enero de J 780 de resultas de las heridas que recibió en el combate memorable que dio el 6 de Octubre de J77J», mandando l</t>
  </si>
  <si>
    <t>Ducasi, Manuel</t>
  </si>
  <si>
    <t>Manuel Ducasi</t>
  </si>
  <si>
    <t>el-lugar de Carcaboso, en la Diócesis de Coria, vacante por muerte;de Don Pedro Antonio Calderón, á D. Manuel Ducasi, también Capellán de Altar de su Real Capilla: para el Préstamo de Valdeobispo, en la misma Diócesis, vacante por fallecimiento del referido Calderón, á D. Ramón Andaluz, Capellán</t>
  </si>
  <si>
    <t>Duckworth, Almirante</t>
  </si>
  <si>
    <t>Almirante Duckworth</t>
  </si>
  <si>
    <t>as y de: 3 grandes corbetas.__ En la Jamayca no tenemos mas que 3 navios de línea á las órdenes del Almirante Duckworth, y uno solo en las islas de Barlovento mandado por el Conmodoro Hood. El 15 llegáron pliegos á la Compañía de la India por la vía de tierra. Las cartas de Madras son con fecha de</t>
  </si>
  <si>
    <t>Dueñas, Ventura</t>
  </si>
  <si>
    <t>Ventura Dueñas</t>
  </si>
  <si>
    <t>do Salgado y D. Antonio Falcon; y Ayudantía al Teniente de granaderos, también graduado de Capitán, D. Ventura Dueñas; y en los de Zamora y Ordenes Militares Tenencias á los Subtenientes D. Francisco García y D. Agustín Otermin. El Rey se ha servido nombrar Subinspector Comandante de Artillería d</t>
  </si>
  <si>
    <t>Dugarni, Cardenal</t>
  </si>
  <si>
    <t>Cardenal Dugarni</t>
  </si>
  <si>
    <t>rentes canales de navegación, y los dos •últimos se reducen á promover al Arzobispado de Ferrara al Cardenal Dugarni, Obispo.de Brescia, y al Obispado de Brescia al. Cardenal Archetú. También se han publicado otros dos decretos de S.. M. El uno pertenece á la organizacion.departamental del .Reyn</t>
  </si>
  <si>
    <t>Duhámeh</t>
  </si>
  <si>
    <t>conclusión del artículo sobre los búcaros y alcarrazas: análisis de los elementos de Agricultura-de Mr. Duhámeh: oda de D. Francisco Sánchez: noticias, anuncios. Se hallará suelto, y con los anteriores, en Ja librería de Alonso, frente á las gradas de S. Felipe. Nueva Ciropedia, ó viages de</t>
  </si>
  <si>
    <t>Duhamel</t>
  </si>
  <si>
    <t>ei juego en rústica y 60 en pasta. Como en estos elementos recopiló un escritor tan ilustrado como Mr. Duhamel las principales verdades y nociones sólidas que resultan de las observaciones hechas en todos los tiempos anteriores sobre la naturaleza de los vegetales y de las tierras, y sobre las</t>
  </si>
  <si>
    <t>Duhamel du Monceau</t>
  </si>
  <si>
    <t>nos de un trimestre. Elementos teórico-prácticos de Agricultura, traducidos del francés del célebre Mr. Duhamel du Monceau, é ilustrados con notas y aplicaciones á la labranza de España, por el Dr. D. Casimiro Gómez Ortega, primer Catedrático jubilado de Botánica, individuo de varias Academias de cien</t>
  </si>
  <si>
    <t>Duhem, General</t>
  </si>
  <si>
    <t>General Duhem</t>
  </si>
  <si>
    <t>n fausto suceso. El Surno Pontífice llegó aquí el lunes á I2S 3 y media de la tarde, acompañado del General Duhem, del Prefecto, de los Corregidores, del Cabildo de la Sta.Iglesia,y de todos los Párrocos: se dirigió inmediatamente á la Catedral; hizo oración, incensó al Santísimo, y después s</t>
  </si>
  <si>
    <t>Duhesme, General</t>
  </si>
  <si>
    <t>General Duhesme</t>
  </si>
  <si>
    <t>isión Molitor, qué formaba1 lá izquierda: la del .General Gardanne embistió por el centro, y la del General Duhesme por la derecha. Todo se hizo bien , y se tomó á Caldiero á la voz¿ de arva el Emperador jpersiguiendo luego al enemigo hasta las alturas-----A las 4 y media el Príncipe Carlos man</t>
  </si>
  <si>
    <t>castillo viejo de Veronaá la indivisión, maridada por el General Gardanne, y la 4.a, mandada por el General Duhesme. Estas tropas han acometido vigorosamente las alturas de Val-Pantene, y rodeado el castillo de S. Felice. Aprovechándome pues de la ventaja de la posición, he forzado al enemigo á</t>
  </si>
  <si>
    <t>Duka, Mariscal</t>
  </si>
  <si>
    <t>Mariscal Duka</t>
  </si>
  <si>
    <t>ue Carlos* Ministro de la Guerra, el nombramiento para la Comandancia general del Bannato del Fel.d-Mariscal Duka, uno de los Oficiales generales más instruidos y experimentados déla Monarquía Austríaca.. Se le han conferido plenos poderes ilimitados para que tome sus providencias en,las fron</t>
  </si>
  <si>
    <t>Dumas, Carlos Luis</t>
  </si>
  <si>
    <t>Carlos Luis Dumas</t>
  </si>
  <si>
    <t>cia experimental filosófica y médica del hombre vivo, escrita en francés por el ciudadano Carlos Luis Dumas, del Instituto nacional de Francia, profesor de Anatomía y Fisiología cn la escuela de Medicina de Mompeller &amp;c., traducida por D. Juan Vicente Carrasco, Médic</t>
  </si>
  <si>
    <t>Dumonceau, Teniente General</t>
  </si>
  <si>
    <t>Teniente General Dumonceau</t>
  </si>
  <si>
    <t>ería y caballería; y parece que no quedará mas que la división dicha expedicionaria, mandada por el Teniente General Dumonceau, que hizo parte del cuerpo de exército que ocupó el verano último el rcampo de Zeist. Los Oficiales que queden sin destino,' podrán procurárselo en las tropas coloniales, cuyo núm</t>
  </si>
  <si>
    <t>Dundas</t>
  </si>
  <si>
    <t>or él mismo en la Cámara de los Comunes , y aprobada en virtud de su&gt; informe quando no era mas que,Mr. Dundas. La otra es, que el número de votos á favor y en contra de la propuesta de Mr. Whitbread ha sido tan igual de una y otra parte , que ha sido preciso que votase el Orador de la Cám</t>
  </si>
  <si>
    <t>Dundas, General</t>
  </si>
  <si>
    <t>General Dundas</t>
  </si>
  <si>
    <t>to de él, y pasar, quando sea necesario, de un punto á otro. Es favorable el informe que ha dado el General Dundas de esta invención. Las casas de Londres, interesadas en el comercio de las Indias occidentales, reciben diariamente quejas muy agrias de las pérdidas que experimenta nuestro comercio e</t>
  </si>
  <si>
    <t>Dupas, General</t>
  </si>
  <si>
    <t>General Dupas</t>
  </si>
  <si>
    <t>migo por el frente, ymiéntras que le hacia rodear por la izquierda por la brigada de granaderos del General Dupas, el Mariscal Soult le hacia rodear por la derecha por la brigada del General Levasseur de la división Legrand, compuesta de los Regimientos 3 y 18 de línea. El General de división</t>
  </si>
  <si>
    <t>Dupont, General</t>
  </si>
  <si>
    <t>General Dupont</t>
  </si>
  <si>
    <t>nes, 20 carros de municiones, y otros muchos carros y bagag.es, entre los que se encuentran los del General Dupont. Nuestra pérdida consiste en algunos centenares de hombres. El combate y" el alcance del enemigo duraron hasta U noche. y- ■ GRANE R E TAÑA, ' Londres 2 g de Octubre. Los preparat</t>
  </si>
  <si>
    <t>Duqae de Richeiieu, Teniente General</t>
  </si>
  <si>
    <t>Teniente General Duqae de Richeiieu</t>
  </si>
  <si>
    <t>mbajador Conde de Galówkin tendrá 60© rublos anuales de sueldo. Otra embaxada Rusa irá al Tibet. El Teniente General Duqae de Richeiieu, que está ya nombrado Ins^</t>
  </si>
  <si>
    <t>Duque, Conde</t>
  </si>
  <si>
    <t>Conde Duque</t>
  </si>
  <si>
    <t>leda, se ha mandado sacar á subasta, por término de 30 dias, una casa sita en esta Corte, calle del Conde Duque, con accesorias á la del Xabon , que vuelve á la de $. Dimas, núm. 3 , manz. 538, con 10,715$ pies de sitio, tasada en 364,745 rs. 17 mrs.Quien quisiere hacer postura á ella, acud</t>
  </si>
  <si>
    <t>diencia de S. S., y hora de las once de su mañana, para el remate de otra casa sita en la calle del Conde Duque, con accesorias á la del Xabon, que vuelve á la de S. Dimas, núm. 3, manz. 538, con 10,715^ pie* de sitio, valuada en 364,745 rs. 17 mrs. Quien quisiere hacer postura á ellas, acu</t>
  </si>
  <si>
    <t>Duran, Francisco Xavier</t>
  </si>
  <si>
    <t>Francisco Xavier Duran</t>
  </si>
  <si>
    <t>do. Para una de las plazas actualmente vacantes en et Consejo Real ha nombrado también S. M. al Sr. D. Francisco Xavier Duran, Ministro de la Sala de Alcaldes de Casa y Corte. Asimismo lia venido S. M. en conceder a D. Francisco Patricio de Berguizas, en atención á sus méritos, y circunstancias, honores</t>
  </si>
  <si>
    <t>la plaza de Ministro de la Sala de Alcaldes de su Real Casa y Corte , vacante por promoción del Sr. D. Francisco Xavier Duran á otra del Consejo, á D. Luis Marcelino Percyra, Ministro supernumerario de la misma Sala. Asimismo se ha servido nombrar para la plaza de Alcalde del Crimen de la Audiencia de Ga</t>
  </si>
  <si>
    <t>Durand</t>
  </si>
  <si>
    <t>Estado ;por un ataque Ae gota. * EL8 partió también «para Italia. S. A. L el Príncipe de Piombiiro. Mr. Durand, Ministro de Francia en Dresde, saldrá de París dentro de pocos días para su destino. Antes de partir la Corte á 1 talia,; regaló ¡ el JSmpecador ácada uuo de</t>
  </si>
  <si>
    <t>Durango, Francisco</t>
  </si>
  <si>
    <t>Francisco Durango</t>
  </si>
  <si>
    <t>eph Ligero. En Valencia.......... Sres. D. Francisco Peyrolon y compañía. EnValladolid....... Sres. D. Francisco Durango é hijo mayor. En Zamora......... D. Vicente Perez de Tejada. En Zaragoza........ D. Tomas de la Madrid. En Zeuta.................D. Pedro Huguet, comisionado subalterno del de Cád</t>
  </si>
  <si>
    <t>van-i y Posadiüo. En Valencia..........Sres. D. Francisco Peyrolon y compañía. En Valladolid. Sres. D. Francisco Durango é hijo mayor. En Zamora........... D. Josef Ligero. En Zaragoza........ D. Tomas de la Madrid. En Zenta ............ D. Pedro H uguet, comisionado subalterno del de Cádiz. En la e</t>
  </si>
  <si>
    <t>Dúrango, Francisco</t>
  </si>
  <si>
    <t>Francisco Dúrango</t>
  </si>
  <si>
    <t>sadilfó. Eli Valencia......... Sres. D. Francisco Fevfoloft V compañía. " En Válladolid...... Sr?s. D. Francisco Dúrango é hijo mayor. . En Zanlora......... . D. Josef Ligero. En Zaragoza....... D. Tomás de la Madrid. ¿í/z Zeuta......... . D. Pedro Hnget, comisionado subalternó del de Cádiz* El Rey</t>
  </si>
  <si>
    <t>Durante, Antonio</t>
  </si>
  <si>
    <t>Antonio Durante</t>
  </si>
  <si>
    <t>to y división de Indias se ha servidoS. M. promover á Teniente Coronel al Sargento mayor de Brigada D. Antonio Durante: á esta resulta al Capitán primero D. Nicolás Barceíd; y á la que este dexa al Capitán segundo D. Martin Casimiro Lasala. S. M. se ha servido conferir empleos de Alférez en los Re</t>
  </si>
  <si>
    <t>Durbc, Mariscal</t>
  </si>
  <si>
    <t>Mariscal Durbc</t>
  </si>
  <si>
    <t>o promovidos al grado de Teniente Coronel, y 7 Capitanes al de Mayores. Escriben de Bayreuthique ef Mariscal Durbc ha^pasado ;por -allí en la noche del' 6 de vuelta1 de- Berlin ,y„ que :i hacen* derechura al quarte 1.general Francés. Él' 5 había i pr asido ;porHof, en donde 4é.&lt;jkLs¡éronoima.c</t>
  </si>
  <si>
    <t>During, General</t>
  </si>
  <si>
    <t>General During</t>
  </si>
  <si>
    <t>hay en Hoistein se ha repartido en 3 divisiones: el Príncipe Federico de Hesse manda la primera; el General During la segunda, y el General Moltke la tercera. El General Rantzau mandará el cuerpo de reserva, y la vanguardia estará baxo las órdenes del General Ewald. Este cuerpo de exército se com</t>
  </si>
  <si>
    <t>Duro y Solano, Juan Diego</t>
  </si>
  <si>
    <t>Juan Diego Duro y Solano</t>
  </si>
  <si>
    <t>D. Juan Montes, y á supernumerario al Guardia D. Josef Moldes. El Rey se ha dignado nombrar al Sr. D. Juan Diego Duro y Solano pa ra la plaza efectiva de Ministro dei Consejo de Hacienda, vacante por fallecimiento del Sr- D. Andrés Tirado Martínez; y al Sr. D. Vicente deHore Ministro de Capa y Espada del</t>
  </si>
  <si>
    <t>Dúroc</t>
  </si>
  <si>
    <t>ador cotí S. S;, y lós Gardenalés hih Comido en la del Mayordó-^ tho Máyoí, y Gobernador de palacio Mr. Dúroc. El Elector ha sido por consiguiente preferido á los Cardenales ; preferencia que en otros tiempos le disputaron los Purpurados. Altana i.° de Enero de i8ój¡. El 27 dé Diciembre s</t>
  </si>
  <si>
    <t>Duroc</t>
  </si>
  <si>
    <t>e Anspach. Sabemos también que en la última Nota remitida á Mr. Laforet, Embaxador de, Francia, y &amp; Mr. Duroc, Enviado extraordinario del Emperador de los Franceses, S. M. declara ,,permanecer fielmente adidto al sistema político que hasta ahora ha dirigido su conducta, y que siempre esta</t>
  </si>
  <si>
    <t>Duroc y Mr, Mariscal</t>
  </si>
  <si>
    <t>Mariscal Duroc y Mr</t>
  </si>
  <si>
    <t>. Se continúan con la mayor actividad las importantes negociaciones que dirige nuestro Gabinete. El Mariscal Duroc y Mr. Laforet, Ministro de Francia, tienen freqüentes conferencias con Mr. de Hardenberg. Los Ministros de Austria, de Rusia y de Inglaterra envían continuamente correos á sus Cortes;</t>
  </si>
  <si>
    <t>Duroc, General</t>
  </si>
  <si>
    <t>General Duroc</t>
  </si>
  <si>
    <t>Cambaceres, al Mariscal Berthier, al Ministro de Relaciones exteriores, al Mariscal Bernadotte y ai General Duroc. Se sabe de cierto que la esquadra de Rochefort ha vuelto á entrar en este puerto cargada de los despojos de las islas Inglesas. Esta expedición , preparada con tanto sigilo, y ex</t>
  </si>
  <si>
    <t>bo precisión de ocupar mas tropas que un piquete de guardias Francesas é Italianas, mandadas por el General Duroc en la Catedral.__ Desde la víspera había anunciado \q, artillería con repetidas salvas la solemnidad del día 26. Los Cuerpos, Diputaciones y Autoridades que no tenían ocupación indi</t>
  </si>
  <si>
    <t>l. El domingo por la mañana, i.°del corriente,llegó aquí un correo Francés con la noticia de que el General Duroc venia á esta capital con un encargo importante del Emperador Napoleón para S. M. Prusiana. Con efecto, el domingo en la noche llegó, y se apeó en casa de Mr. Laforet, Mi-&gt; nistro</t>
  </si>
  <si>
    <t>el Barón de Hardemberg, Ministro de Estado, y á las n ha dado audiencia ai Ministro de Francia y al General Duroc. ALEMANIA. Ratisbon* 1° de Octubre. Mr. Baclier, Encargado de Negocios de S. M. el Emperador de los Franceses y Rey*de Italia cerca de la Dieta general del Iniperio, remitió ayer</t>
  </si>
  <si>
    <t>tanto el Emperador, queriendo dar una prueba del aprecio que hace de los granaderos, ha-nombrado al General Duroc para su mando. El 17 á las 3 de la tarde el Emperador ha transferido su quartel general á Znaim. La retaguardia Rusa ha tenido que abandonar sus hospitales en Znaim, donde hemos h</t>
  </si>
  <si>
    <t>Duroc, Mariscal</t>
  </si>
  <si>
    <t>Mariscal Duroc</t>
  </si>
  <si>
    <t>nto de las desavenencias suscitadas con motivo del paso de las tropas por territorio Prusiano.__ El Mariscal Duroc ha salido ya de Berlín, concluida su comisión pacífica, colmado de pruebas del aprecio y benevolencia de S. M. Prusiana. Parece cierto que el viage del Emperador de Rusia no tendr</t>
  </si>
  <si>
    <t>Duvidal</t>
  </si>
  <si>
    <t>nillos de su dignidad. . El día 5 fué introducido en la sala de las sesiones del Cuerpo Legislativo Mr. Duvidal, Orador del Tribunado, quien expuso en su discurso las utilidades que resultarían de la adopción del proyecto de ley*, pre</t>
  </si>
  <si>
    <t>Eajonquieres, Coronel</t>
  </si>
  <si>
    <t>Coronel Eajonquieres</t>
  </si>
  <si>
    <t>es y su Coronel Lefebvre, el Coronel del io de cazadores Colbert, á quien le mataron el caballo, el Coronel Eajonquieres del 76, y otros muchos Oficiales. El Emperador ha sentado hoy sus reales en la Abadía de Elchingen. Diario del exército. Elchingen d- 18 de Octubre. Xa jornada dé Ulma ha sido una de</t>
  </si>
  <si>
    <t>Eantzen</t>
  </si>
  <si>
    <t>ador de S. M., el Emperador de Alemania y de Austria. El Gran Pensionario de Flolanda ha nombrado á Mr. Eantzen para que resida cerca del Emperador Napoleón, en calidad de Ministro Plenipotenciario de la República Bátava, quien llegará muy pronto ¿ esta capital. El Emperador ha nombrado par</t>
  </si>
  <si>
    <t>Eauconnet, General</t>
  </si>
  <si>
    <t>General Eauconnet</t>
  </si>
  <si>
    <t>el Príncipe Murat, la una firmada por el Gefe del Estado mayor del-Príncipe Murat, y la otra por el General Eauconnet. El Emperador ha pasado el dia de hoy desde las 2 de la tarde hasta las</t>
  </si>
  <si>
    <t>Ebneter, Juan Bautista</t>
  </si>
  <si>
    <t>Juan Bautista Ebneter</t>
  </si>
  <si>
    <t>ge; Traxler » D. Francisco Scheer y D.Juan Good, el primero de granaderos ; y Subtenencia al Cadete D. Juan Bautista Ebneter: en el de Betschart el empleo de Capitán segundo al Teqienre de, granaderos D. Luis Richembach; grado de Teniente Coronel al Capitán de granaderos D. Félix Henrique Cristen; y en</t>
  </si>
  <si>
    <t>Echague, Ramón</t>
  </si>
  <si>
    <t>Ramón Echague</t>
  </si>
  <si>
    <t>an de Medina, muerto. Alféreces_de Navio. D. Luis Perez del Camino, muerto: D. Cayetano Picado id.: D. Ramón Echague id.: D. Pedro Nuñez, herido: D. Josef Losada id.: D. Pedro Brigloer id.: D. Manuel Huergo, contuso: D. Simón Londoño id.: D. Pedro Rato, herido. Alféreces de Fragata. D. Benito Be</t>
  </si>
  <si>
    <t>Eduardo</t>
  </si>
  <si>
    <t>rvido conferir en el Regimiento de infantería de Ñapóles Compañía ai Ayudante, graduado de Capitán, D. Eduardo De^sardi; y en el de Extremadura Tenencias á los Subtenientes de granaderos D. Francisco Sande y D. Josef Tejero. S. M. se ha dignado nombrar Gefe de Escuela del Departamento de Arti</t>
  </si>
  <si>
    <t>Eduardo de Santiago, Luis</t>
  </si>
  <si>
    <t>Luis Eduardo de Santiago</t>
  </si>
  <si>
    <t>n de Bordanave y D. Bartolomé Bueno, al Racionero de ella D. Andrés de Encalada: para esta Ración a D. Luis Eduardo de Santiago; y para la Media-Ración, que este dexa, a D. Ventura deTagle, Cura fn aquel Arzobispado: para la segunda a D. Juan de Ceyallos: para la Ración que este obtenia, al Medio-Racionero</t>
  </si>
  <si>
    <t>Eduardo Gorostiza, Manuel</t>
  </si>
  <si>
    <t>Manuel Eduardo Gorostiza</t>
  </si>
  <si>
    <t>ia al Teniente de Fusileros D: Tomas Rodrigo; Tenencia de fusileros en el de Segovia al Subteniente D. Manuel Eduardo Gorostiza; Subtenencias de granaderos en los de Badajoz y Sevilla á los Subtenientes D. Joaquín Gutiérrez y D. Fernando Zurita; y á Subteniente de bandera en el de Ciudad-Real á D. Ambrosio</t>
  </si>
  <si>
    <t>Eduardo Peiew</t>
  </si>
  <si>
    <t>ropuestas de Mr. Pitt. :' ■ r V : Se .dice que se ha despachado un aviso á la India para informar á Sir Eduardo Peiew de la salida de la esquadfa de Rocheforti Sin embar/</t>
  </si>
  <si>
    <t>Eduardo Pelew</t>
  </si>
  <si>
    <t>a esquadra de Rochefort. Habrá tres Comandantes marítimos en los mares de la India. El primero será Sir Eduardo Pelew, el segundo Sir Tomas Trpwbridge, y el tercero Sir Sidney Smith. El lunes entró el Almirante Cornwallis en Torbay con la esquadra del Canal, compuesta de 19 navios de línea. PARLA</t>
  </si>
  <si>
    <t>son poco formidables, se mantienen armados contra nosotros. Lord Lake se halla todavía en campaña: Sir Eduardo Pelew se ocupa con grande actividad en crear grandes fuerzas navales en los puertos de la India. El Gobierno Chino no se ha desdeñado de reclamar el auxilio de los Ingleses paTa limpiar</t>
  </si>
  <si>
    <t>Eduardo Rrett</t>
  </si>
  <si>
    <t>Sargento primero de granaderos D. Lorenzo Rico; y en el de América á los Cadetes D. juañ Martínez y D. Eduardo Rrett. En arencion a los particulares servicios de D. Manuel de Heredia, Contador principal de la Provincia de Cádiz, se ha servido S. M. distinguirle con los honores de Intendente de P</t>
  </si>
  <si>
    <t>Eenigno González, Diego</t>
  </si>
  <si>
    <t>Diego Eenigno González</t>
  </si>
  <si>
    <t>. D. Manuel Vicente de Torres / Teniente Corregidor de esta villa , por la escribanía dél número de D. Diego Eenigno González. Quaiquiera persona que conceptuase tener derecho para percibir parte de los réditos del censo de 77©‘ducados de capital, impuestos contra las alcabalas de la villa de Osuna , á f</t>
  </si>
  <si>
    <t>Eguia, Félix</t>
  </si>
  <si>
    <t>Félix Eguia</t>
  </si>
  <si>
    <t>dad de Pentecostés, ó venida del Espíritu Santo y su octava, según el breviario y misal romano, por D. Félix Eguia, Presbítero: un tomo en 8.* Se hallará en la librería de BayJo, calle de las Carretas, á 8 rs. Observatorio rústico, por D. Francisco Gregorio de Salas: última edición', corregida</t>
  </si>
  <si>
    <t>Eguren, Juan Bautista</t>
  </si>
  <si>
    <t>Juan Bautista Eguren</t>
  </si>
  <si>
    <t>es, ha visto con mucha complacencia la; actividad y. acierto coú que:el celoso Cura de dicho pueblo D. Juan Bautista Eguren practica por sí mismo la vacunación entre sus feligreses, de los que lleva yá vacunados cerca de 400; y deseoso dicho limo, de propagar la operación entre, sus amados diocesanos,</t>
  </si>
  <si>
    <t>Eías Ametller</t>
  </si>
  <si>
    <t>n el retrato de Salustió, y tres viñetas que representan á Cicerón, César y Mario, grabado todo por D. Eías Ametller. Se vende en el despacho de la misma Imprenta Real á 40 rs. en rústica los exemplares de papel avitelado y a 30 los del fino. Por decreto del Real Consejo de las Ordenes, de 10 de</t>
  </si>
  <si>
    <t>Eícovar, Antonio</t>
  </si>
  <si>
    <t>Antonio Eícovar</t>
  </si>
  <si>
    <t>t Antonio Alonso Isla: á Subtenientes de granaderos en los de Sevilla y Xe-; rez á los de fusileros D. Antonio Eícovar y D. Domingo de Surga; y á Subtenientes de bandera en los de Xerez, Truxillo, La re do, Ronda, Valladolid, Segovia y Betanzos- á D. Josef María Crúzate, D.. Joaquín María; del Manzano</t>
  </si>
  <si>
    <t>Eiliot, Lord</t>
  </si>
  <si>
    <t>Lord Eiliot</t>
  </si>
  <si>
    <t>buen efecto. Lord Grenville habló en estos términos: ,,Apoyo con todas mis fuerzas la propuesta de Lord Eiliot. No hay ningún pasage en el discurso propuesto en que yo no convenga sinceramente; bien entendido, qüecomo no tenemos á la vista ningún documento con que podamos juzgar del estado</t>
  </si>
  <si>
    <t>El Barón de Crumpipen</t>
  </si>
  <si>
    <t>ral Vial se halla en Berna, y se cree que 110 irá á Paris, como se había dicho. El Barón de Crumpipen, Ministro Austríaco en Suiza, está encargado de arreglar definitivamente las relaciones entre el Austria y esta República , concernientes á las posesiones del antiguo Obispado de Coira;y, s</t>
  </si>
  <si>
    <t>El Barón de Feltz</t>
  </si>
  <si>
    <t>los Anglo-Rusos en 1799 si ahora tiene la imprudencia de intentar esta empresa. El Barón de Feltz, Ministro del Austria cerca de nuestro Gobierno, se dispone para partir, y según parece solo espera la llegada de un correo. . El 26 por la noche vino á dar en la playa del puerto de Goeder</t>
  </si>
  <si>
    <t>El Barón de Geramb</t>
  </si>
  <si>
    <t>tre los hombres mas instruidos, y señaladamente filósofos, geómetras y médicos. El Barón de Geramb, autor del poema de Habsburg'», consagrado &lt;í la gloria de la casa de Austria, ha regalado al Emperador de Alemania un exemplar,Impreso en 7 pliegos en folio; con una magnificencia que h</t>
  </si>
  <si>
    <t>El Barón de Selz</t>
  </si>
  <si>
    <t>hallaren en los puertos de la Gran Bretaña. HOLANDA. Haya 10 de Enero de i8og. El Barón de Selz, Ministro del Emperador de Romanos y de Austria , ha llegado el 7 á Amsterdam con dos Comisarios de la Corte de Viena, encargados de la liquidación de los empréstitos hechos por la Casa de</t>
  </si>
  <si>
    <t>El Caballero Anduaga</t>
  </si>
  <si>
    <t>s Franceses en Alemania, han principiado á subir diariamente núes* tros fondos. El Caballero Anduaga, Ministro de S. M. C. en esta residencia, ha informado al Gobierno haberse levantado los cordones puestos en España durante el contagio. Con esta noticia se han desvanecido todos los rezelo</t>
  </si>
  <si>
    <t>El Caballero Corral</t>
  </si>
  <si>
    <t>esquadra de su mando , compuesta de un navio de línea, 6 fragatas y 4 corbetas. El Caballero Corral, Ministro de España cerca de la Sublime Puerta, y Mr. Koening , Encargado de Negocios de Suecia,, han sido llamados por sus Cortes respectivas. El Príncipe Alexandro Sapieha ha llegado á es</t>
  </si>
  <si>
    <t>El Caballero de Anduaga</t>
  </si>
  <si>
    <t>ido en S. Petersburgo una sensación muy desfavorable para la Corte de S. James. El Caballero de Anduaga , Ministro Español cerca de nuestra Corte, dio un convite de despedida el 9 del corriente á los Embaxadores de la Puerta y de Portugal; y al otro dia salió para volverse á España. ITALIA. ne</t>
  </si>
  <si>
    <t>El Conde de Goertz</t>
  </si>
  <si>
    <t>, el Elector de Badén, así en el Colegio Electoral como en el de los Príncipes. El Conde de Goertz, Ministro de Prusia, que hace muchos años que exercia los votos de la casa de Badén, ha recibido de S. A. E. una carta de gracias sumamente lisonjera, con la declaración de que, en razón de</t>
  </si>
  <si>
    <t>El Conde de Schimmelmann</t>
  </si>
  <si>
    <t>l Gobierno, en todos ios instrumentos públicos y en las oficinas ministeriales. El Conde de Schimmelmann, Ministro de Hacienda , ha sido elegido de nuevo, con todos los votos, para la plaza de Presidente de la Socierdad Real de las ciencias. PRUSIA. Berlín ij de Abril. El Doctor y Consejero pr</t>
  </si>
  <si>
    <t>El Conde Manicci</t>
  </si>
  <si>
    <t>el Inn, y pasó la noche en Altenmarkt: seis arcos del puente estaban quemados. El Conde Manicci, Coronel del exército Bávaro, había ido de Roth á Rosenheim, dónde encontró el puente quemado, y el enemigo del otro lado. Después de un vivo cañoneo el enemigo abandonó la orilla derecha.</t>
  </si>
  <si>
    <t>El Conde Stahremberg</t>
  </si>
  <si>
    <t>; y se ha concluido definitivamente la paz entre aquella Regencia y la Suecia. El Conde Stahremberg, Ministro de la Austria en Londres , tiene licencia de restituirse á Viena para ver á su madre , que está gravemente enferma. El Tribunal de la Cámara Real de Berlín ha fallado el divorcio</t>
  </si>
  <si>
    <t>El General Turreau</t>
  </si>
  <si>
    <t>L VIERNES 3 DE MAYO DE 180J. ESTADOS-UNIDOS DE AMERICA. Washington jS de Enero. El General Turreau, Ministro Plenipotenciario de S. M. el Emperador de los Franceses cerca de los Estados-Unidos de América, ha llegado á la bahía de Cheseapick, frente de Annápolis, á bordo de la fragata el</t>
  </si>
  <si>
    <t>El Lord Mulgrave</t>
  </si>
  <si>
    <t>entre ambas Potencias, no ha conseguido su objeto por desgracia de los hombres. El Lord Mulgrave, Ministro de Relaciones exteriores de Inglaterra, contesto á la carra del Emperador en nombre del Rey su amo, el 14 del mismo mes, diciendo: ,,Que S. M. sentía no poder responder puntualmen</t>
  </si>
  <si>
    <t>El Mariscal Berthier</t>
  </si>
  <si>
    <t>de esta capital el Juez mayor para cumplimentar á nuestros augustos Soberanos. El Mariscal Berthier, Ministro de la Guerra, llegó el S por la noche á Boloña, y al dia siguiente pasó revista á la primera división del cuerpo del centro. ESPAÑA. Madrid jo de Jidio. S. M. ha nombrado Ayudante</t>
  </si>
  <si>
    <t>El Señor Marques de Fuertehíjar</t>
  </si>
  <si>
    <t>das clases, cuyos cadáveres se han inhumado sin contradicción en el cementerio. El Señor Marques de Fuertehíjar, Ministro comisionado para promover la construcción de los campos santos en el Obispado de Cartagena , ha dado en términos muy expresivos las gracias que se deben de justicia al Alcalde may</t>
  </si>
  <si>
    <t>Eladio de la Riba</t>
  </si>
  <si>
    <t>Estéban Carvajal, D. Francisco Calderón, D. Domingo del Castillo y D. MarianoGab do; y de bandera á D. Eladio de la Riba y D. Bernardo Portugal. El Rey se ha dignado conceder en el Batallón de Milicias urbanas de Puno, en el Reyno del Perú, el empleo de Coronel á D. Rafael de Zamudio; la Tenencia Corone</t>
  </si>
  <si>
    <t>ElCaballero Correa</t>
  </si>
  <si>
    <t>Reyna salieron de aquí el dia 3 para Potsdam, donde permanecerán la primavera. ElCaballero Correa, Ministro de Portugal,recien llegado de Lisboa, tendrá un dia de estos su primera audiencia de S. M. Prusiana. Mr. Samuel-Abraham-Friedlander de Ritzebuttel, y el banquero Márcos Samuel, de</t>
  </si>
  <si>
    <t>Elector de Baviera, Príncipe</t>
  </si>
  <si>
    <t>Príncipe Elector de Baviera</t>
  </si>
  <si>
    <t>arcasen las tropas que se habían sacado de la isla. ITALIA. . Florencia 1.° de Julio. El Serenísimo Príncipe Elector de Baviera, que ha viajado por muchas provincias de Italia, ha llegado á esta ciudad con el nombre de Conde de Haag, acompañado del General Reís, de tres Gentiieshombres, y. de una ^comitiva</t>
  </si>
  <si>
    <t>Electoral BávaroPalatino, Príncipe</t>
  </si>
  <si>
    <t>Príncipe Electoral BávaroPalatino</t>
  </si>
  <si>
    <t>salió para volverse á España. ITALIA. necta 14 de 'Enero. Escriben de Pésaro que ha llegado allí el Príncipe Electoral BávaroPalatino el 5 del corriente: asistió por la noche al teatro de la ópera, y el 6 continuó su camino para la Italia meridional. En las cartas de Corfú se habla de que algunos individuos han in</t>
  </si>
  <si>
    <t>Electoral Carlos de Badén, Príncipe</t>
  </si>
  <si>
    <t>Príncipe Electoral Carlos de Badén</t>
  </si>
  <si>
    <t>reciable de sus desvelos, y en que siempre pondrá la gloria mas sólida de su reynado. l S. A. S. el Príncipe Electoral Carlos de Badén, S. A. el Príncipe Luis, Margrave de Badén, y el Barón de KenobeisdoríF, Ministro plenipotenciario del ftey de Prusia cerca de la Sublime Puerta, cazáron con el Emperador el 17 de</t>
  </si>
  <si>
    <t>Electoral de Baviera, Príncipe</t>
  </si>
  <si>
    <t>Príncipe Electoral de Baviera</t>
  </si>
  <si>
    <t>de comunicación entre los dos Brisacks, y que se construya un fuerte delante del viejo Brisack. El Príncipe Electoral de Baviera, que estaba viajando en Italia, llegó á esta ciudad el 29 de Octubre. El 30 por la mañana fué presentado á S. M. la Emperatriz; por la noche hubo una función muy brillante en el p</t>
  </si>
  <si>
    <t>Electoral de Wurtemberg, Príncipe</t>
  </si>
  <si>
    <t>Príncipe Electoral de Wurtemberg</t>
  </si>
  <si>
    <t>ará á Egra en Bohemia á ver los celebrados baños de Franzensbrunn___.Escriben de Roma que S. A., el Príncipe Electoral de Wurtemberg, tuvo el 17 del pasado una. audiencia del Padre Santo, y al día siguiente, salió paralMHán./ ^ El Emperador de Alemania llegó el 30 del pasado á Praga, acompañado de su Ayudante g</t>
  </si>
  <si>
    <t>Electoral, Príncipe</t>
  </si>
  <si>
    <t>Príncipe Electoral</t>
  </si>
  <si>
    <t>la noche. El Elector de Badén , el Príncipe Luis, el Príncipe Federico , hijo de S. A. S. E. , y el Príncipe Electoral su nieto, se. hallaban en el mismo pueblo para cumplimentar al Emperador, á quien maV nifestáron su gratitud por la buena acogida que les hizo. * El 2 á las 12 del dia salió el Em</t>
  </si>
  <si>
    <t>espera al Elector de Baviera de aquí á dos horas. Lintz 8 de Noviembre. El Elector de Baviera y el Príncipe Electoral han llegado ayer noche á Lintz. También ha llegado anoche el Teniente General Conde de Giulay, enviado por el Emperador de Austria: ha tenido una muy larga conferencia con el Empe</t>
  </si>
  <si>
    <t>Eliiot, Lord</t>
  </si>
  <si>
    <t>Lord Eliiot</t>
  </si>
  <si>
    <t>ÑA. Continuación de las noticias de Londres del jo de Enero. PARLAMENTO IMPERIAL. El dia 15 propuso Lord Eliiot en la Cámara de los Pares se votase un discurso de gracias á S. M. por el que pronunció al abrir la sesión del Parlamento. En quanto á la parte del discurso en que se había del romp</t>
  </si>
  <si>
    <t>Elisa, Princesa</t>
  </si>
  <si>
    <t>Princesa Elisa</t>
  </si>
  <si>
    <t>hemos pensado , pues , el dar este país, baxo el alto dominio de la Francia , á nuestra hermana la Princesa Elisa, confiriendo á su marido el título de Príncipe, del Imperio. Esta donación no es, el efecto de una terneza particular, sino una.cosa conforme á la sana, política y al interes de n</t>
  </si>
  <si>
    <t>&amp; que nazcan de la Princesa Elisa, no podrán casarse sin consentimiento del Emperador de los Franceses. 5.0 En caso de extinguirse la descendencia de la Princesa Elisa, &lt;5 habiendo perdido sus derechos por lá infr</t>
  </si>
  <si>
    <t>ó a'ternativamente, s.gun el ceremonial: se construyéron cinco tribunas, que ocupáron la Rey na, la Princesa Elisa, el Cuerpo diplrmático, los Caballeros forasteros y las familias de las grandes Autoridades que asistiéron á la ceremonia : se pusieron órdenes de bancos, de sillas y de gradas pa</t>
  </si>
  <si>
    <t>taba adornado con magnificencia, y en el centro se Labia colocado el trono Real. La Emperatriz y la Princesa Elisa ocupaban su tribuna, y eí CuerpoLégislativo y el Consejo de Estado sus respectivas sillerías, quando sé presentó el Emperador y Rey, acompañado dél Príncipe Eugenio, de los Gefes</t>
  </si>
  <si>
    <t>Lúea á S. A. S. Pascual Bacciochi, Príncipe de Piombino;y en caso de su fallecimiento á S. A. I. la Princesa Elisa, su esposa, y á sus descendientes, como lo indicaban los Luqueses en una acta adicional. Al mismo tiempo prometió el Emperador que les impondría la obligación de respetar constant</t>
  </si>
  <si>
    <t>Elizalde, Bernardo</t>
  </si>
  <si>
    <t>Bernardo Elizalde</t>
  </si>
  <si>
    <t>.............D. Andrés Frayle. En Cádiz................ D. Benito de la Piedra. En Cartagena........D. Bernardo Elizalde. En Ciudad-Real... D. Ramón Antonio Pico. En Córdoba.......... . Sres. Barcia padre é hijo. " En la Coruña........ D. Manuel ElzaurdiJ. En Cuenca............. Sres. viuda de Escol</t>
  </si>
  <si>
    <t>Elliot, Lord</t>
  </si>
  <si>
    <t>Lord Elliot</t>
  </si>
  <si>
    <t>marga verdad dirija nuestros consejos-----En quanto á la guerra con España opinó Lord Grenville con Lord Elliot, que era menester hiciese la Inglaterra todos los sacrificios para sostener el honor y los derechos de la Corona Británica; pero convino en que no podía pronunciarse acerca de la</t>
  </si>
  <si>
    <t>Elvira de Zarate</t>
  </si>
  <si>
    <t>sa cultura, á la instrucción aparente de las mugeres, y al pedantismo, que todo está muy extendido: Dona Elvira de Zarate, educada por D. Santurio Buenavá, Do mine de primera cátedra, intenta formar una academia para las Señoras de su clase, á la qual asistan, y asimismo 3 Manteistas substitutos de c</t>
  </si>
  <si>
    <t>Elzaiírdi, Manuel</t>
  </si>
  <si>
    <t>Manuel Elzaiírdi</t>
  </si>
  <si>
    <t>l.. D. Ramón Antonio Pico» ** ' ' En Córdoba........ Sres. Barcia padre é hijo. En la Coruña....... D. Manuel Elzaiírdi. j * En Cuenca...... . Sres. viuda de Escolar , Noriega é hijo. En Granada...... D. Francisco Unzaga. ' 1 EnGüadalaxara. D. Isidoro García Plaza. f ’ ' En Jaén... ........... D. P</t>
  </si>
  <si>
    <t>ElzaurdiJ, Manuel</t>
  </si>
  <si>
    <t>Manuel ElzaurdiJ</t>
  </si>
  <si>
    <t>... D. Ramón Antonio Pico. En Córdoba.......... . Sres. Barcia padre é hijo. " En la Coruña........ D. Manuel ElzaurdiJ. En Cuenca............. Sres. viuda de Escolar y Noriega 6 hijo. En Granada......... D. Francisco Unzaga. En Gruadalaxara. D. Isidro García Plaza. En Jaén................ . D. Ped</t>
  </si>
  <si>
    <t>Embajador Conde de Galówkin</t>
  </si>
  <si>
    <t>ante y numerosa que ha de ir á la China,permanecerá 3 años en aquel Imperio. El Embajador Conde de Galówkin tendrá 60© rublos anuales de sueldo. Otra embaxada Rusa irá al Tibet. El Teniente General Duqae de Richeiieu, que está ya nombrado Ins^</t>
  </si>
  <si>
    <t>Embajador Francés</t>
  </si>
  <si>
    <t>ana última pasáron por Nancy el Príncipe Ma-^ XÍmiliano de Latour y Taxis, y ei Embajador Francés cerca del Elector de Saltzburgo, con destino á esta capital. Según la relación que hizo Mr. Lavoisier á la junta de impuestos de la Asamblea constituyente, y q</t>
  </si>
  <si>
    <t>tríaca.-;—Escriben de Viena que en los primeros dias del corriente ha tenido el Embajador Francés muchas conferencias con los Ministros Imperiales, y que ha asistido á ellas él Embaxador Español.-__El Conde de Razümousky, Embaxador Ruso*, ha participado al</t>
  </si>
  <si>
    <t>Embaxador Austríaco</t>
  </si>
  <si>
    <t>o tiempo de apoderarse de ellas. HOLANDA. Haya 2$ de Abril. El Conde Cobentzel, Embaxador Austríaco en París, se halla aquí muy obsequiado por los empleados del Gobierno y los Ministros extrangeros. Su venida no tiene otro objeto que satisfacer su curiosidad, v</t>
  </si>
  <si>
    <t>te se embarcaron en un buque Americano que había en el Mosa. El Barón de Feltz, Embaxador Austríaco cerca de nuestro Gobierno, ha ido á Roterdam á visitar al Gran Pensionario y á las personas de distinción'de-su comitiva. . ITALIA. Crénova 2 de Jimio* Los pre</t>
  </si>
  <si>
    <t>deL Instituto. ' v» ,¡ ; Parts 17 de Junio. ; T 1 -i: : El Conde de Cobentzel , Embaxador Austríaco cerca del Emperador Napoleón 1, llegó el 7 del corriente á Francfort. Este Ministro vuelve á residir en París de su viage á Holanda. ESPAÑA.. Madrid § de Julio</t>
  </si>
  <si>
    <t>Embaxador Británico</t>
  </si>
  <si>
    <t>a entre los subditos de ámbos Estados. • Mr. Arbuthnot, que lleva el destino de Embaxador Británico áCóns— tantinopla, se halla todavía en Trieste detenido de orden de su Gobierno. Ha recibido varias veces pliegos del Almirante Nelson, y ha expedido en pocos</t>
  </si>
  <si>
    <t>as destacadas han desaparecido de las costas de Italia. Mr. Arbuthnot, nombrado Embaxador Británico cerca de la Puerta Otomana, va prolongando su estancia en Trieste, en donde tiene una correspondencia seguida con el Almirante Nelson, de quien ha recibido ya</t>
  </si>
  <si>
    <t>uques: el Ministerio Austríaco accedió á la solicitud, y representó, no solo al Embaxador Británico en Viena,sino también al Gobierno Ingles en derechura. Mr. Paget ha dado por respuesta que remitirá las reclamaciones á Londres, y recomendará por su parte con e</t>
  </si>
  <si>
    <t>ha llegado Mr. Falconer al despacho de Lord Mulgrave con pliegos de Mr.. Paget, Embaxador Británico en Viena. Se ignora qual sea su contenido; pero la reserva con que Mr. Mulgrave se ha explicado sobre dichos pliegos, hace creer que las noticias comunicadas por</t>
  </si>
  <si>
    <t>Embaxador Conde de Stadion</t>
  </si>
  <si>
    <t>or de las Rusias, su amo , informado del contenido de la Nota presentada por el Embaxador Conde de Stadion al Gabinete de Petersburgo, ha resuelto* „ Adherir a la</t>
  </si>
  <si>
    <t>Embaxador Conde Felipe de Cobentzel</t>
  </si>
  <si>
    <t>Soberanos, y las representaciones de oficio y ostensibles de que se encargó el Embaxador Conde Felipe de Cobentzel; y aunque las cartas en que el Emperador Napoleón participaba á S. M. sus disposiciones de formar un Reyno en Italia, estaban acompañadas de amenazas de armame</t>
  </si>
  <si>
    <t>Embaxador Español</t>
  </si>
  <si>
    <t>á imprimiéndose la relación del viage á Italia por Kotrjzebiie. A .petición del Embaxador Español, en Viena, dicen que se ha publicado, en la Corte Imperial, la agradable noticia de haber cesado enteramente en España la liebre amarilla, y que asimismo se ha</t>
  </si>
  <si>
    <t>muchas conferencias con los Ministros Imperiales, y que ha asistido á ellas él Embaxador Español.-__El Conde de Razümousky, Embaxador Ruso*, ha participado al Ministerio de Viena la llegada de dos exércitos Rusos, que han ae pasar por los'Estados hereditar</t>
  </si>
  <si>
    <t>Embaxador Francés</t>
  </si>
  <si>
    <t>continúa presentando la imagen de la mas horrible anarquía. El Mariscal Bruñe, Embaxador Francés, ha conseguido por último una declaración por escrito, en la qual promete el Gran Señor reconocer á Napoleón 1 baxo los títulos de Emperador y de Padischach, d</t>
  </si>
  <si>
    <t>n. Ha habido salvas de artillería; y el domingo próximo hay convite en casa del Embaxador Francés, al qual asistirán los sugetos mas condecorados, el Cuerpo diplomático, y los empleados públicos. El General Van Hoey, Gobernador de la colonia de Guinea, ha s</t>
  </si>
  <si>
    <t>n entrar en Francia, con tal que los pasaportes y certificados expedidos por el Embaxador Francés ó por su Encargado de Negocios en Madrid, contengan que no vienen de los países en donde ha reynado la enfermedad epidémica, y que no ha residido ni pasado por</t>
  </si>
  <si>
    <t>o?) ¿qué podríamos pensar si al mismo tiempo que negociábamos en Londres con un Embaxador Francés, saliese secretamente de Brest una esquadra para apoderarse de nuestras flotas de la India en medio de una profunda paz? ¿Quedaríamos entonces satisfechos si s</t>
  </si>
  <si>
    <t>rá pocos dias en llegar. ALEMANIA. Viena 7 de Febrero. Mr. de la Rochefoucault, Embaxador Francés, ha tenido ya varias conferencias con el Conde de Cobentzel, y muy en breve tendrá la primera audiencia del Emperador. En esta ocasión dicho Embaxador ostentar</t>
  </si>
  <si>
    <t>as del Gefe respectivo de cada Ministerio. Berna 16 de Agosto. El General Vial, Embaxador Francés, está próximo á volver á París. Dícese que en lo sucesivo no habrá Ministro particular del Reyno de Italia en Suiza, y que todos los negocios que ocurran entre</t>
  </si>
  <si>
    <t>es de granaderos. FRANCIA. 5trasburgo 17 de Agosto. Escriben de Alemania que el Embaxador Francés en Viena ha entregado una Nota á fin de saber el objeto de los movimientos de las tropas Austríacas___ Los Regimientos Austríacos destinados á formar un campamen</t>
  </si>
  <si>
    <t>ncernientes ála Orden de Malta, Parece que ha tenido varias conferencias con el Embaxador Francés, y de resultas han despachado correos á París. Según las noticias que últimamente se han recibido en Viena de las fronteras de Turquía, parece que los Turcos e</t>
  </si>
  <si>
    <t>ya en Berlín, y ha mandado llamar ai Duque reynante de Brunswick. Luego que el Embaxador Francés en Viena tuvo noticia de que los Rusos pisaban ya el territorio Austriaco, despachó inmediatamente un correo á París. El exército Ruso que ha entrado en la Gálli</t>
  </si>
  <si>
    <t>Embaxador Francés Mr</t>
  </si>
  <si>
    <t>o á presencia de S. M. I., y el último dia tuvo audiencia de mas de una hora el Embaxador Francés Mr. de la Rochefoucault.</t>
  </si>
  <si>
    <t>Embaxador Francés Semonville</t>
  </si>
  <si>
    <t>án todas las mudanzas en la constitución, que tanto anhela saber el público. El Embaxador Francés Semonville ha tenido hoy su audiencia de despedida para ir á París á ocupar la plaza de Senador. Queda por ahora de Encargado de Negocios Mr, Marivault. El Teniente de Ma</t>
  </si>
  <si>
    <t>Embaxador Hadgi Ca</t>
  </si>
  <si>
    <t>También está persuadido de que los Ingleses hiciéron expresamente asesinar á su Embaxador Hadgi Ca— lii, por lo qual ha recibido con mucha frialdad á Mr. Manesty, Enviado á Ispahan de parte del Gobierno de Bengala. A su regreso no se atrevió á transitar por</t>
  </si>
  <si>
    <t>Embaxador Ingles</t>
  </si>
  <si>
    <t>bos en sus facultades respectivas. Liorna 22 de Enero. Escriben de Alepo que un Embaxador Ingles, nombrado Manesty, se había presentado al Rey de Persia con el objeto de que este Soberano declarase la guerra al de Candahar. Pero, á pesar de los ricos prese</t>
  </si>
  <si>
    <t>Embaxador Ingles Alburthnot</t>
  </si>
  <si>
    <t>fondeó una fragata Inglesa de 44, procedente de Trieste, á cuyo bordo viene el Embaxador Ingles Alburthnot con su familia. , FRUSIA. * -- ; : ••• • ' ' Berliri 21 de Julio* ' i '^ i En Ja noche del 17 al 18 salió de aquí para Petersbnr^o ef Chambelán Ruso NowosUtzof</t>
  </si>
  <si>
    <t>Embaxador Persa</t>
  </si>
  <si>
    <t>* Es probable que Fatáli -Scha dirigirá estas palabras á oidos sordos, y que el Embaxador Persa tendrá varias conferencias cón el Reiss-óEffendi;; pero nada recabará de un Divan débil, desalentado, y que parece ser el único del universo qué no ve, ó no ti</t>
  </si>
  <si>
    <t>Embaxador Pru</t>
  </si>
  <si>
    <t>reforma de varios Regimientos.-^ Esta mañana han salido de aquí para Berlín el Embaxador Pru</t>
  </si>
  <si>
    <t>Embaxador Ruso</t>
  </si>
  <si>
    <t>io de Kameni-Ostrof, donde permanecerá por algún tiempo____Para el 25 saldrá el Embaxador Ruso que va á la China------Corren voces de que va á crearse un establecimiento con el nombre de Museo de la Marina, con el objeto de mejorar y adelantar esta profe</t>
  </si>
  <si>
    <t>on de unos 30©, y las que hay en el Tirol de 2Ó0 hombres. Ha llegado á Corfú el Embaxador Ruso, que va á la Corte de Ñapóles. Altona &lt;T de Agosto. Escriben de Viena, con fecha de 27 de Julio, que en los dos dias anteriores habian llegado á aquella ciudad</t>
  </si>
  <si>
    <t>rcos, se obligará la Sublime Puerta á hacer justicia á lás representaciones del Embaxador Ruso.” Dicen que al oir leer este primer artículo el Gran Señor, arrojo el papel con indignación , y se le saltáron las lágrimas. Siguió por muchos dias inquieto y</t>
  </si>
  <si>
    <t>ales, y que ha asistido á ellas él Embaxador Español.-__El Conde de Razümousky, Embaxador Ruso*, ha participado al Ministerio de Viena la llegada de dos exércitos Rusos, que han ae pasar por los'Estados hereditarios para incorporarse con les exércitos Au</t>
  </si>
  <si>
    <t>Embaxador Ruso Italinsky</t>
  </si>
  <si>
    <t>la Puerta Otomana y la Rusia; pero ha llegado un correo Ruso de Petersburgo al Embaxador Ruso Italinsky, y este Ministro ha hecho saber que su Soberano, únicamente ocupado en el restablecimiento de la paz, tiene resuelto no entrar en alianza ninguna ofensiva’ ó d</t>
  </si>
  <si>
    <t>Embaxador Schimmelpenninck</t>
  </si>
  <si>
    <t>nciará por los legisladores. Mañana es regula? que llegue aquí de París nuestro Embaxador Schimmelpenninck; y generalmente se cree que en la semana que viene se efectuarán todas las mudanzas en la constitución, que tanto anhela saber el público. El Embaxador Francés</t>
  </si>
  <si>
    <t>Embaxador Sueco</t>
  </si>
  <si>
    <t>dad de correo, el Baroci de Armsfeld , despachado con suma precipitación por el Embaxador Sueco cerca de nuestra Corte. No ha dexado de dar motivos esta salida precipitada á conjeturas políticas , que se suceden incesantemente^ y</t>
  </si>
  <si>
    <t>Embaxador Turco</t>
  </si>
  <si>
    <t>ta declaración no se expresa formalmente que se enviarán nuevas credenciales al Embaxador Turco en París, el Embaxador Francés ha creído deber atenerse á las instrucciones literales que ha recibido de su Gobierno, y sigue disponiendo su marcha. Antes de aye</t>
  </si>
  <si>
    <t>Embaxador, Príncipe</t>
  </si>
  <si>
    <t>Príncipe Embaxador</t>
  </si>
  <si>
    <t>a China; pero aprisionado, en su travesía , por los Ingleses, fué reducido por ellos de la clase de Príncipe Embaxador, á la de simple marinero. En esta calidad llegó á Europa. El buque que montaba fué apresado ppr los Franceses, quienes le enviaron á Verdun con los demas prisioneros. Habiendo caí</t>
  </si>
  <si>
    <t>Emparan, Ignacio</t>
  </si>
  <si>
    <t>Ignacio Emparan</t>
  </si>
  <si>
    <t>pertenecientes ;&gt;á:Ja religión, á fin de que este premio sea mas apreciable, y ahora le han ganado D. Ignacio Emparan, D..Manuel Abbad , D.-Ramón de ZuJoága, D..RamouEernandez,'y D. Bonifacio Glivencia, quiénes dieron; por sentado que la: religión cristiana es verdaderamente, revelada por Dios, y</t>
  </si>
  <si>
    <t>Encabo, Juan Antonio</t>
  </si>
  <si>
    <t>Juan Antonio Encabo</t>
  </si>
  <si>
    <t>Soria, Diócesis de Osma, vacante por promoción de D. Josef Morales y Setien al Priorato de ella, á D. Juan Antonio Encabo, Racionero y Cura de la misma; y para el Beneficio de la villa de Morente, en el Obispado de Córdoba, vacante por fallecimiento de D. Mariano del Hoyo, á D. Francisco Molero y Lóp</t>
  </si>
  <si>
    <t>Encinas, Antonio</t>
  </si>
  <si>
    <t>Antonio Encinas</t>
  </si>
  <si>
    <t>Capellanía de número y coro de Toledo, vacante por fallecimiento de D. Manuel Maestro Lumbreras , á D. Antonio Encinas; y para el Beneficio simple servidero de la Parroquial de Santiago de Villena, en la Diócesis de Cartagena , vacante por fallecimiento de D. Joaquín Cebrian, á D. Luis Santiago de</t>
  </si>
  <si>
    <t>Endeyza, Juan Antonio</t>
  </si>
  <si>
    <t>Juan Antonio Endeyza</t>
  </si>
  <si>
    <t>de 1804 remitió el Juez de bienes de difuntos de Buenos-Ayres testimonio de los autos del intestado D. Juan Antonio Endeyza, que falleció en aquella capital, manifestando había registrado en la fragata Prosperidad 375 pesos, pertenecientes al mismo, consignados al Juez de Arribadas del puerto de Cádiz,</t>
  </si>
  <si>
    <t>Eneptehoc, Antonio</t>
  </si>
  <si>
    <t>Antonio Eneptehoc</t>
  </si>
  <si>
    <t>J'Antonio Eneptehoc. Hijo de Juan, natural de Lemberg en Po--) ,</t>
  </si>
  <si>
    <t>Ensebio Carda</t>
  </si>
  <si>
    <t>lgunos zelosos vecinos; y fueron premiados D. Luis Kicola, D. Miguel Cabellos, D. Vicente Tortilla, D. Ensebio Carda, D. Juan Bautista Cruz, Doña Peregrina Gosalbó, Doña Teresa Lamaneta y Doña Manuela Lamaneta. Después recitáron los niños quatro letrillas en acción de gracias. Leyó una oda D. Es</t>
  </si>
  <si>
    <t>Ensebio Yanguas</t>
  </si>
  <si>
    <t>mentar á SS. MM. y AA. S. M. se ha servido nombrar para una Media-Ración de la Catedral de Cuenca á D. Ensebio Yanguas, Canónigo octogenario de la misma, y Capellán del Convento de S. Pedro de aquella ciudad; para el Beneficio residencial de la villa de Oropesa, Diócesi de Avila, vacante por muert</t>
  </si>
  <si>
    <t>Entrena y Mosquera, Diego</t>
  </si>
  <si>
    <t>Diego Entrena y Mosquera</t>
  </si>
  <si>
    <t>er— né y Pavía, D. Josef Herrera Dávila y Albear, D. Francisco de Paula Uclés de Herrera y Ramírez, D. Diego Entrena y Mosquera, D. Manuel Cavaleri y Arana, D. Agustín del Barco y la Cendeja, D. Francisco Rio Espina y Aracil. D. Pablo de la Puente y Aranguren* D. Luis Cepeda y Ruliere, D. Francisco Andrada</t>
  </si>
  <si>
    <t>Erasó, Cayetano</t>
  </si>
  <si>
    <t>Cayetano Erasó</t>
  </si>
  <si>
    <t>por haberlas renunciado D. JosefMaicin y D* Henrique de Lope Concha, áD. JoSef Antonio de la Viá y D. Cayetano Erasó, Curas ámbos en aquella Diócesi... - ' , - , , ,v . ■. . . ■ t. El Re¿y se iba servido¡nombrar SubuMpectór &lt;de Milicias disciplinadas de .more/rovSjde, Ljmá al Capitai^graduadq D&gt;</t>
  </si>
  <si>
    <t>Eres, Juan Francisco</t>
  </si>
  <si>
    <t>Juan Francisco Eres</t>
  </si>
  <si>
    <t>n á las naciones de su recíproco comercio, y dé los falsos principios con que se han apreciado: 2.0 D. Juan Francisco Eres* neda, sobre el análisis del precio natural de las cosas, y las Circunstancias que alteran'en los mercados cada uno de sus elementos: 3.0 D; Francisco Rimont no disertó, á causa d</t>
  </si>
  <si>
    <t>Erev, General</t>
  </si>
  <si>
    <t>General Erev</t>
  </si>
  <si>
    <t>go á la ciudad, y toda se abraso. Era un puerto-franco.-y de Jos.-rúas ricos, de Jas Antillas,,. El General Erev.cstise&gt; Eétiró -al fuébt4 PíO-rtshiQ^ijh^bá' 12, leguas de. Rosean. -Podíamosi consideramos ¿.como dañóos!de eam -eolpnjaj pjerp el General’ Lagrange y ¿L Contra-Almirante cMissfe</t>
  </si>
  <si>
    <t>Ernouf, General</t>
  </si>
  <si>
    <t>General Ernouf</t>
  </si>
  <si>
    <t>na , con fecha de i-° de este mes , que había desembarcado en Pasages el dia anterior el Edecán del General Ernouf, Comandante de la Guadalupe, que solo empleó 29 días, en la: travesía» Las noticias que ha comunicado son las: Siguientesr. ,,La Dominica ,Monserrate, S. Cristóbal y la Antigua ha</t>
  </si>
  <si>
    <t>nían habían caído en poder de los Franceses, con los 3® soldados que llevaba á bordo. El Edecán del General Ernouf, que desembarcó eñ Pasages viniendo de la Guadalupe, ha comunicado que el Almirante Missiessy llegó al fuerte</t>
  </si>
  <si>
    <t>Martinica y á la Guadalupe, que en .el dia no tienen que temer á las esquadras Inglesas. - m . . El General Ernouf ha remitido al Ministro de la Marina un estado de las presas que han hecho en aquellos mares los corsarios Franceses; por él resulta que desde 24 de Abril-de *$04 hasta 21 de Marz</t>
  </si>
  <si>
    <t>unicado de oficio á la Dieta Germánica en Ratisbona la reunión de la Liguria al Imperio Francés. El General Ernouf, Comandante ae la Guadalupe, ha remitido al Ministro de la Marina, con fecha de 4 de Mayo., la copia de dos cartas, una del Comnodoro Hood, y la otra en nombre‘ del Contra-Almiran</t>
  </si>
  <si>
    <t>Erskine, Coronel</t>
  </si>
  <si>
    <t>Coronel Erskine</t>
  </si>
  <si>
    <t>ximo inclusive se presentaren á bordo de los navios de S. M. en Piimonth. Portsmouth, Chatam &amp;c. El Coronel Erskine ha escrito una circular á la Corporación de letrados para que esten prontos á marchar á la primera orden, y hagan exercicios fieqüentes. El 22 se pasará revista, y maniobrará este</t>
  </si>
  <si>
    <t>Es, General</t>
  </si>
  <si>
    <t>General Es</t>
  </si>
  <si>
    <t>mó dos colunas, y se encaminó al Isonzó.Dos horas antes de anochecer , la vanguardia mandada por el General Es-: pagne entró en Gradisca, donde los Austríacos no le opusieron grande resistencia. Los cazadores á caballo subiéron entonces la orilla derecha de! rio dirigiéndose á Gorizia, al m</t>
  </si>
  <si>
    <t>Escalera, Antonio</t>
  </si>
  <si>
    <t>Antonio Escalera</t>
  </si>
  <si>
    <t>es á los Subtenientes D. Antonio de Hoces, D. Josef Taberné, Don* Antonio Isasi, D; Antonio Cásanos D. Antonio Escalera, Di Mateo Ghar-1 denoux, D. Pedro Argaiz, D. Pablo Ventades, D. Agustín Salazar, Don Juan Pusterla, D. Pedro del Barco, D. Francisco Saravia y D. Manuel Cebi-ian¿ En Iqs Cuerposde</t>
  </si>
  <si>
    <t>Escamez y Santander, Joaquín</t>
  </si>
  <si>
    <t>Joaquín Escamez y Santander</t>
  </si>
  <si>
    <t>de Córdoba. En el Regimiento de caballería del Rey se ha servido S. M. conceder Tenencia al Alférez D. Joaquín Escamez y Santander: en el de España empleo de Portaestandarte al Cadete D. Joaquín Pardo; y en el de Cazadores de Olivencia empleo de Alférez al Sargento primero D. Juan Barranco. . \ El Rey se ha s</t>
  </si>
  <si>
    <t>Escaño, Antonio</t>
  </si>
  <si>
    <t>Antonio Escaño</t>
  </si>
  <si>
    <t>: - ; r . •• •- - .l ; -. ; ; ’ : El combate riaval del 21 de Octubre: Silva dedicada al Excmo. Sr. D. Antonio Escaño, Teniente General dé la Real Armada, por D. Josef Mor de Fuentes. En esta composición/ impresa con todo esmero , se ha procurado dar una idea cabal de las circunstancias dé' la ac</t>
  </si>
  <si>
    <t>Escaño, General</t>
  </si>
  <si>
    <t>General Escaño</t>
  </si>
  <si>
    <t>o recibidas hasta ahora alcanzan hasta el dia 2 5 , y son que el 23 hizo salir otra vez de Cádiz el General Escaño los navios Españoles y Franceses que habian entrado la noche anterior, para que favoreciesen á los navios desmantelados que se presentasen á la vista, y atacasen sus escoltas. Por est</t>
  </si>
  <si>
    <t>Escapa y Leal, Gaspar</t>
  </si>
  <si>
    <t>Gaspar Escapa y Leal</t>
  </si>
  <si>
    <t>D. Felipe de Senra: á Teniente de fusileros de los de Ciudad-Rodrigo y-Plasencia á los Subtenientes D. Gaspar Escapa y Leal y D. Pascual Gamero, el primero de granaderos: ¿ Subtenientes de granaderos de los de Jaén y Tuy ¿ los de fusileros D. Francisco Galindo y D. Francisco Ledo; y á Subteniente de bander</t>
  </si>
  <si>
    <t>Escarda Palmero, Tomás</t>
  </si>
  <si>
    <t>Tomás Escarda Palmero</t>
  </si>
  <si>
    <t>de S. Mateo de la villa de Alburquerque, en la Diócesis de Badajoz , vacantes el uno por muerte ,de D. Tomas Escarda Palmero, y el otro por promoción de D. Antonio Orduña á la Dignidad de Tesorero de la Catedral de Plasencia , á D. Pedro Josef do Vera y Pantoja. El Rey se ha servido conferir el empleo d</t>
  </si>
  <si>
    <t>Escaso, Francisco</t>
  </si>
  <si>
    <t>Francisco Escaso</t>
  </si>
  <si>
    <t>ros D. Antonio Graciano: en el de Aragón Ayudantía al Teniente de granaderos , graduado de Capitán, D. Francisco Escaso: y er» el primer batallón de Voluntarios de Aragón Tenencia al Subteniente D. Juan Blancas, y Subtenencia de bandera al Sargento primero D. Jorge Castelnou. El Rey se ha servido c</t>
  </si>
  <si>
    <t>Escofes, Francisco</t>
  </si>
  <si>
    <t>Francisco Escofes</t>
  </si>
  <si>
    <t>tandarte al Sargento primero D. Juan Alonso : en el ae Algarbe empleo de Alférez al Portaestandarte D. Francisco Escofes, y el de Portaestandarte al Sargento primero D. Juan de Cuellar. También se ha servido S. M. conferir Compañía en el Regimiento de</t>
  </si>
  <si>
    <t>Escofet, Antonio</t>
  </si>
  <si>
    <t>Antonio Escofet</t>
  </si>
  <si>
    <t>érida , , , 66. 12. Antonio Escofet,.... Gerónimo. Rosa Diumengó,,, Cabreñs , ,, Gerona , ,, 66. 12. Josef Puig...................Otro. ,,,, Francisca Prats,</t>
  </si>
  <si>
    <t>Escovar, Antonio</t>
  </si>
  <si>
    <t>Antonio Escovar</t>
  </si>
  <si>
    <t>Plasencia y Ciudad-Rodrigo á D. Josef Gorgonio de Galvez Cañero , Don Antonio Escovar, D. Manuel María de Liano y Aior, y D. Ignacio Rodríguez Moreno. También se ha servido el Rey conferir la Tenencia de Rey de la ciudadela de la plaza de Pamplona á D. Agustín Muñi</t>
  </si>
  <si>
    <t>Escovar, Luis</t>
  </si>
  <si>
    <t>Luis Escovar</t>
  </si>
  <si>
    <t>. Cayetano de Quesada; á Subtenientes de fusileros al de bandera Doh Estéban oe Varona, y al Cadete D. Luis Escovar; y á Subtenientes dé bandera á los Cadetes D. Josef Mariano González y D. Estóban de la Toiv re: en él de milicias de las quatro Villas, en dicha isla, á Capitán ai Subteniente de</t>
  </si>
  <si>
    <t>Escovedo, Jorge</t>
  </si>
  <si>
    <t>Jorge Escovedo</t>
  </si>
  <si>
    <t>o nombrar para la plaza de Ministro togado del Consejo de Indias, vacante por fallecimiento del Sr. D. Jorge Escovedo, al Sr. D. Antonio López Quintana, Regente de la Real Audiencia de Santa Fe de Bogotá. También se ha dignado S. M. conferir la Regencia de la Audiencia de Manila, en las Islas Fil</t>
  </si>
  <si>
    <t>Escriba, Juan</t>
  </si>
  <si>
    <t>Juan Escriba</t>
  </si>
  <si>
    <t>érida , , , 66. 12» Juan Escriba.........Otro.................. Maria Estelellas,, , Pratdit, ,,,, Montblanc,, 66. 12. Antonio Diumenjó... Daniel.... Josefa Tramots, ., , Barcelona ,, Idem</t>
  </si>
  <si>
    <t>Escudero, Santiago</t>
  </si>
  <si>
    <t>Santiago Escudero</t>
  </si>
  <si>
    <t>Tenencias en los Regimientos de infantería de Granada y Voluntarios de la Corona á los Subtenientes D. Santiago Escudero y D. Pedro Pérez ; y Subtenencias de bandera en el de Guadalaxara al Sargento primero D. Felipe Alvarez, y en el expresado de Granada al Teniente reformado del Provincial de Pontevedr</t>
  </si>
  <si>
    <t>Esmenard</t>
  </si>
  <si>
    <t>pruebas multiplicadas de su afición á las ciencias y á las letras, ha escrito la carta siguiente á Mr. Esmenard, autor del Poema de la Navegación: ,,He leído la excelente obra que Vmd. me ha remitido, con cuyo motivo aprovecho la ocasión de comunicarle mi parecer, como Vmd. desea, sobre su</t>
  </si>
  <si>
    <t>fuese para con el Tribunado el intérprete de su reconocimiento.” El Gobierno Holandés ha regalado á Mr. Esmenard, autor del poema de la Navegación,una medalla de oro con las armas de la República Bátava,‘por haberse adquirido los derechos del reconocimiento nacional describiendo las empresas</t>
  </si>
  <si>
    <t>bre. S. M. Prusiana ha remitido por medio dei Marques de Luchesini, su Embaxador en esta capital, á Mr. Esmenard, .autor dei Poema de la* Navegación, \z medalla de oro déla Academia de Berlín, con la carta que sigue: ,, La opinión pública ha señalado ya el lugar que debe ocupar el Poema de l</t>
  </si>
  <si>
    <t>Espagne, General</t>
  </si>
  <si>
    <t>General Espagne</t>
  </si>
  <si>
    <t>del puente nuevo fuéron derribadas al instante: la división de los cazadores montados del mando del General Espagne, la de granaderos del General Partouneaux, la reserva de caballería mandada por el General Monnet y la división del General Moiitor entraron por Veroneta, y se dirigiéron á la car</t>
  </si>
  <si>
    <t>iéron grandes reconocimientos en la línea: lá división de cazadores de á caballo, á las órdenes dei General Espagne, y los noltigeurs de la división Gardanne, se pusieron en seguimiento del enemigo, molestándole todo el dia, y se le hieiéroa 600 prisioneros. Hoy ocupamos á Montebello: mañana el</t>
  </si>
  <si>
    <t>r tierra las empalizadas del puente nuevo 5 y la división de cazadores á caballo, á las ordenes del General Espagne, la de granaderos, á las del General Patourneau, la reserva de caballería, mandada por el General Mennet, ^ la 3.adivisión por el General Molitor, han atravesado Veronneta, encami</t>
  </si>
  <si>
    <t>habia tenido desde luego otro designio que el de hacer reconocer la posición por la caballería. El General Espagne, tjue mandaba la división de los cazadores de caballería, los dragones, á las ordenes del General Mermet, y. los coraceros á las del General Pully, se acercaron al rio, miéntras q</t>
  </si>
  <si>
    <t>Esparza, Antonio</t>
  </si>
  <si>
    <t>Antonio Esparza</t>
  </si>
  <si>
    <t>ervido S. M. promover á Capitán primero al segando D. Antonio Monsalve; y á Teniente al Subteniente D. Antonio Esparza. En América. El Rey se ha servido nombrar para el empleo de* ©irector general de la Renta de la Lotería de México á D. Joaquín Obregon y San Román, Comisario Ordenador honorario*</t>
  </si>
  <si>
    <t>Espinar, Juan</t>
  </si>
  <si>
    <t>Juan Espinar</t>
  </si>
  <si>
    <t>al Cadete D. Francisco Xavier Cendrera: en el de Toledo Subtenencias de bandera al Sargento primero D. Juan Espinar, y al Cadete D. Josef Antonio Ruisuarez y Diz: en el de América Compañía al Capitán D. Francisco Calero, Ayudante de la tercera división de granaderos Provinciales de Andalucía; y</t>
  </si>
  <si>
    <t>Espiñeyra y Aguiar, Manuel</t>
  </si>
  <si>
    <t>Manuel Espiñeyra y Aguiar</t>
  </si>
  <si>
    <t>retendientes que aspiren á él dirigirán sus memoriales á la Justicia y Ayuntamiento de dicha villa. D. Manuel Espiñeyra y Aguiar, vecino de esta Corte, desea saber el paradero del Barón Salineri de Vannes, para dirigirle una carta interesante de su patria. Historia de los Sacramentos, donde se refiere el mo</t>
  </si>
  <si>
    <t>Espinosa de los Monteros, Antonio</t>
  </si>
  <si>
    <t>Antonio Espinosa de los Monteros</t>
  </si>
  <si>
    <t>las gradas,de S. Felipe- . Plano topográfico dé la Villa y Corte de Madrid, dibuxado y grabado por Don Antonio Espinosa de los Monteros, Académico de la Real de las Nobles Artes: p pliegos de marca imperial. Se hallará en la plazuela del Ángel, núm. 19, quarto principal- , ' ^ EN LA IMPRENTA REAL.</t>
  </si>
  <si>
    <t>Espinosa Lozano, Joseph</t>
  </si>
  <si>
    <t>Joseph Espinosa Lozano</t>
  </si>
  <si>
    <t>biere hallado, lo entregará en esta Corte a D. Pedro del Peso y Quiñones, y en la ciudad de Avila á D. Joseph Espinosa Lozano. ' '' Se desea saber el paradero dé IX Juan Férnahcld del Castillo, que vivía en está Corte el año de 1787, para entregarle un documento de su pertenencia, á cuyo efecto se acudir</t>
  </si>
  <si>
    <t>Espinosa, Francisco</t>
  </si>
  <si>
    <t>Francisco Espinosa</t>
  </si>
  <si>
    <t>o se ha servido -el Reí promoverá Capitán al Ayudante D. Antonio Domínguez; á Ayudante* al Teniente D. Francisco Espinosa; á Teniente al Subteniente de granaderos D. Manuel Villalba;á Subteniente* de granaderos al de fusileros JD. Josef Castro Palomino, y á Subteniente de bandera al Sargento primero</t>
  </si>
  <si>
    <t>Esquerra, Ventura</t>
  </si>
  <si>
    <t>Ventura Esquerra</t>
  </si>
  <si>
    <t>l Portaguión D. Juan Francisco Augirot:\n el de cazadores voluntarios de España Tenencia al Alférez D. Ventura Esquerra; y en el de húsares Españoles Ayudantía al Teniente» graduado, de. Capitán» D. Rafael Santistebam í í; 1 El Rey se há servido, á&gt; consulta del Consejo Real, establecer una Va-, ra</t>
  </si>
  <si>
    <t>Esquivel, Francisco</t>
  </si>
  <si>
    <t>Francisco Esquivel</t>
  </si>
  <si>
    <t>el Regimiento D. Antonio Ochoa y D. Basilio Mendizabal; y empleos de Portaguión al Sargento segundo D. Francisco Esquivel y á D. Josef Joven, también vecino de la misma jurisdicción.</t>
  </si>
  <si>
    <t>Esquivel, Vicente</t>
  </si>
  <si>
    <t>Vicente Esquivel</t>
  </si>
  <si>
    <t>ubteniente D. Juan López;y en ei de León á Subteniente de bandera ai Sargento primero de granaderos D. Vicente Esquivel. El Rey se ha servido promover á Subtenientes de bandera en el Regimiento de infantería de Saboya á D. Antonio Cabeza de Vaca, Cade</t>
  </si>
  <si>
    <t>Estala, Pedro</t>
  </si>
  <si>
    <t>Pedro Estala</t>
  </si>
  <si>
    <t>BufFon, clasificado según el sistema deLinneo por Renato Ricardo Castel, traducido é ilustrado por D. Pedro Estala, Presbítero: tomo 16, y segundo de las aves , en que se contiene la histeria de las aves de rapiña , nocturnas y diurnas, la de los alcaudones y picaflores, con 1 o estampas ilumi</t>
  </si>
  <si>
    <t>e hallarán en la librería de Gómez, calle de las Carretas. Cartas de un Español á un Anglomano, por D. Pedro Estala, Presbítero. El objeto de estas cartas es manifestar la perfidia del Gobierno Ingles, y su perjudicial política. La primera de estas dos cartas se insertó en el Diario de Madrid d</t>
  </si>
  <si>
    <t>viuda é hijo de Quíroga, calle de las Carretas. Cartas g.a y 4.a de un Español á un Anglomano, por D. Pedro Estala, Presbítero. Aunque pudieran formarse muchos volúmenes sobre el maquiabelismo de los Ingleses, se ha resumido en estas quatro cartas todo lo que necesita saber el público Español</t>
  </si>
  <si>
    <t>edo: para una Canongía de dicha Iglesia Metropolitana, vacante por muerte de O. Juan de Anchuelo, á D. Pedro Estala, Bibliotecario ae sus Reales Estudios de S. Isidro: para uña Ración de la referida Iglesia de Córdoba, vacante por fallecimiento de D. Juan Antonio Trespalacios, á D. Pedro García</t>
  </si>
  <si>
    <t>ufFon, clasificado según el sistema de Linneo, por Renato Ricardo Castel, traducido é ilustrado por D. Pedro Estala, Presbítero: tomo iy, que contiene la historia de los colibris, con adiciones muy copiosas á estas aves y á las de los dos tomos anteriores. La necesidad de esperar á que se publi</t>
  </si>
  <si>
    <t>Estanislao Marau</t>
  </si>
  <si>
    <t>do conferir en el Regimiento de infantería de la Corona Compañía al Ayudante , graduado de Capitán, D. Estanislao Marau ; y en el- de Asturias Subtenencia de bandera al Cadete D. Nicolás de Biedma. El Rey-se ha servido nombrar para el Corregimiento de, la ciudad de Awila á D. Josef -Alonso Valdeneb</t>
  </si>
  <si>
    <t>Estanislao Montes, Juan</t>
  </si>
  <si>
    <t>Juan Estanislao Montes</t>
  </si>
  <si>
    <t>Savgento segundo D. Juan Josef López : en el mismo Batallón á Teniente veterano al ¿argento primero D. Juan Estanislao Montes: en. el esquadron desmontado del Regimiento de milicias de dragones de Matanzas á Capitán al Teniente D. Tomas Alfonso; á Teniente al Subteniente D. Rafael Car bailo; á Sub•tenien</t>
  </si>
  <si>
    <t>Estanislao Soler, Miguel</t>
  </si>
  <si>
    <t>Miguel Estanislao Soler</t>
  </si>
  <si>
    <t>los de fusileros D. Juan Bautista Saviñon yD. Josef Elorga; y á Subtenientes de bandera los Cadetes D. Miguel Estanislao Soler y D. Juan Zeiada y el Sargento Don Francisco Sánchez Neyia. S. M. se ha dignado conferir Comandancia de esquadron en el Regimiento de Milicias urbanas de dragones de Quispicanchi, en</t>
  </si>
  <si>
    <t>Estepar, Santiago</t>
  </si>
  <si>
    <t>Santiago Estepar</t>
  </si>
  <si>
    <t>sitio 10,445! pies, y está tasada en 464,307 rs. Quien quisiere comprarla, acuda á la escribanía de D. Santiago Estepar, dentro de las casas de Ayuntamiento. A voluntad de su dueño, con facultad Real, y por providencia del Sr. D. Manuel Vicente de Torres, del Consejo de S. M., Teniente Corregidor d</t>
  </si>
  <si>
    <t>nde 10,445^ pies de sitio, tasada en 464,307 rs. Quien quisiere comprarla, acuda á la escribanía de D. Santiago Estepar, dentro de las casas de Ayuntamiento. A voluntad de su dueño se vende una casa en el Real Sitio de S. Ildefonso, tasada en 61® rs.: tiene su extensión 50 pies de ancho, y 47^ de p</t>
  </si>
  <si>
    <t>Estevez, Juan</t>
  </si>
  <si>
    <t>Juan Estevez</t>
  </si>
  <si>
    <t>o Zuloaga, D. Josef García y D. Juan Peralta; Ayudantía á D. Josef Romero; Tenencia de granaderos á D. Juan Estevez,y de fusileros á D. Tomas Carreri,D. Juan Anglés, Don Pascual Toledo, D. Manuel Carpió, D. Francisco Grambel,D. Josef Cordero, D. Ramón Oviedo y D. Juan Cornejo; Subtenencia de gr</t>
  </si>
  <si>
    <t>Estrada, Basilio</t>
  </si>
  <si>
    <t>Basilio Estrada</t>
  </si>
  <si>
    <t>e la Osa; Tenencia al Alférez D..Miguel Rus; y empleo de Portaguión al Sargento segundo distinguido D. Basilio Estrada. Asimismo en el Regimiento de dragones Provinciales de Puebla se ha dignado, promover á Alférez al Portaguión D. Joset Antonio Osio , y a Portaguión á D. Josef Martin Niño de Ribe</t>
  </si>
  <si>
    <t>Eugenio Beauharnois</t>
  </si>
  <si>
    <t>en aquel término, pudieron libertar la vida á la tripulación. FRANCIA. Leen 7 de Febrero. S. A. S. Mr. Eugenio Beauharnois , Coronel general de Cazadores de la guardia Imperial, llegó ayer á esta ciudad. A su entrada se le hiciéron á S. A. los honores debidos á su dignidad, y determinados por decretos</t>
  </si>
  <si>
    <t>Eugenio de Castro</t>
  </si>
  <si>
    <t>, D. Manuel Antonio Gómez, Don Ramón de Santander y D. Joaquín Tejada; Subtenencia de granaderos á Don Eugenio de Castro, y de fusileros á D. Pedro Bustinza, D. Vicente Béjar, D. Manuel Céspedes, D. Higidio Mariaca, D. Paulino Deza, D. Eugenio Dueñas , D. Pedro Cegarra , D. Mariano García Romani; y</t>
  </si>
  <si>
    <t>Eugenio de Zuloaga</t>
  </si>
  <si>
    <t>tínez; y los Seminaristas D. Manuel Abbad, el Cadete de Reales Guardias Walonas D. Josef de Castro, D. Eugenio de Zuloaga y D. Félix Gilman, Cadete del dicho Real Cuerpo. Madrid 12 de Marzo. Antes de ayer se vistió la Corte de gala en el Real Sitio de Aranjuez con motivo del cumpleaños del Sr. Infante Do</t>
  </si>
  <si>
    <t>Eugenio Dueñas</t>
  </si>
  <si>
    <t>ros á D. Pedro Bustinza, D. Vicente Béjar, D. Manuel Céspedes, D. Higidio Mariaca, D. Paulino Deza, D. Eugenio Dueñas , D. Pedro Cegarra , D. Mariano García Romani; y Subtenencias de bandera á f). Simón Aguirre y D. Gregorio Santander. En el Batallón de nueva creación de Milicias disciplinadas de</t>
  </si>
  <si>
    <t>Eugenio Figueroa</t>
  </si>
  <si>
    <t>uis Sánchez Toro ; y sencillas á D. Sebastian Benavente , D. Gerónimo Casal, D. Nicolás Montesinos, D. Eugenio Figueroa, D. Josef Alvaro de Arias, D. Juan Pablo Molina, D. Mariano Cáceres y D. Andrés de Cárdenas; Ayudantías á D. Cayetano Castro y D. Josef Molina; Tenencia de granaderos á D. Josef R</t>
  </si>
  <si>
    <t>Eugenio Ibarrcia</t>
  </si>
  <si>
    <t>nzálezÁramburu, D. Juan Manuel Lozano, D. Ventura del Castaño, D. Mariano Cruceta, D..SantiagoRizo, D. Eugenio Ibarrcia, D. Josef Osorio, y-'D. Martin Arambunn En el de los Valles de Acari y Chala Ayudantía ai Teniente del mismo D. Josef AntoninoNeyra. En el de caballería de Cañete, también de Mili</t>
  </si>
  <si>
    <t>Eugenio Lorenzo</t>
  </si>
  <si>
    <t>la dé la villa de VillandelSaz; de D. Guillen, en la misma ?Diócesi^ va¿* oanterpoúfallecimiento de D. Eugenio Lorenzo, á JE). Quihtin de&gt; Subrranas, con retención del Beneficio de Solorio que obtiene en el Obispad d0; d© Gviedo:,;yr femrc'ccmpeñsá'del: de Ovanca* eñ el mismo Obispado, por no habe</t>
  </si>
  <si>
    <t>Eugenio Ramón de Viguri</t>
  </si>
  <si>
    <t>acante por promoción de D. Benito Fernandez Navarrete á Canongía de la Metropolitana de Zaragoza, á D. Eugenio Ramón de Viguri, Tesorero reformado de la Aduana deOrduña: para una Canongía de la Colegial de Soria, Diócesis de Osma, vacante por promoción de D. Josef Morales y Setien al Priorato de ella, á D</t>
  </si>
  <si>
    <t>Eugenio Virey del Reyno de Italia, Príncipe</t>
  </si>
  <si>
    <t>Príncipe Eugenio Virey del Reyno de Italia</t>
  </si>
  <si>
    <t>ón la execucion del proyecto. Las cartas particulares de Milán anuncian que S. M. I. ha nombrado al Príncipe Eugenio Virey del Reyno de Italia. También escriben de la misma ciudad, que SS. MM. irán á Brescia el 4, donde se detendrán dos dias; que desde allí pasarán á visitar otros departamentos, y después irán á Genova,</t>
  </si>
  <si>
    <t>Eugenio y de Antonia Vidal</t>
  </si>
  <si>
    <t>sio Prat, donde darán razón. Se desea saber si vive Bartolomé Martínez, hijo de Eugenio y de Antonia Vidal, natural de Valencia; y si hubiere fallecido, en qué Parroquia está enterrado.</t>
  </si>
  <si>
    <t>Eugenio, Príncipe</t>
  </si>
  <si>
    <t>Príncipe Eugenio</t>
  </si>
  <si>
    <t>residente del Tribunado dio cuenta á aquel Cuerpo de la respuesta que habia recibido de S. A. S. el Príncipe Eugenio á la carta que le habia escrito, preguntando el dia en que el Tribunado en cuerpo podría ir á casa de S. A. S. á presentarle sus homensges. El Príncipe ha respondido desde León, c</t>
  </si>
  <si>
    <t>esta de 900 granaderos, ha llegado hoy. La infantería la manda él General Soult, y la caballería el Príncipe Eugenio. Los cuerpos de la primer arma son tres, á saber: el de cazadores, que llegó ayer, de 900 hombres: el de granaderos, que vino hoy, de otros 900; y un cuerpo de granaderos Italiano</t>
  </si>
  <si>
    <t>tieron SS. MM. al bayle que habia prevenido en la casa de la ciudad, al que concurrió igualmente el Príncipe Eugenio, que ha vueirto de Milán.—,Ai dia siguiente dio .audiencia á todas las Autoridades constituidas , que arengáron á SS. MM----- El 26 fue S. M. á caza; y por la noche asistió á un c</t>
  </si>
  <si>
    <t>de ella. . j , ■ ■ v Milán, 81 idei Mayo» ¡Esta tardé: han entrado en esta ciudad SS. MM.: II. El - Príncipe Eugenio, el Mariscal Jourdan, todos los Generales y ios Oficiales del Estado mayor Francés é Jfaliánd saliéróríá recibirlos á un quarto de legua fuera de la ciudad. En el camino estaba fo</t>
  </si>
  <si>
    <t>ha enviado igualmente para él Emperador las insignias de la Orden de S. Huberto; y también para él Príncipe Eugenio y iós Mariscales Masena, Jourdan y.Soult, para; Mr. de Caulaincourty Caballerizo mayor, y para Mr. JBarbé-'-Miarbdis, Ministro del tesoro público. Mr. Gerónimo Bonaparte se halla to</t>
  </si>
  <si>
    <t>ración Suiza, y Mr. Antonio Oriófrio , Diputado de S. Marín* El día 3 fueron SS. MM.acompañados del Príncipe Eugenio , á Brera á visitar los objetos de • las artes y de la industria. Distinguieren; entre las producciones de los artistas que componen aquella Academia varias obras del célebre Cano</t>
  </si>
  <si>
    <t>Consejo de Estado sus respectivas sillerías, quando sé presentó el Emperador y Rey, acompañado dél Príncipe Eugenio, de los Gefes de palacio, Ministros &amp;c. Luego que se sentó en su trono, y dos gradas mas abaxo, eai una silla, el Príncipe Eugenio, se fuéron colocando los Dignidades y demas pers</t>
  </si>
  <si>
    <t>las disposiciones constitucionales de León. Concluida la lectura, el Maestro de Ceremonias avisó al'Príncipe Eugenio que pasase á prestar su juramento en calidad de Virey. S. A. habiendo hecho una profunda reverencia al Rey, se arrodilló cerca de la credencia que se habla colocado á la izquierda</t>
  </si>
  <si>
    <t>ia de creer que conocéis muy bien sus sentimientos, y que tendréis confianza en él. = Firmado. = E1 Príncipe Eugenio.” El camino real que mandó hacer el Emperador y Rey para facilitar la comunicación entre el Imperio Francés y el Reyno de Italia por el Simplón , está ya transitable para la artil</t>
  </si>
  <si>
    <t>Eusebio Goizueta</t>
  </si>
  <si>
    <t>, D. Juan Jaén, D. Fernando Rosel, D. Vicente Vivanco y D. Anselmo de Arce; j de Portaestandartes á D. Eusebio Goizueta, D. Manuel Muñiz, D. Matías Salazar y D. Vicente Rodriguez. En el Regimiento de Milicias urbanas de dragones de Carabaya, en el Reyno del Perú, se ha dignado S. M. conceder el emp</t>
  </si>
  <si>
    <t>Eusebio Julián Rubio</t>
  </si>
  <si>
    <t>n, vacante en lá Sarita Iglesia, de Cuenca por fallecimiénto de D. Francisco Xavier de la Puente, á D. Eusebio Julián Rubio: para los Beneficios simples de la Parroquia de Otur, Arciprestazgo de Valdés, Diócesi dé Oviedo, y de Sta. Ma</t>
  </si>
  <si>
    <t>Eusebio, Manuel</t>
  </si>
  <si>
    <t>Manuel Eusebio</t>
  </si>
  <si>
    <t>dro AbasCal, D. Mariano Patino, D. Miguel Fuñol, Don Manuel del Ribero Alonsoy D. Tiburcio Vivanco, D. Manuel Eusebio y*D. Ignacio de los Rios; Ayudantía mayor á D. Domingo Apodaca; Tenencia de granaderos á Di Josef de Noya ; y de-fusileros á D. Francisco García deJPonce, D. Antonio Zainudio, D. Fr</t>
  </si>
  <si>
    <t>Eustaquio de Lazcano, Juan</t>
  </si>
  <si>
    <t>Juan Eustaquio de Lazcano</t>
  </si>
  <si>
    <t>anda, Sargento primero del del Príncipe: en el de Jaén á Ayudante al Teniente, graduado de Capitán, Don Juan Eustaquio de Lazcano: en el segundo Batallón de Voluntarios de Aragón á Capitán segundo al Teniente D. Francisco Abalcal; y á Subteniente de bandera en el primero de Cataluña al Cadete D. Francisco An</t>
  </si>
  <si>
    <t>Eustasio González Castañeda</t>
  </si>
  <si>
    <t>ción que en el dia 8 del mismo mes se había executado entre seis opositores, se habían adjudicado á D. Eustasio González Castañeda, D. Josef Junco y Perez, y D. Tomas Villafaae. Fue muy lucido y numeroso el concurso, habiendo asistido el Ayuntamiento de Madrid, .representado por dos caballeros Regidores, dos</t>
  </si>
  <si>
    <t>Eustasio López</t>
  </si>
  <si>
    <t>nseqiiencia se sirvió adjudicar los tres premios mayores de á 55 pesos cada uno á D. Simón Sánchez, D. Eustasio López y D. Miguel Perez; y los tres segundos de á 35 pesos á D. Isidro Franco,, D. Felipe Alvaro y D. Pedro González; quedando con la mas lisonjera satisfacción de haber advertido al propio</t>
  </si>
  <si>
    <t>Evan Nepean</t>
  </si>
  <si>
    <t>aros que setoman aquí providencias para remediar una de las quejas principales del pueblo Irlandés. Sir Evan Nepean, en virtud de las instrucciones que ha'</t>
  </si>
  <si>
    <t>BRETAÑA. Londres 13 de Febrero. PARLAMENTO IMPERIAL. Cámara de los Comunes, Junta del 8 de Febrero. Sir Evan Nepean propone á la Cámara suspender por tiempo ilimitado los efectos del acta del ¡tabeas Corpus en Irlanda. Sir John Nenvfort. ,,No puede suspenderse por causas ligeras la acta del bab</t>
  </si>
  <si>
    <t>49* Gil AÑ BRETAÑA, Londres 3 de Abril. Sir Evan Nepean ha hecho dimisión del empleo de Secretario de Estado por Irlanda: aüíi no se le ha nombrado sucesor. Ha llegado á Liverpool la‘fl^ta mercante de Surinam, compuesta de 25 velas , q</t>
  </si>
  <si>
    <t>Evaristo Franco</t>
  </si>
  <si>
    <t>a Sargentía mayor i D. Pedro Alcocer; Compañía de granaderos á D. Martin Rivarola, y de fusileros á D. Evaristo Franco, D. Diego Aliaga, D. Juan Cáceres, D. Josef Camacho, D. Martin Terroba, D. Gregorio Zuloaga, D. Josef García y D. Juan Peralta; Ayudantía á D. Josef Romero; Tenencia de granaderos</t>
  </si>
  <si>
    <t>Evaristo Gutiérrez, Pedro</t>
  </si>
  <si>
    <t>Pedro Evaristo Gutiérrez</t>
  </si>
  <si>
    <t>de Burgos, vacante por promoción de D. Luis Folgueras y Sion al Deanato de la Catedral de Orense, á D. Pedro Evaristo Gutiérrez,Teniente de la Real Iglesia Colegial de S. Ildefonso: para el Arciprestazgo de Sta. María de Brihuega, en el Arzobispado de Toledo, vacante por fallecimiento de D. Francisco Ruiz,</t>
  </si>
  <si>
    <t>Evaristo Ximenez</t>
  </si>
  <si>
    <t>Juan Cornejo; Subtenencia de granaderos á D. Miguel San Román, y de fusileros á D. Julián Antezana, D. Evaristo Ximenez , D. Mariano Estevez, D. Fernando Aragón, D. Josef Callisava, D. Antonio de la Vega, D. Josef de Avila y D. Francisco Velasco; y Subtenencias de bandera á D. Domingo Terrona y D.</t>
  </si>
  <si>
    <t>Ewald, General</t>
  </si>
  <si>
    <t>General Ewald</t>
  </si>
  <si>
    <t>rcera. El General Rantzau mandará el cuerpo de reserva, y la vanguardia estará baxo las órdenes del General Ewald. Este cuerpo de exército se compone de 12 esquadrones de dragones, 12 de caballería, 7 de húsares y de 24 batallones ae infantería. Ha llegado aquí el Caballero de Lobo, Ministro</t>
  </si>
  <si>
    <t>Exea y Corbalan, Francisco</t>
  </si>
  <si>
    <t>Francisco Exea y Corbalan</t>
  </si>
  <si>
    <t>telo, Oidor de la Audiencia de Sevilla: para el Corregimiento de Letras de la villa de Ponferrada á D. Francisco Exea y Corbalan ; y pata la Vara de primer Teniente de Asistente de Sevilla, vacante por pro</t>
  </si>
  <si>
    <t>Expugne, General</t>
  </si>
  <si>
    <t>General Expugne</t>
  </si>
  <si>
    <t>agenfurth, y muy pronto co'mun'icatá'Cpíi él'e^xéteitb grande.1’La vanguardia, :á las Órdenes tíél- General Expugne,hace k cada paso ínfuevos prisioneros: Los caminos’ dé Tdria'y dé Leybáeh estáncubiertos de caballos muertos, de caxones de municionas- rotos, y de montones de balas &lt;■ abandonada</t>
  </si>
  <si>
    <t>Eyre Coote</t>
  </si>
  <si>
    <t>tales compuesto de 50 velas, escoltado por el Venerable de 74, y por otras embarcaciones de guerra. Sir Eyre Coote con su esposa y familia, y los Generales Drummond y Belfour, van embarcados á bordo de la fragata Fishguard. FRANCIA. París 3 de Diciembre. Mr. de Stadion, Ministro del Emperador</t>
  </si>
  <si>
    <t>Ezquerra y Trápaga, Manuel</t>
  </si>
  <si>
    <t>Manuel Ezquerra y Trápaga</t>
  </si>
  <si>
    <t>ardinito á la espalda de la casa» Quien quisiere tratar de ajuste, acudirá á la tienda droguería de D. Manuel Ezquerra y Trápaga, calle ancha de Boteros, quien informará con individualidad, y en dicho Sitio en la Contaduría de él. A voluntad de su dueño se vende una casa en la villa de Leganes, calle del Ho</t>
  </si>
  <si>
    <t>Fabchich</t>
  </si>
  <si>
    <t>go se ha publicado una colección de poesías originales en lengua Rusa, con el título de la Abeja___ Mr. Fabchich ha publicado la traducción en versos Húngaros de los líricos Griegos Píndaro, Alceo, Safo, Stesicoro, Ibico, Anacreonte Stc. Ha seguido exactamente el metro empleado por dichos au</t>
  </si>
  <si>
    <t>Fabro, Manuel</t>
  </si>
  <si>
    <t>Manuel Fabro</t>
  </si>
  <si>
    <t>nel del Regimiento de infantería de Toledo al Teniente Coronel del de África , graduado de Coronel, D. Manuel Fabro: Compañía en el de Málaga al Ayudante, graduado de Capitán, D. Josef Carrillo: Tenencia en el de Ñapóles al Subteniente de granaderos D. Pablo Valiñani; y Subtenencia.de bandera e</t>
  </si>
  <si>
    <t>Facundo de Alarcon</t>
  </si>
  <si>
    <t>~ El Rey se ha servido conceder Tenencia en el Regimiento de infantería de Valencia al Subteniente D. Facundo de Alarcon: Ayudantías en el de Irlanda á los Tenientes de granaderos, graduados de Capitán, D. Antonio Barellas y D. Balvino Cortés; y Subtenencias en el mismo Cuerpo al Sargento primero de</t>
  </si>
  <si>
    <t>Facundo González</t>
  </si>
  <si>
    <t>f-‘ Cond. 2 Facundo González. Hijo de Andrés, natural de Carrion de</t>
  </si>
  <si>
    <t>Falconer</t>
  </si>
  <si>
    <t>Orfeo, que debe llevarla á Hamburgo. Se ha asegurado á razón de 2 guineas por 100. Ayer ha llegado Mr. Falconer al despacho de Lord Mulgrave con pliegos de Mr.. Paget, Embaxador Británico en Viena. Se ignora qual sea su contenido; pero la reserva con que Mr. Mulgrave se ha explicado sobre d</t>
  </si>
  <si>
    <t>Falqués, Pablo</t>
  </si>
  <si>
    <t>Pablo Falqués</t>
  </si>
  <si>
    <t>arcelona, , 66. 12. Pablo Falqués........... Pedro. : Eulalia, , , , , , SanAndreu,- Barcelona, , 66. 12. Juan Grau. ............... Antonio, « Eulalia Fónt, , , ,■ Barcelona, ,Tdem ,</t>
  </si>
  <si>
    <t>Famesio, Félix</t>
  </si>
  <si>
    <t>Félix Famesio</t>
  </si>
  <si>
    <t>l de dicha villa, dentro del término dé 30 dias, contados desde el de la publicación de este aviso. D. Félix Famesio, de nación Portugués, primer violín que fué en la Capilla de la Catedral de Astorga, se ausentó, de esta ciudad habrá como, xa $fíos, sin que desde entonces se haya sabido de él,</t>
  </si>
  <si>
    <t>Fando, Juan</t>
  </si>
  <si>
    <t>Juan Fando</t>
  </si>
  <si>
    <t>utnrlo, en el término de 30 días contados desde el 24 del presente, por la escribanía dei número de D. Juan Fando, que actualmente despacha D, Félix Pico, Qualquiera persona que quisiere comprar la casa, r.úm. *4, manz. 204, sita en la plazuela de la Leña de esta Corte, acudirá á tratar con e</t>
  </si>
  <si>
    <t>Farelo, Pedro</t>
  </si>
  <si>
    <t>Pedro Farelo</t>
  </si>
  <si>
    <t>uventud; y aunque generalmente diéron muestra de su aprovechamiento, se distinguieron singularmente D. Pedro Farelo;, Don Antonio de los Reyes y D. Manuel Bonis en los tropos de retórica, mensura y calificación de todas qualidades.de versos; D. Manuel Segovia, Don Andrés Rodríguez, D. Manuel de</t>
  </si>
  <si>
    <t>Fariñas, Alexo</t>
  </si>
  <si>
    <t>Alexo Fariñas</t>
  </si>
  <si>
    <t>Di Manuel Vito Rarbajosa, D. Josef Vázquez, D. Domingo Perez4 D. Antonio Roxásy Di Antonio* Claros, D. Alexo Fariñas, D. Santiago de Alboniga y‘Romero , Di Antonio María Vitoria Hernaez, D. Mamerto Vázquez, D. Antonio Castro; D.' Crisanto Viguera y D. Santiago García. Respondiéron tan acertadame</t>
  </si>
  <si>
    <t>Faurie, Pedro</t>
  </si>
  <si>
    <t>Pedro Faurie</t>
  </si>
  <si>
    <t>bal é hijo: en Bilbao D. Juan Bautista de Larraondo*. en Barcelona D. Gerónimo Jauhela: en Valencia D. Pedro Faurie: en Murcia los Sres. Valence y sobrinos: en Cartagena D. Henrique Fauson y compañía: en Alicante D. L. Jrouchaud: en Granada D. Juan Manuel García de Tejada y compañía: en Córdoba</t>
  </si>
  <si>
    <t>Fauson, Henrique</t>
  </si>
  <si>
    <t>Henrique Fauson</t>
  </si>
  <si>
    <t>Gerónimo Jauhela: en Valencia D. Pedro Faurie: en Murcia los Sres. Valence y sobrinos: en Cartagena D. Henrique Fauson y compañía: en Alicante D. L. Jrouchaud: en Granada D. Juan Manuel García de Tejada y compañía: en Córdoba D. Ventura AuJe: en Sevilla D. Domingo y Justo Torrijos; y en Cádiz D. Jua</t>
  </si>
  <si>
    <t>Faust</t>
  </si>
  <si>
    <t>embre del año próximo pasado. La operación ha tenido las mas favorables conseqiiencias.—La obra del Doctor Faust, titulada Aviso d la humanidad para la extinción de las viruelas por medio de la vacuna y tiene un despacho increíble en los Estados Prusianos. Se han tirado 35© exemplares; y no</t>
  </si>
  <si>
    <t>artan á los de Halberstadt, y 3$ para los jornaleros de Hohenstein. ALEMANIA. Hamburgo de Julio. El Dr. Faust publicará muy en breve, de acuerdo con el Dr. Hunoíd, de Cassel, una obra, en la qual promete demostrar que todos los instru^ inentos de cirugía, excepto la lanceta de vacunar, de</t>
  </si>
  <si>
    <t>Faustino</t>
  </si>
  <si>
    <t>illa, D. Juan Francisco y D. Joaquín Asensio-de Ocon, padre é hijo , D. Joaquín Montesoro y Moreno, D. Faustino .Cotorro de la Gala, D. Domingo y D. Antonio Hernández,hermanos, Don</t>
  </si>
  <si>
    <t>Faustino Anzu y Garro</t>
  </si>
  <si>
    <t>ca y 20 en pasta. Memoria sobre el privilegio que gozan los cosecheros de vino de Granada: su autor D. Faustino Anzu y Garro, Presbítero. Este escrito, Recomendable por la fluidez y propiedad de su estilo, por la solidez de sus pruebas, y por el patriotismo y buen zelo que su autor manifiesta, no solo f</t>
  </si>
  <si>
    <t>Faustino Bru, Pedro</t>
  </si>
  <si>
    <t>Pedro Faustino Bru</t>
  </si>
  <si>
    <t>servido nombrar para el Dean ato de la Catedral de Herida de Yycatan; vacante por fallecimiento de.D. Pedro Faustino Bru.net&gt;, á IV Josef.Joaquín.Chacen ? para el Arcedianátoque este: dexa á D. Manuel de Solazar : para la Chantría á D. Santiago Martínez , Maestrescuela : para esta Dignidad á D. Bern</t>
  </si>
  <si>
    <t>Faustino Peynado</t>
  </si>
  <si>
    <t>á D. Froylan Ramón de Araujo ; y para la Vara de. Alcalde mayor de las villas de Bes y las Casas á D. Faustino Peynado.‘ ■ An 'América.- S. M. se ha dignado nombrar para una Ración deda Catedral de la Paz, vacante por falleciiTiiento de D. Josef Toledo, al MedioRacionero (de la mis.mg Ip..,F.ra1nc</t>
  </si>
  <si>
    <t>Faustino Valdés</t>
  </si>
  <si>
    <t>D. Pedro la Hermosa; á Subtenientes de fusileros á D. Bernardino Toledo, y á los Sargentos primeros D. Faustino Valdés, D. Mariano Gamboa, D-. Felipe Borbolla, D. Gregorio Fernandez de Llamas, D. Josef Marcos Calderón y D. Melchor Mogollon; y de bandera ai Sargento primero D. Juan Armendariz, y al</t>
  </si>
  <si>
    <t>Faxardo, Antonio</t>
  </si>
  <si>
    <t>Antonio Faxardo</t>
  </si>
  <si>
    <t>Antonio Faxardo • «i* Hijo de Diego, natural de la Estrella en Ex-1 ^</t>
  </si>
  <si>
    <t>Fe-sch, Cardenal</t>
  </si>
  <si>
    <t>Cardenal Fe-sch</t>
  </si>
  <si>
    <t>primer destino con la .delicadeza y munificencia propias del carácter de tan gran Monarca. El Emo. Cardenal Fe-sch, Embajador de S. M. I. y R. en Roma, está encargado de presentar; esta tiara á S. S.; y Esteban Nitot, que ha te-** ‘nido la honra de enseñarla á S. M. I. y R., la llevará á Roma</t>
  </si>
  <si>
    <t>Federico de Hesse, Príncipe</t>
  </si>
  <si>
    <t>Príncipe Federico de Hesse</t>
  </si>
  <si>
    <t>Octubre. El cuerpo de exército Dinamarqués que hay en Hoistein se ha repartido en 3 divisiones: el Príncipe Federico de Hesse manda la primera; el General During la segunda, y el General Moltke la tercera. El General Rantzau mandará el cuerpo de reserva, y la vanguardia estará baxo las órdenes del Genera</t>
  </si>
  <si>
    <t>Federico de Wurtemberg, Príncipe</t>
  </si>
  <si>
    <t>Príncipe Federico de Wurtemberg</t>
  </si>
  <si>
    <t>de dirigir en adelante este ramo importante de la administración pública. Se había anunciado que el Príncipe Federico de Wurtemberg , primogénito del Elector de este título, luego que recibió el grado de FeldMariscal, había salido para Petersburgo con una comisión particular del Emperador de Austria; pero la n</t>
  </si>
  <si>
    <t>Federico Fritze, Juan</t>
  </si>
  <si>
    <t>Juan Federico Fritze</t>
  </si>
  <si>
    <t>cido al castellano, y dedicado al sabio Clero de España: 2 tomos en 4.° = Enfermedades venéreas del Dr. Juan Federico Fritze, y traducidas al castellano por D. Antonio iavedan: un tomo en 4.0, á 14 rs. en pergamino y 16 en pasta. Se hallarán en la librería de Gómez , calle de las Carretas. Desengaño del</t>
  </si>
  <si>
    <t>Federico Graviaa</t>
  </si>
  <si>
    <t>la sesión actual, serian la regla de su gobierno. En ia audiencia del i.° de Enero, el Exciño. Sr. D. Federico Graviaa, Embaxador de España, presentó al Exemo. Sr. Marques de Tolosa, Consejero de Estado de S. M. Católica , á D. Antonio Fernandez Darán, su hijo, á D. Joaquín MontalboTavares, á D. X</t>
  </si>
  <si>
    <t>Federico Gravina</t>
  </si>
  <si>
    <t>y 6 navios de línea y una fragata Española, mandados por el Teniente General de la Armada Española D. Federico Gravina. Esta esquadra combinada marchó ei dia 10, llevando á su bordo 9© soldados Franceses á las órdenes del General Lauriston , y 2280 Españoles entre infantería, caballería y artiller</t>
  </si>
  <si>
    <t>se halla herido en la pierna izquierda y muy incomodado, por no poderlo hacer el Comandante general D. Federico Gravina á causa ae las heridas que recibid en ia misma acción. Todas tres cartas de V. S. respiran fortaleza de ánimo, constancia, valor y lealtad al Rey. S. M. queda enterado de lo suced</t>
  </si>
  <si>
    <t>os Cuerpos del Exército que guarnecían los buques de la esquadra. Comandante general. El Excmo. Sr. D. Federico Gravina, herido en el navio Príncipe. Segundo id. El Excmo. Sr. D. Ignacio María de Alava, herido en el Santa Ana. Xefes de Esquadra. D. Antonio de Escaño, Mayor General (*), herido en C4</t>
  </si>
  <si>
    <t>Federico Graviua</t>
  </si>
  <si>
    <t>ento de la Señora Condesa de Artois, prima-de S. M. El Comandante general de la esquadra del Océano D. Federico Graviua ha escrito desde Cádiz en 2 de este mes al Eterno. Sr. Príncipe de la Paz, Generalísimo de las armas de mar y tierra, el oficio siguiente: „Excmo. Sr.: Muy Señor mió: aunque en mi</t>
  </si>
  <si>
    <t>Federico Guillermo de Prusia, Príncipe</t>
  </si>
  <si>
    <t>Príncipe Federico Guillermo de Prusia</t>
  </si>
  <si>
    <t>Landgrave de Hesse-Darmstadt, nació el 26 de Octubre de 1751; se casó él 14 de Julio de 1769 con el Príncipe Federico Guillermo de Prusia, después Rey con el nombre de Federico Guillermo 11. Las virtudes de esta Reyna, su piedad, su dulzura y su bondad harán su memoria eterna en el corazón de los Prusianos. ALEMANIA</t>
  </si>
  <si>
    <t>Federico Moreti</t>
  </si>
  <si>
    <t>cedidos de los elementos generales de la música, dedicados á la Reyna nuestra Señora por el Cap,tan Don Federico Moreti, Alférez de Reales Guardias Walonas, Académico filarmónico de Bolonia, v de los Reales Conservatorios de Música de Ñapóles.. Esta obra (bien conocida en Europa, y que ya lleva 3 e</t>
  </si>
  <si>
    <t>Federico, Príncipe</t>
  </si>
  <si>
    <t>Príncipe Federico</t>
  </si>
  <si>
    <t>3 de la tarde, y llegó a Ettlingen á las 8 de la noche. El Elector de Badén , el Príncipe Luis, el Príncipe Federico , hijo de S. A. S. E. , y el Príncipe Electoral su nieto, se. hallaban en el mismo pueblo para cumplimentar al Emperador, á quien maV nifestáron su gratitud por la buena acogida q</t>
  </si>
  <si>
    <t>puente largo hasta palacio. Al apearse el Emperador fue recibido por el Rey, el Príncipe Rea! y el Príncipe Federico, y fue conducido á la habitación del difunto Rey Federico Guillermo ii: allí estaba reunida la familia Real y toda la Corte. S. M. la Rey na salió á recibirle á la primera puerta,</t>
  </si>
  <si>
    <t>Féiix Calvo, Juan</t>
  </si>
  <si>
    <t>Juan Féiix Calvo</t>
  </si>
  <si>
    <t>acante por ascenso de D. Josef Antonio de Priego á la Dignidad de Arcediano de Velez de la misma, á D. Juan Féiix Calvo, Racionero electo de la propia Catedral: para otra de la Metropolitana de</t>
  </si>
  <si>
    <t>Feliciano Paz y Pozo</t>
  </si>
  <si>
    <t>Josef Ventura Cabello, Canónigo de aquella Iglesia: para la Dignidad de Tesorero de la del Cuzco á D. Feliciano Paz y Pozo: para la Canongía que este dexa al Racionero D. Manuel de la Sota; y para esta Ración á Don</t>
  </si>
  <si>
    <t>Félix Vicente</t>
  </si>
  <si>
    <t>Regimientos Provinciales ha promovido S. M. á Capitanes de fusileros en los de Toro, Lorca y León á D. Félix Vicente, Capitán agregado al primero, y á los Tenientes de granaderos D. Pedro Marín ÍD. Josef María Melendez; á Subteniente de Bandera en el referido de eon á D. Antonio Ramón de Barrio</t>
  </si>
  <si>
    <t>Femando Ferandiere</t>
  </si>
  <si>
    <t>álogo entre maestro y discípulo sobre la parte más sublime de la Música, que es la composición, por D. Femando Ferandiere. Se hallarán en la librería de Barco, carrera de S. Gerónimo, y en la imprenta de Aznar, calle de las Huertas. La Vocación victoriosa: obra espiritual, en que se descubren los asa</t>
  </si>
  <si>
    <t>Femando, Príncipe</t>
  </si>
  <si>
    <t>Príncipe Femando</t>
  </si>
  <si>
    <t>dias después tuvieron que rendirse con.'25® hombres^ Quedaba -todavía un .cuerda de*2 5® hombres al Príncipe Femando, quien en vista de la entrega de U1 ma,se.re.tr tiraba hácia la Bohemia por la Pomeraríiá; pero el Príncipe Murat, qúeQba</t>
  </si>
  <si>
    <t>Fenaroli</t>
  </si>
  <si>
    <t>miller de Córps, Mr. Antonio Litta; de Caballerizo mayor, Mr. Carlos Caprara; y de Mayordomo mayor, Mr. Fenaroli.__ Todo el pueblo ha estado sumamente regocijado, y la iluminación ha sido muy vistosa» FRANCIA» París 18 de Mayo. El Diario oficial confirma el buen éxito de las armas Francesas</t>
  </si>
  <si>
    <t>Fer-r, Príncipe</t>
  </si>
  <si>
    <t>Príncipe Fer-r</t>
  </si>
  <si>
    <t>etersburgo con una comisión particular del Emperador de Austria; pero la noticia salió incierta. El Príncipe Fer-r diñando se halla aun en disponiéndose para marchar muy pronto á la capital de Rusia. El objeto de su comisión no tiene ningún fia político. Se reduce á hacer los contratos prelimi</t>
  </si>
  <si>
    <t>Ferdinando de Wurtemberg, Príncipe</t>
  </si>
  <si>
    <t>Príncipe Ferdinando de Wurtemberg</t>
  </si>
  <si>
    <t>, y úna Princesa de Rusia, hermana del Emperador. Nadie puede desempeñar mejor esta Comisión que el Príncipe Ferdinando de Wurtemberg, hermano de la Emperatriz madre de Rusia, y por consiguiente tio del Huir perador Alexandro y de la Princesa que se destina ai Archiduque Carlos. Se espera enViena, muy pronto, al</t>
  </si>
  <si>
    <t>Fergusson, General</t>
  </si>
  <si>
    <t>General Fergusson</t>
  </si>
  <si>
    <t>na gran cantidad de dinero. El Brigadier General Beresford se embarca en el Narciso, y el Brigadier General Fergusson en la Leda. El convoy de Cork se ha hecho á‘ la: vela el 31 de Agosto mandado por Sir Popham: compónese de dos navios de 64, de uno de 50, de dos fragatas, de 21 buques de la Compañ</t>
  </si>
  <si>
    <t>Ferina</t>
  </si>
  <si>
    <t>á Mr. Daguesseau, Ministro Plenipotenciario en Dinamarca; á Mr. Hedouville, General de División; á Mr. Ferina, id.; á Mr. Gouvion, Inspector general de la Gendarmería; á Mr, Dambarere, Inspector de Ingenieros; á Mr. DoulcetPontecoulant, Prefecto del Dyle; á Mr. Colchen, Prefecto del Mosel</t>
  </si>
  <si>
    <t>Ferino, General</t>
  </si>
  <si>
    <t>General Ferino</t>
  </si>
  <si>
    <t>s y Grandes Oficiales, el Príncipe Josef presentó á los dos nuevos Senadores Mr. de Semonville y al General Ferino, que prestaron el juramento acostumbrado en manos de S. M. I. • .Concluida esta ceremonia, el Secretario de Estado. Mr. Maret leyó el ménsage y el decreto siguientes: ,,El Princip</t>
  </si>
  <si>
    <t>Ferinoso, Miguel Antonio</t>
  </si>
  <si>
    <t>Miguel Antonio Ferinoso</t>
  </si>
  <si>
    <t>Id. id. Miguel Antonio LHijo de Antonio y de María Gómez,</t>
  </si>
  <si>
    <t>Fermín Albares</t>
  </si>
  <si>
    <t>nio Zainudio, D. Francisco de Lira, Don Josef Zarate y D. Manuel Nuñez; Subtenencia de granaderos á D. Fermín Albares; de fusileros á IX Dámaso Mesa, D. Marcelo Sanabria , Don Miguel Parra, D. Josef Mesa, D. Mariano Cosío, D. Pascual Zárate; y de bandera á D. Gregorio Olivera: la Tenencia Coronel</t>
  </si>
  <si>
    <t>Fermín Béjar</t>
  </si>
  <si>
    <t>o; Compañía de granaderos á D. Francisco Josef Gratnbel, y de fusileros á D. Pedro Abarca y Guerra, D. Fermín Béjar, D. Josef Hermosilla y Aguirre, D. Pedro Laureano del Prado, Don Jacinto Aréstegui, D. Tomas Miguel Salazar, D. Miguel Mariano Ramiro y D. Pedro Salcedo; Ayudantía á D. Calixto Ra</t>
  </si>
  <si>
    <t>Fermín de Arozena, Juan</t>
  </si>
  <si>
    <t>Juan Fermín de Arozena</t>
  </si>
  <si>
    <t>ante dicho Señor y escribanía. Por resultas de una testamentaría, en que ha entendido por comisión D. Juan Fermín de Arozena, Oficial de ía Administración de todas Rentas de la Provincia de Madrid, tiene en su poder certificaciones de Reyes de Armas, y otros documentos originales de la calidad de los ap</t>
  </si>
  <si>
    <t>Fermín de Fabiano, Martín</t>
  </si>
  <si>
    <t>Martín Fermín de Fabiano</t>
  </si>
  <si>
    <t>on la política, traducidos del griego de Nicocles, y anotados por el Abate Mably, y del francés por D. Martin Fermín de Fabiano, Presbítero, Doctor en sagrada Teología &amp;c.: un tomo en 8.°, á 1 o rs. en pasta. Se hallarán en la librería de Burguillos, frente al cementerio de S. Sebastian. Compendio de la Hi</t>
  </si>
  <si>
    <t>Fermín de March</t>
  </si>
  <si>
    <t>les.. . ; . En el Regimiento de Dragones del Rey se ha servido; S. M. conceder empleo de Alférez, á D. Fermín de March, Cadete del de Cazadores voluntarios de España t en el de Almansa Ayudantía al Teniente D. Andrés Llauder ,y¡ emplea de Alférez ai Sargento primero D. Vicente Aznar. -El Rey se ha</t>
  </si>
  <si>
    <t>Fermín de Meneos</t>
  </si>
  <si>
    <t>el de cazadores de Pavía y húsares Españoles al Cadete del Regimiento de Reales Guardias Españolas D. Fermín de Meneos, y al Sargento primero D. Cárlos Carpani. En América. El Rey se ha servido nombrar para una plaza de Oidor de la Audiencia de México, vacante por promoción de D. Cosme dé Mier á l</t>
  </si>
  <si>
    <t>Fermín Gutiérrez</t>
  </si>
  <si>
    <t>Oviedo, de 23 años. Escultura, á D. Manuel de Agreda, natural de Haro, de 33 años. Arquitectura, á D. Fermín Gutiérrez, natural de Madrid, de 25 años. Premios segundos. Medallas de oro de 2 onzas. Pintura, á D. Josef de Odriozola‘, natural de Cesíona, de 20 años. Escultura; á D. Rafael Plañiol, na</t>
  </si>
  <si>
    <t>Fermín Nebot</t>
  </si>
  <si>
    <t>nuel de Velasco. En el acto de la adjudicación de los premios cediéron la parte pecuniaria de ellos D. Fermín Nebot, Doña María de la Concepción Dolz, Doña Juana Ximenez del Rio y Doña María Berard y Mallen, lo que se adjudicó á otros beneméritos, á quienes no alcanzaron los demas premios. Cont</t>
  </si>
  <si>
    <t>Fermin Vidondo</t>
  </si>
  <si>
    <t>eguez, en Barcelona y Algectras en los despachos de sus respectivos Diarios,'y en Málaga en casa de D. Fermin Vidondo. El tomo i.° y i.°, que en breve estará venal, se venden á 20 rs. cada uno. EN LA IMPRENTA REAL.</t>
  </si>
  <si>
    <t>Fermín ViJondo</t>
  </si>
  <si>
    <t>era de San Gerónimo: Cádiz,-en la de Pajares: Sevilla, en la de Hidalgo y Sob-ino: Málaga, en la de Don Fermín ViJondo : Murcia, en la de Angel Oiéguez : Valencia, en la de Mal)en : Zaragoza , en la de Polo y ¡Vionge : Algeciras y Barcelona, en casa de los Editores de sus respectivos Diarios : Pam</t>
  </si>
  <si>
    <t>Fermín, Manuel</t>
  </si>
  <si>
    <t>Manuel Fermín</t>
  </si>
  <si>
    <t>ente al Subteniente de granaderos D. Joaquín Carballo; á Subteniente, de granaderos aí de fusileros D. Manuel Fermín: García; á Subteniente dé Compañía al de bandera D. Josef María Bayot, y á Subteniente de bandera al Cadete D. Juan Josef Sánchez. * ,; ' * En el Batallón de infantería fixo de Pa</t>
  </si>
  <si>
    <t>Fernández Alonso, Manuel</t>
  </si>
  <si>
    <t>Manuel Fernández Alonso</t>
  </si>
  <si>
    <t>D. Leonardo Sánchez, D. Miguel Arroyo Ríos y.D. Francisco Carrillo ; á Alféreces á los Portaguiones D. Manuel Fernandez Alonso, D. Mariano de Otero y D. Pedro de Otero; y á Portaguiones á D. Antonio de Velasco y Pérea Galvez, D. Andrés de Obregoa y D. Juan ele Pesquera, vecinos de la de-* marcación dei Re</t>
  </si>
  <si>
    <t>Fernández Darán, Antonio</t>
  </si>
  <si>
    <t>Antonio Fernández Darán</t>
  </si>
  <si>
    <t>ador de España, presentó al Exemo. Sr. Marques de Tolosa, Consejero de Estado de S. M. Católica , á D. Antonio Fernandez Darán, su hijo, á D. Joaquín MontalboTavares, á D. Xavier Montalbo Tavares, Caballeros de la Orden de Malta, y al Caballero Vives Echeverría, Tejiente Coronel al servicio de S. M. Catól</t>
  </si>
  <si>
    <t>Fernández de Bulnes, Santiago</t>
  </si>
  <si>
    <t>Santiago Fernández de Bulnes</t>
  </si>
  <si>
    <t>tin Yuste: para una Ración de la Catedral de Sigiienza, por fallecimiento de D. Julián Barbajosa, á D. Santiago Fernandez de Bulnes, Medio-Racionero de ella : para otra de la de Santander p por muerte de D. Manuel de la Peña, á D. Gabriel de la Fuente, Capellán de numero de la misma; y para el Beneficio de San</t>
  </si>
  <si>
    <t>1803, á D. Santiago Luis Caxide: para una Media Ración de la de Sigüenza, vacante por premoción de D. Santiago Fernandez de Bulnes á Ración entera de la misma, á I&gt;. Juan Ruiz Moreno, Vicario de la Parroquia de Sodra de Cardos en aquella Diócesis: para una Canongía de la Colegial de Antequera en el Obispado d</t>
  </si>
  <si>
    <t>Fernández de Campomanes, Domingo</t>
  </si>
  <si>
    <t>Domingo Fernández de Campomanes</t>
  </si>
  <si>
    <t>Rey nuestro Señor, lo hice escribir por su mandado.=D. Miguel de Mendinueta. = D. Manuel dei Pozo.=:D. Domingo Fernandez de Campomanes.= D. Josef Navarro. = D. Antonio Ignacio de Cortavasría. = Registrada, D- Josef Alegre. =: Teniente de Canciller mayor, D. Josef Alegre. = Es copia de su original, de que certific</t>
  </si>
  <si>
    <t>Fernández de Córdoba y Pimentel, Manuel Antonio</t>
  </si>
  <si>
    <t>Manuel Antonio Fernández de Córdoba y Pimentel</t>
  </si>
  <si>
    <t>del año. El dia 26 de Setiembre falleció á los 41 años, 3 meses y 13 dias de su edad el Excmó. Sr¡. D. Manuel Antonio Fernandez de Córdoba y Pimentel, Marques de Malpica, Caballero Gran Cruz de la Real y distinguida Orden Española de CárloS iii, de la militar de Santiago, y Comendador de Quintana con frutos en la de Alcántara;</t>
  </si>
  <si>
    <t>Fernández de Ibeas, Antonio</t>
  </si>
  <si>
    <t>Antonio Fernández de Ibeas</t>
  </si>
  <si>
    <t>e que falta cprno 15 ó 16 años;. Si algpna persona supiere de .ella, vi-* va o muerta, lo avisará á D. Antonio Fernandez de Ibeas, pro-Cura Beneficiado en el lugar de Urones, Arzobispado de Búrgos. ' ' J Los subscriptores á las obras del célebre Español Miguel de Cervantes, en 8 ° con estampas, recogerán de</t>
  </si>
  <si>
    <t>Fernández de la Fuente, Juan</t>
  </si>
  <si>
    <t>Juan Fernández de la Fuente</t>
  </si>
  <si>
    <t>, á D. Ignacio Brochero; y para el de Cardeñosá, en la propia Diócesi, vacante por fallecimiento de D. Juan Fernandez de la Fuente, á D. Agustín Iglesias y Cervantes, Capellán curado del lugar de Nava-Éscurial. El Rey se ha servido nombrar para la Dignidad de Arcediano titular de la Catedral de Teruel, en lug</t>
  </si>
  <si>
    <t>Fernández de la Peña, Francisco</t>
  </si>
  <si>
    <t>Francisco Fernández de la Peña</t>
  </si>
  <si>
    <t>IOOO , _ ; En Badajoz......... D. Francisco Fernandez de la Peña y de $. Miguel. ' . En Barcelona.....D. Ramón Llordeíla é‘ hijo. 1 En Búrgós........... D. Andrés Fravle. ; . . ' ; ■*' ‘ 'En Cádiz.........1... D. Benito de la Piedra. J * 3 - • EnCar</t>
  </si>
  <si>
    <t>Fernández de Llamas, Gregorio</t>
  </si>
  <si>
    <t>Gregorio Fernández de Llamas</t>
  </si>
  <si>
    <t>dino Toledo, y á los Sargentos primeros D. Faustino Valdés, D. Mariano Gamboa, D-. Felipe Borbolla, D. Gregorio Fernandez de Llamas, D. Josef Marcos Calderón y D. Melchor Mogollon; y de bandera ai Sargento primero D. Juan Armendariz, y al Cadete D. Pedro de Paz: en el de dragones de Milicias de Lima Tenencia d</t>
  </si>
  <si>
    <t>Fernández de Luna, Vicente</t>
  </si>
  <si>
    <t>Vicente Fernández de Luna</t>
  </si>
  <si>
    <t>naderos D. Josef Barre- : ra; y en el de la Reyna Subtenencia de bandera al Cadete del de Cantabria D. Vicente Fernandez de Luna. - S. M. se ha dignado conceder Tenencia eu-.e1 Regimiento de infante</t>
  </si>
  <si>
    <t>Fernández de Padilla, Fernando</t>
  </si>
  <si>
    <t>Fernando Fernández de Padilla</t>
  </si>
  <si>
    <t>e numero y coro de la Metropolitana de Granada, vacante por fallecimiento de D. Francisco Roldan, á D Fernando Fernandez de Padilla: para el Beneficio simple servidero de Santa Olalla, en el Arzobispado de Toledo, vacante por promoción de D. Diego Martin Romo á una Capellanía de Reyes Nuevos de aquella ciudad,</t>
  </si>
  <si>
    <t>Fernández de Ribera, Carlos Máximo</t>
  </si>
  <si>
    <t>Carlos Máximo Fernández de Ribera</t>
  </si>
  <si>
    <t>35 y 36, donde dice, letras ó pagarés con su sola fianza3 léase letras 6pagares con su sola firma. D. Carlos Máximo Fernandez de Ribera, vecino de e¡&gt;ta Corte, remitió por el correo ci d:a 29 de Mayo próximo pasado un vaie de 300 pesos, creación de Mayo, num. 447,872 , á D. Roque Jacinto Martínez Ebtevez, Abogado</t>
  </si>
  <si>
    <t>Fernández del Bosque, Agustín</t>
  </si>
  <si>
    <t>Agustín Fernández del Bosque</t>
  </si>
  <si>
    <t>lcedo , ambos en Ja de Oviedo.-vacantes por no haber acudido á sacar el Real título de presentación D. Agustín Fernandez del Bosque ,-á quien nombró para ellos por decreto.de 1.5 de Julio, del año próximo pagado, á D. Jósef Estelrich, Sacristán primero deja' Real Capilla , con dimisión del Préstamo titulado dé</t>
  </si>
  <si>
    <t>Fernández del Castillo y Ana Gerónima de Arellano, Nicolás</t>
  </si>
  <si>
    <t>Nicolás Fernández del Castillo y Ana Gerónima de Arellano</t>
  </si>
  <si>
    <t>&gt; en renta. Otras diferentes casas,, sitas en dicha ciudad de Cádiz, pertenecientes al patronato de D. Nicolás Fernandez del Castillo y Doña Ana Gerónima de Arellano, tasadas en esta forma: una casa de4cuerpos,en 360,371* rs. en Venta y de 10 á 1 2© en renta:otra de 3 cuerpos en 359,123 rs. en venta y en renta de 8 á 9$: otra de 2 cuerpos,¿n 1</t>
  </si>
  <si>
    <t>Fernández del Pifio, Francisco</t>
  </si>
  <si>
    <t>Francisco Fernández del Pifio</t>
  </si>
  <si>
    <t>omocion de D. Luis María Guerrero átQtra de Alcalde de,1 Gr/men, de la Chancillería de Granada , á, D. Francisco Fernandez del Pifio,, Alcalde del Crimen de la Audiencia de Galicia.:, ’ •/. ; Condescendiendo ,con la suplica hecha á.S. M. por D. Gabriel Constantin, Alcalde del Crimen de la Chancillería de Granad</t>
  </si>
  <si>
    <t>Fernández del Pino, Francisco</t>
  </si>
  <si>
    <t>Francisco Fernández del Pino</t>
  </si>
  <si>
    <t>nombrar para la plaza de Alcalde del Crimen de la Audiencia de Galicia , vacante por traslación de D. Francisco Fernandez del Pino á otra de Alcalde de la Quadra de la de Sevilla, á D. Josef Aragó y Fita; y para la Vara de Alcalde mayor de la ciudad de Almuñecar y villa de Salobreña á D. Vicente Maté. £i Mari</t>
  </si>
  <si>
    <t>Fernández del Valle, Juan</t>
  </si>
  <si>
    <t>Juan Fernández del Valle</t>
  </si>
  <si>
    <t>rs. en pasta. Se venden las 3 én la librería de Escribano, calle de las Carretas. Son originales de D. Juan Fernández del Valle, ex-pr?mer Ayudante de anatomía, y Cirujano de número de los Reales hospitales General y de la Pasión. Quaderno, ampliación á la nota de la página 25 del plan del nuevo Colegio Mé</t>
  </si>
  <si>
    <t>Fernández Izquierdo, Antonio</t>
  </si>
  <si>
    <t>Antonio Fernández Izquierdo</t>
  </si>
  <si>
    <t>l Sr. O. Torquato Antonio Collado , Teniente Corregidor de esta villa, y escribanía &lt;iel níiméTO de D. Antonio Fernandez Izquierdo , se han.sacado á pública subasta, por término de 30 dias, tres casas sitas en esta Corte, las dos unidas en la calle del Arenal, nums. 2 y 3 , manz. 391 , las quales tienen de si</t>
  </si>
  <si>
    <t>Fernández Melgar, Julián</t>
  </si>
  <si>
    <t>Julián Fernández Melgar</t>
  </si>
  <si>
    <t>de la villa de Mombeltran, Obispado de Avila, vacante por fallecimiento de D. Bartolomé Ramírez , á D. Julián Fernandez Melgar, Cura Párroco de la villa de Arenal en aquella Diócesi. En la relación de individuos dé las brigadas de desterrados fallecidos en Ja plaza de Ceuta, que se insertó en la Gazera an</t>
  </si>
  <si>
    <t>Fernández Navarrete, Benito</t>
  </si>
  <si>
    <t>Benito Fernández Navarrete</t>
  </si>
  <si>
    <t>Americana: para una Ración de la Catedral de Santo Domingo de la Calzada, vacante por promoción de D. Benito Fernandez Navarrete á Canongía de la Metropolitana de Zaragoza, á D. Eugenio Ramón de Viguri, Tesorero reformado de la Aduana deOrduña: para una Canongía de la Colegial de Soria, Diócesis de Osma, va</t>
  </si>
  <si>
    <t>Fernández Vil-r, Juan</t>
  </si>
  <si>
    <t>Juan Fernández Vil-r</t>
  </si>
  <si>
    <t>promover, en el Batallón de infantería, fiyo, de Guatemala á Capitán de granaderos al de fusileros; D. Juan Fernandez Vil-r ¿hez; á Capitanes de fusileros al Ayudante D. Miguel Sánchez Pareja,vy aí Tenie¿ite de granaderos D. Jacinto Cplomer; á Ayudante y Teniente .de, granaderos á los de fusileros D. J</t>
  </si>
  <si>
    <t>Fernández, Antonio</t>
  </si>
  <si>
    <t>Antonio Fernández</t>
  </si>
  <si>
    <t>ntonio Collado, del Consejo de S. M., Teniente Corregidor de esta villa, y escribanía del número de D. Antonio Fernandez, se ha sacado á subasta, por término de 30 dias, una casa sita en esta Corte es la calle de la Luna, núm. 15 , matiz. 461, valuada en 200&amp; rs. Quien quisiere hacer postura, acuda</t>
  </si>
  <si>
    <t>o 309^ pies, tasada en 34,877 rs. Quien quisiere hacer postura, acuda á la escribanía del número de D. Antonio Fernandez. Por auto del citado Sr. Teniente se han mandado sacar á pública subasta, por término de 30 dias contados desde el 12 de este mes, dos oficios de Receptor de los Reales Consejos,</t>
  </si>
  <si>
    <t>calle de las Carretas., Reflexiones sobre las' calenturas remitentes é intermitentes, escritas por D. Antonio Fernandez, Cirujano de Familia y pensionado de mérito por S. M. Esta obra: se ha hecho de orden del Emo. Sr. Cardenal ArZdbispo de Toledo, cón ocasión de querer saber los Párrocos de su Arz</t>
  </si>
  <si>
    <t>Fernández, Benito</t>
  </si>
  <si>
    <t>Benito Fernández</t>
  </si>
  <si>
    <t>id: id. Benito Fernandez. Hijo de Francisco y de María Antonia</t>
  </si>
  <si>
    <t>Fernández, Dionisio</t>
  </si>
  <si>
    <t>Dionisio Fernández</t>
  </si>
  <si>
    <t>Id. Ayud. Dionisio Fernán- -Hijo de Rosendo y de Escolástica Nie­</t>
  </si>
  <si>
    <t>Fernández, Francisco</t>
  </si>
  <si>
    <t>Francisco Fernández</t>
  </si>
  <si>
    <t>,..... D. Juan Casou y compañía. En Avila:............ D. Josef Pigneras Gómez. En Badajoz......... D. Francisco Fernandez de. la Peña y de S. Miguel. , ’ En B'arcelona....... D. Ramón Llordella é hijo. i En Burgos i*,.w.... D. Andrés Fray le. r En Cádiz.............. D. Benito de la Piedra. En Cartagena</t>
  </si>
  <si>
    <t>Fernández, Juan</t>
  </si>
  <si>
    <t>Juan Fernández</t>
  </si>
  <si>
    <t>Juan Portal, y los Cadetes D. Martin Folch y D. Luis Antonio de Grandi-pré ; y el Sargento primero D. Juan Fernandez ; y á Subtenientes de bandera íos Cadetes D. Pedro Kerñion, D. Henrique de Graiid-pré, D. Alexo Lessacier yD. Carlos de. Villers, y los Sargentos primeros. D. Diego Barredo, de gr</t>
  </si>
  <si>
    <t>Fernández, Julián</t>
  </si>
  <si>
    <t>Julián Fernández</t>
  </si>
  <si>
    <t>i.° Cabo id. Julián Fernandez.. Hijo de Agustín y de Josefa Senra , na­</t>
  </si>
  <si>
    <t>Fernández, Manuel</t>
  </si>
  <si>
    <t>Manuel Fernández</t>
  </si>
  <si>
    <t>és de Velasco, D. Francisco Barraycua, D. Alonso Alvarado y D. Sebastian Gorvea; los Gefes de trozo D. Manuel Fernandez, D. Josef Fernandez y D. Josef Martínez; y los Seminaristas D. Manuel Abbad, el Cadete de Reales Guardias Walonas D. Josef de Castro, D. Eugenio de Zuloaga y D. Félix Gilman, Cade</t>
  </si>
  <si>
    <t>ido nombrar para la Canongía que en la Sta. Iglesia de Plaséncia ha resultado vacante por muerte de D. Manuel Fernandez, 4 D. Gaspar de Alió» Capellán de la BLeal Compañía de Guardias Alabarde^ ros, en consideración á sus servicios, y conforme al Reglamento de 30 de Enero del año próximo pasado. S.</t>
  </si>
  <si>
    <t>bstáculos é inútiles esfuerzos para destruirla. Ganaron, también .este premio D. Alonso Alvarado, y D. Manuel Fernandez,</t>
  </si>
  <si>
    <t>id. id. Manuel Fernandez. Hijo de Juan y de María González, na­</t>
  </si>
  <si>
    <t>ros D. Joaquín Fontan; y Subtenencias de bandera en el de Granada al Sargento primero de granaderos Don Manuel Fernandez en el de Extremadura al Cadete del Fixo de Ceuta Don Francisco de Paula Tablada; y en el de Voluntarios de Estado á los Cadetes D; Juan Luq y Tarifa y D. Julián Losada. El Rey se ha</t>
  </si>
  <si>
    <t>Fernández, Pedro</t>
  </si>
  <si>
    <t>Pedro Fernández</t>
  </si>
  <si>
    <t>ónigos á quarenta, inéditas. = II. Donación de las primicias hechas á la Iglesia Se sobó cense, por D. Pedro Fernandez, tercer Señor de Albarrguin, inédita.= III. Constitución del Arzobispo de Toledo D. Rodrigo, hecha en el año 1 23 2 * sobre la división de los diezmos entre el Obispo y e! Capítul</t>
  </si>
  <si>
    <t>tiempo el despejo y notables adelantamientos de algunos jóvenes, y señaladamente de D. Juan Merlo, D. Pedro Fernandez y D. Lorenzo Mañana. En cumplimiento de las Reales Cédulas de S. M. de 15 de Julio y 29 de Noviembre de 1797, se recibirán en la Tesorería mayor y en las de Exército desde i.° de Juni</t>
  </si>
  <si>
    <t>Fernández, Pedro Antonio</t>
  </si>
  <si>
    <t>Pedro Antonio Fernández</t>
  </si>
  <si>
    <t>smos subscriptores los portes. Repaso de doctrina moral, en verso castellano, segunda parte, por el Dr. Don Pedro Antonio Fernandez, Rector de Santiago de Albarrapiñ. Se vende la obra en rústica, á 20 rs. el juego, en la iibíéríá descostillo, frénte'á las gradas dé S. Felipe;, en Cuéúíca en la de Mariana, en Z</t>
  </si>
  <si>
    <t>Fernández, Pedro Benito</t>
  </si>
  <si>
    <t>Pedro Benito Fernández</t>
  </si>
  <si>
    <t>ha servido conferir el empleo de Guarda-Almacén extraordinario de Artillería de la plaza de Jaca á D. Pedro Benito Fernandez. El Capitán de Navio D. Hermenegildo Barreda, Comandante militar de Marina de la Provincia de Gijon, ha dado cuenta de que en la tarde del dia 19 de Mayo se presentaron á la vista</t>
  </si>
  <si>
    <t>Fernando, Archiduque</t>
  </si>
  <si>
    <t>Archiduque Fernando</t>
  </si>
  <si>
    <t>do, en este carnaval, 20 kreutzers y uñá ración de vino á cada soldado del Regimiento de infantería Archiduque Fernando. El Conde Ledu^ kowsky ha hecho mas, porque ha enviado al quartel de inválidos 10® florines (unos 5® duros). La Baronesa de Scio ha dado tres bayles en Viena, y su producto se ha</t>
  </si>
  <si>
    <t>tá disponiéndose el palacio del Príncipe Guillermo para alojamiento del Emperador de Alemania y del Archiduque Fernando. El Archiduque Carlos salid de Viena el 15 del corriente para Italia;y durante su ausencia queda encargado del despacho de la Guerra el Feld-Mariscal Conde Josef de Colloredo, Min</t>
  </si>
  <si>
    <t>ánimo de echarse sobre Biberach, y poder cortar la única retirada que quedaba al Archiduque Fernando. Por otro lado el día n hizo el enemigo una salida del lado de Ulma, y embistió á la división Dupont, que ocupaba el puesto de Albeck. El combate fue muy reñido. Rodeados por 25©</t>
  </si>
  <si>
    <t>rse: á cuyo efecto envió un Oficial del Estado mayor al quartel general del exército Imperial.__ El Archiduque Fernando, que en este intervalo había tomado el mando, respondió que el Comisario había excedido sus instrucciones, y al mismo tiempo como que dudaba de que la queja fuese fundada, se rese</t>
  </si>
  <si>
    <t>Num. 96. io»5' Vi DE£ VJERNES 29 DE NOVIEMBRE DE i8of. ALEMANIA. 20 de Octubre. lil Archiduque Fernando, Comandante en gefedel exército imperial, ha dado tos partes siguientesel .7 del corriente füé destacado de Gunzburgo á Wertingen el Barón de Auffemberg con 6&gt; batallones* de-gran</t>
  </si>
  <si>
    <t>d ,y Mr. dé 'Lowéahoeim,4 Teniente General al servicio de S. M. el Rey de Suecia. Se asegura que'el Archiduque Fernando, teniendo por muy arriesgada la resolución tomada por el General Maok de encerrarse en Ulirna, salid *éé aquella plaza con tanta precipitación , que olvido llevar consigo una caxi</t>
  </si>
  <si>
    <t>prisioneros, como se ha dicho. De Nuremberga avisan j el 23 de Octubre, que quando pasó por allí el Archiduque Fernando; para ir á Egray en Bohemia, iba acompañado en su marcha de dos divisiones5 de tropas Prusianas. - / Lue£o que entraron las tropas Prusianas en Hannóver , y se restableció el anti</t>
  </si>
  <si>
    <t>y al General Weyrotter le ha nombrado Quartel-Maestre general cerca del exército Ruso.—S. A. R. el Archiduque Fernando salid de Praga el 17 del corriente., y se encaminó hacia la parte meridional de la Bóhemia.__ El Conde de Haugwitz salid el 20 para la Moravia. ALEMANIA. ., Augsburgo 26 de Noviem</t>
  </si>
  <si>
    <t>de lagar. : El General Wreden, que manda los Bávaros, ha tenido en Bohemia varios encuentros con el Archiduque Fernando, y le ha tomado algunos centenares de prisioneros. El Príncipe de Roham, al frente dé ó® hombres que estaban cortados por el Mariscal Ney y por el Mariscal Augereau, se fue por Tr</t>
  </si>
  <si>
    <t>Fernando, Príncipe</t>
  </si>
  <si>
    <t>Príncipe Fernando</t>
  </si>
  <si>
    <t>PRUSIA. Berlín ij de Abril. El Doctor y Consejero privado Érown ha vacunado, de orden de S. M., al Príncipe Fernando, que nació en 13 de Diciembre del año próximo pasado. La operación ha tenido las mas favorables conseqiiencias.—La obra del Doctor Faust, titulada Aviso d la humanidad para la ext</t>
  </si>
  <si>
    <t>con las Rusas, según se habrá concertado ya entre S. M. el Rey de Suecia y el Ministro de Rusia. El Príncipe Fernando, único de los hermanos que todavía viven de Federico el Grande, celebrará el 27 del mes próximo el aniversario de su matrimonio con la Princesa Luisa, Margrave de Brandemburgo-Sch</t>
  </si>
  <si>
    <t>Ultn y en Memmingen, donde se hallaba á la salida del correo. £1 cuerpo principal del exército del Príncipe Fernando ha de ir á la parte de Suabia situada entre los ríos IlleryLech; el quarrel general se pondrá en Mindelfieim 6 en Gunzburgo. Altana ej de Setiembre. El 23 de Agosto saliéron de Pe</t>
  </si>
  <si>
    <t>rdinario y Ministro de S. A. S. E. cerca de las Cortes de Viena y de Saltzburgo, y S. A. I. y R. el Príncipe Fernando y el General Mack: 6.° las resultas de las negociaciones continuadas en Wurtzburgo por el Barón de Buol-Schauenstein, Ministro de Austria, con el Ministro Electoral, en lasquales el p</t>
  </si>
  <si>
    <t>rgo. El enemigo quiso oponerse á esta marcha, y en todas partes ha quedado escarmentado, En vano el Príncipe Fernando acudió en persona á defender á Giinzburgo: el General" Malher mandó acometerle al Regimiento 59; y la pelea se trabó con tesón y cuerpo á cuerpo. El Coronel Lacuée murió al frente</t>
  </si>
  <si>
    <t>nes del enemigo. Llegó allí él dia 9 á las 4 de lá tarde, y encontró el Regimiento de coraceros del Príncipe Fernando , que con 6 piezas de artillería iba áUlma á marchas forzadas. El Mariscal Soult destacó á embestirle el Regimiento 26 de cazadores que lo executó con tai ardor que los coraceros</t>
  </si>
  <si>
    <t>Munich el dia 12 á las 6 de la mañana, ha tomado 800 prisioneros, y va al alcance del enemigo. Ftl Príncipe Fernando se hallaba en Munich, y parece que había abandonado su exército del Iller. Jamas se decidirán mas sucesos en ménos tiempo. Antes de tí días la suerte de la campaña y de los exérci</t>
  </si>
  <si>
    <t>Bohemia, sino que irán en derechura ai Austria, y de aquí á Bavíera, para reforzar el exército del Príncipe Fernando , si es que pueden conseguirlo. GR A N BRETAÑA. Londres de Octubre. Parece ahora cierto que la expedición de que tanto han hablado los papeles públicos, no era mas que una estrata</t>
  </si>
  <si>
    <t>o está con el barro hasta las rodillas. Hace 8 dias que el Emperador no se ha quitado las botas. El Príncipe Fernando se había ido por la noche á Biberach, dexanio 12 batallones en la ciudad y alturas de Ulma, los quales han quedado todos prisioneros con gran número de cañones. El Mariscal Soult</t>
  </si>
  <si>
    <t>Regimientos de infanteiría y 1 $ de caballerías . • r. • El Emperador había puesto el exército del Príncipe Fernando en la misma situación en que puso al de Melas. Después de vacilar largo tiempo, Melas tomó ía noble resolución de pasar por el exército Francés, lo que dió motivó á fa batalla de Ma</t>
  </si>
  <si>
    <t>, un Oficial General y-u® hombres quedaron de nuevo en nuestro poder en el combate'de Neresheim. El Príncipe Fernando y 7 de sus Generales no tuvieron mas tiempo que el preciso para montar á caballo. Se ha encontrado en su mesa la comida. Hace 2 dias que no tienen ningún punto donde estar seguros;</t>
  </si>
  <si>
    <t>a no desmentirá la palabra de uno \de sus Principes. Habiéndole asegurado Mr.de Lichtenstein que el Príncipe Fernando no estaba en la plaza, dixo el Emperador: En ese caso yo no veo quien pueda asegurarme que los soldados no volverán á servir. Una brigada de 4® hombres ocupa una puerta de la ciud</t>
  </si>
  <si>
    <t>co, compuesto de 500carros,ha caído en nuestras manos. Se supone que todo el resto de la coluna del Príncipe Fernando debe á estas horas estar acometida, pues el Príncipe Murat caminaba sobre su derecha por Aalen, y el Mariscal Lannes sobre la izquierda, por Nordlingen. Se espera el resultado de est</t>
  </si>
  <si>
    <t>uado entre Munich y el Inn. ir. Que el Mariscal Lannes con las tropas de su mando va al alcance del Príncipe Fernando, y estaba ayer en Aalen. ni. Que el-Príncipe Murat con sus tropas estaba ayer en Nordiingen: que los Tenientes Generales Werneck, Baiílet, Hohenzollem, y otros 7 Generales han cap</t>
  </si>
  <si>
    <t>Augsburgo zo, de Octubre. Al mismo tiempo que el General Wernek capitulaba cerca de Nordlingéfl, el Príncipe Fernando, con un cuerpo de 1© caballos y una parte del párque, se puso en huida: desde luego se arrojó en los países Prusianos, y se dirigió por Gunzenhausen á Nuremberga. El Príncipe Mura</t>
  </si>
  <si>
    <t>idb® florines, pesaron' adelante srn, tocarlo, y prosiguieron marchando al alcance def enemigo. El Príncipe Fernando se ha hallado eft el último combate f y se salvó eft el caballo de un Teniente de caballería. La ciudad dé Nírremberg ha' sido testigo de la bizarría de ios Franceses. Muchos dese</t>
  </si>
  <si>
    <t>esde que se esparció aquí la noticia del vencimiento del exército Austríaco, toma de Ulma, fuga del Príncipe Fernando, y marcha victoriosa de los Franceses, nós heñios llenado de sobresalto , el qual se aumenta con la reflexión de que es inevitable la retirada dei Archiduque Carlos,= En las últim</t>
  </si>
  <si>
    <t>ella posición se viese cercada por la Franconia.... El último descalabro del cuerpo de exército del Príncipe Fernando ha sido en el combate de Rothenberg, en las fronteras del Palatinado-Alto, donde el General Francés Klein le ha cogido el resto de su artillería. Los Generales que han llegado á E</t>
  </si>
  <si>
    <t>Ferrandiz, Carlos</t>
  </si>
  <si>
    <t>Carlos Ferrandiz</t>
  </si>
  <si>
    <t>S. M. promover á Subteniente de bandera det primer Batallón de Voluntarios de Barcelona* al Cadete D. Carlos Ferrandiz. En el Regimiento de infantería de Granada se ha servido el Rey conceder Tenencia al Subteniente de granaderos D. Julián Anguita; y Subtenencia de bandera ¡al Cadete D. Ignacio Al</t>
  </si>
  <si>
    <t>Ferrandiz, Joaquín</t>
  </si>
  <si>
    <t>Joaquín Ferrandiz</t>
  </si>
  <si>
    <t>de Moría. S. M. se ha servido conferir el empleo de Mari$fal de Campo de sus Exércitos al Brigadier D. Joaquín Ferrandiz. i . El Rey se ha servido conferir la Tenencia Coronela del Regimiento dé infantería del Príncipe á D. Josef María de Carvajal , Teniente Coronel de¿ de Voluntarios de la Corona;</t>
  </si>
  <si>
    <t>Ferrando, Manuel</t>
  </si>
  <si>
    <t>Manuel Ferrando</t>
  </si>
  <si>
    <t>los Gefes de trozo D. Pedro Tavira, D. Ramón de Zuloaga, D¿ Ramón Fernandez, D. josef Martínez , y, D. Manuel Ferrando ; y los Seminaristas Don J.osef de .Castro, Cadete de Reales. Guardias Walonas, D. Manuel Abbad, ;D. Juan de Zarate , D. Gerónimo Maza , D¿ Juan Maza , y D¡ Juan Lecumberri. El pr</t>
  </si>
  <si>
    <t>Ferrant, General</t>
  </si>
  <si>
    <t>General Ferrant</t>
  </si>
  <si>
    <t>e, 1500 en la Martinica , y el resto se envió á Sto» Domingo para reforzar los puestos que ocupa el General Ferrant. ——Se? han enviado tres navios y tres fragatas bien provistos á la Barbada para espe</t>
  </si>
  <si>
    <t>Ferrast, Juan</t>
  </si>
  <si>
    <t>Juan Ferrast</t>
  </si>
  <si>
    <t>apitanes, D- Antonio Baeza y D. Josef Quintana: en el de cazadores de la Rey na Tenencia al Alférez D. Juan Ferrast; y empleos de Alférez en el de cazadores de Pavía y húsares Españoles al Cadete del Regimiento de Reales Guardias Españolas D. Fermín de Meneos, y al Sargento primero D. Cárlos Ca</t>
  </si>
  <si>
    <t>Ferrer y May, Antonio</t>
  </si>
  <si>
    <t>Antonio Ferrer y May</t>
  </si>
  <si>
    <t>para una de las 6 Capellanías menores del Real palacio de la ciudad de Palma, Reyno de Mallorca, á D. Antonio Ferrer y May rata. S. M. se ha servido nombrar para la Vara de Alcalde mayor de la ciudad de Teruel á D. Tomas Canét: para la de la ciudad de Tortosa á Don Juan Pedro de Martino; y para la de</t>
  </si>
  <si>
    <t>Ferrer, Antonio</t>
  </si>
  <si>
    <t>Antonio Ferrer</t>
  </si>
  <si>
    <t>Peña Zorrilla y D. Isidro Diego: en el primero de Voluntarios de Cataluña á Teniente al Subteniente D. Antonio Ferrer; y á Subteniente de bandera en el de Voluntarios de Campcmaycr al Cadete D. Manuel Sara vía de Vera. El Rey se ha servido promover á Coronel del Regimiento de infantería fixo de C</t>
  </si>
  <si>
    <t>dem , , , , II: 12. Antonio Ferrer..........Josef. .... María, ,,,9,99 Cervera , , Idem , , , , 66. 12- Manuel Bonet.Luis. . . Manuela, , , , , , Espluga Tarra</t>
  </si>
  <si>
    <t>Ferrer, Juan</t>
  </si>
  <si>
    <t>Juan Ferrer</t>
  </si>
  <si>
    <t>dem , , , , 66. 12. Juan Ferrer...............Otro. María, ■5. 9 9 9 '9 Avino , 9 , Vich, 999 66. 14. San Sebastian á Io de Noviembre de 1804.= V.B. = FranciseQTerradellas.^j¡uan Fra</t>
  </si>
  <si>
    <t>Fesch, Cardenal</t>
  </si>
  <si>
    <t>Cardenal Fesch</t>
  </si>
  <si>
    <t>Firmado,Franpois (de Neufchateau), Presidente. S. M. I. ha nombrado para las plazas de Senadores al Cardenal Fesch, Arzobispo de León; ai Cardenal Cambaceres, Arzobispo de Rúan; al General Beurnonville, Embaxador cerca de S. M. Católica; á Mr. Semonville, Embaxador cerca del Gobierno Bátavo; á</t>
  </si>
  <si>
    <t>imismo que los últimos dias de la Semana Santa y las fiestas de Pascua los celebrará en Chalons. El Cardenal Fesch salió el 29 para recibir al Emperador en León, de donde pasará á Milán para asistir á la coronación.__ El dia anterior marchó á Milán Mr. de Ramusat, primer Gentilhombre de S. M.</t>
  </si>
  <si>
    <t>rística. Ayer asistieron SS. MM. á la misa mayor, que celebró, en la Catedral, nuestro Arzobispo ei Cardenal Fesch, y á que concurrió toda la Corte con magnificencia sin igual-----Por la noche aió la ciudad á SS. MM. una función magnífica en el teatro principal. El salón estaba adornado como e</t>
  </si>
  <si>
    <t>Fesqh, Cardenal</t>
  </si>
  <si>
    <t>Cardenal Fesqh</t>
  </si>
  <si>
    <t>Luneburgo, en clase de incógnito, y ha asistido á las maniobras de las tropas. ’ \; ^ . • ... _■ El Cardenal Fesqh, Embajador de S. M. el Emperador.de los.Franceses y Rey de Italia cerca de la Santa Sede, llegó á Roma ej i^de Junio. _. El Emperador de Rusia salió de Petersburgo el 15 .de Junio</t>
  </si>
  <si>
    <t>Ffancisí</t>
  </si>
  <si>
    <t>de fusileros, graduado de Teniente Coronel, D. Juan Aldrete; á Gapitaiíe's dé fusilerds-al Ayudante D. Ffancisí co Arosemena, y á tos: Tenientes D. Rafael Zorrilla, D. Manuel Yuste f D. Josef de Fabrega; á Ayudante y* Teniente de granaderos á los de fusU leros D. Nicolás Reinon y D. Baltasa</t>
  </si>
  <si>
    <t>Fidipe García</t>
  </si>
  <si>
    <t>al Procurador general de ella D. Vicente Lledó. Se desea saber del paradero de Fidipe García , natural del lugar de Setienes, Parroquia de Santiago de arriba, en-Asturias, pues hace muchos años está 'ausente de casa de su padre Ignacio García (\ya difunto), en la que le corresponde</t>
  </si>
  <si>
    <t>Figueras, Francisco</t>
  </si>
  <si>
    <t>Francisco Figueras</t>
  </si>
  <si>
    <t>2. Francisco Figueras.. . Manuel. . . Eulalia, , , , , , , Barcelona, , Idem , , , , II: 12. Antonio Ferrer..........Josef. .... María, ,,,9,99 Cervera , , Idem , , , , 66</t>
  </si>
  <si>
    <t>Fingal, Lord</t>
  </si>
  <si>
    <t>Lord Fingal</t>
  </si>
  <si>
    <t>medios de presentar ai Parlamento una petición sobre la emancipación de los Católicos. Presidió el Lord Fingal la junta, que se componía de casi todos los Católicos distinguidos, así por su nacimiento, como por su fortuna. Después de una larga é interesante discusión,se db*</t>
  </si>
  <si>
    <t>se ha confirmado la presa de los buques d¿ la India el Stirling-Castle y el Berambore. El ?mártes&gt;/&gt;Lord Fingal y los demas diputados de los Irlandeses Católicos:}} se ¿presentaron en el despacho de Mr. Pitt para entregarle su petic ion,de que'le suplicaron diese cuenta en la Cámara de los Comunes.</t>
  </si>
  <si>
    <t>Finsler</t>
  </si>
  <si>
    <t>an el año ultimo, ha sido nombrado General en gefe: Mr. Muller de Schwitz, Gefe del Estado mayor; y Mr. Finsler, Tesorero del exército. El quartel general se establecerá en Zurich, adonde debe ir Mr. de Watteville en toda esta semana----- Los contingentes de muchos Cantones estan á punto de</t>
  </si>
  <si>
    <t>Fitteau y de los Oficiales, Coronel</t>
  </si>
  <si>
    <t>Coronel Fitteau y de los Oficiales</t>
  </si>
  <si>
    <t>uages para transportar los efectos de los Oficiales. Hecha en presencia del General Sebastiani, del Coronel Fitteau y de los Oficiales superiores de la plaza. Memmingen á 14 de Octubre. = Firmado. = El General de división Saligny: el General Horacio Sebastiani ; Mr* Fitteau, Coronel del tercer Regimiento de drago</t>
  </si>
  <si>
    <t>Fitzgerald, Lord</t>
  </si>
  <si>
    <t>Lord Fitzgerald</t>
  </si>
  <si>
    <t>e la dirección que habla tomado la esquadra combinada ; pero loa pliegos que se recibieron ayer dei Lord Fitzgerald, nuestro Embaxador en Lisboa, nos sacan de la duda, á no ser que S. E. haya tenido la bondad de dexarse engañar. — ,,La esquadra combinada, dice Fitzgerald, que salió de Cádiz el</t>
  </si>
  <si>
    <t>Fiwatz, Nicolás</t>
  </si>
  <si>
    <t>Nicolás Fiwatz</t>
  </si>
  <si>
    <t>D. Félix Henrique Cristen; y en e.l de Reding Subtenencia de granaderos al Subteniente de fusileros D. Nicolás Fiwatz. En los Regimientos de; caballería de líne&lt;i se ha- servido el Re y promover á Teniente en el de la Reyna al Alférez D» Juan Galan: á Alféreces en el de España á los Portaestandar</t>
  </si>
  <si>
    <t>Fl'orez, Ignacio</t>
  </si>
  <si>
    <t>Ignacio Fl'orez</t>
  </si>
  <si>
    <t>Já ellos por un drscdrso alusivo al objeto, que leyó el Secretario. Fuéron examinados en Aritmética D. Ignacio Fl'orez , D. Genaro Chaple , D. Jósef María Bermudez,D[. Francisco Goel, D. Ildefonso Pozo; y D. Joaquín Verástegui ; en Geometría1 elemental D. Josef Demblans: en la elemental y práctica</t>
  </si>
  <si>
    <t>Flizalde, Bernardo</t>
  </si>
  <si>
    <t>Bernardo Flizalde</t>
  </si>
  <si>
    <t>os i*,.w.... D. Andrés Fray le. r En Cádiz.............. D. Benito de la Piedra. En Cartagena...... D. Bernardo Flizalde. En Ciudad-Re al.. D. Ramón Antonio Pico. En Córdoba..:....... Sres. Barcia padre é hijo. En'la Coruña....... T&gt;. Manuel Flzaurdi. ’ En Cuenca.Sres. viuda de EsCoIar y Noriegá é h</t>
  </si>
  <si>
    <t>Florian</t>
  </si>
  <si>
    <t>alle de las Carretas. Eíiezcr y Neftalí, poema en quatro cantos, traducido de las obras postumas de Mr. Florian. El nombre solo de este célebre escritor recomendará justamente qualquier obra suya; pero aun sin este motivo, la verdadera amistad y el amor fraternal que se pintarían naturalmen</t>
  </si>
  <si>
    <t>Folch, Esteban</t>
  </si>
  <si>
    <t>Esteban Folch</t>
  </si>
  <si>
    <t>Perez y Muro, D. Matias Cervera y D. Ffancisco Morejon ; á Subtenientes de Compañía los de oandera D. Esteban Folch, D. Carlos de Grand-pré, D. Juan Josef Bon , Don Antonio Balde ras, D, Arnaldo GuUlemard y D. Juan Portal, y los Cadetes D. Martin Folch y D. Luis Antonio de Grandi-pré ; y el Sar</t>
  </si>
  <si>
    <t>Folch, Martín</t>
  </si>
  <si>
    <t>Martín Folch</t>
  </si>
  <si>
    <t>ré, D. Juan Josef Bon , Don Antonio Balde ras, D, Arnaldo GuUlemard y D. Juan Portal, y los Cadetes D. Martin Folch y D. Luis Antonio de Grandi-pré ; y el Sargento primero D. Juan Fernandez ; y á Subtenientes de bandera íos Cadetes D. Pedro Kerñion, D. Henrique de Graiid-pré, D. Alexo Lessacier yD.</t>
  </si>
  <si>
    <t>Folgueras y Sion, Luis</t>
  </si>
  <si>
    <t>Luis Folgueras y Sion</t>
  </si>
  <si>
    <t>ara una Canongía de la Colegial de Briviesca, en el Arzobispado de Burgos, vacante por promoción de D. Luis Folgueras y Sion al Deanato de la Catedral de Orense, á D. Pedro Evaristo Gutiérrez,Teniente de la Real Iglesia Colegial de S. Ildefonso: para el Arciprestazgo de Sta. María de Brihuega, en el Arz</t>
  </si>
  <si>
    <t>Foncillas, Ignacio</t>
  </si>
  <si>
    <t>Ignacio Foncillas</t>
  </si>
  <si>
    <t>rid 16 de Febrero. S. M. se ha servido nombrar para la Canongía Magistral de la Catedral de Lérói á D. Ignacio Foncillas. S. M. se ha servido conceder Tenencias en los Regimientos de in-, fantería dé León y Ordenes Militares á los Subtenientes de granaderos D. Manuel Aysa y D. Josef del Campo;y Subt</t>
  </si>
  <si>
    <t>Fontaine</t>
  </si>
  <si>
    <t>perpetuo del Consejo gramatical es Mr. Domergue, individuo del Instituto nacional, y el Secretario Mr. Fontaine , profesor que fue de gramática general, y ahora lo es de lengua Francesa. ESPAÑA. •V* Madrid 22 de Febrero. El Rey se ha servido expedir el Real Decreto siguiente: ,,Por convenir</t>
  </si>
  <si>
    <t>Fontan, Joaquín</t>
  </si>
  <si>
    <t>Joaquín Fontan</t>
  </si>
  <si>
    <t>ervido conceder Tenencia en el Regimiento de infantería de la Princesa al Subteniente de granaderos D. Joaquín Fontan; y Subtenencias de bandera en el de Granada al Sargento primero de granaderos Don Manuel Fernandez en el de Extremadura al Cadete del Fixo de Ceuta Don Francisco de Paula Tablada;</t>
  </si>
  <si>
    <t>Fontana, Gregorio</t>
  </si>
  <si>
    <t>Gregorio Fontana</t>
  </si>
  <si>
    <t>as Carretas, á 4 rs. en rústica. ' Discurso sobre la mecánica animal, escrito en italiano por el P. D. Gregorio Fontana, profesor público de Matemática sublime de la Universidad de Pavía, y traducido ai castellano por D. Antonio Pezzoni. Obra muy útil para los profesores de Medicina. Se hallará en</t>
  </si>
  <si>
    <t>Fontanes</t>
  </si>
  <si>
    <t>9* pos, en respuesta al que hizo S. M. á la apertura del Cuerpo LegiHatito. Mr. Fontanes pronunció el discurso de gracias del Cuerpo Legislativo, de que es Presidente; y es en substancia el que sigue: ,,Señor: vuestros fieles vasallos , los miembros del Cuerpo Legisla</t>
  </si>
  <si>
    <t>Fontenéíle, Luis</t>
  </si>
  <si>
    <t>Luis Fontenéíle</t>
  </si>
  <si>
    <t>. Pintura, á D. Josef Altarriba, natural de Madrid, de 19 años. Escultura, afi. Luis Fontenéíle, natural de Roma, de 25 años. Premio^ d? emulación, á D. Manuel Sancho, natural de Madrid, de 10 años. . Arquitectura, á D. Agustín López, natural de Madrid, de íj áños. Gradado-de Jámmas.</t>
  </si>
  <si>
    <t>Forcadell, Manuel</t>
  </si>
  <si>
    <t>Manuel Forcadell</t>
  </si>
  <si>
    <t>66. 12» Manuel Forcadell.... Pablo.........Francisca Pallisé, , Ruidoms, ,, Tarragona,, 66. 12 » Josef Soler......... .. Otro...........Baldana, , ,</t>
  </si>
  <si>
    <t>Forcelíedo, Gabriel</t>
  </si>
  <si>
    <t>Gabriel Forcelíedo</t>
  </si>
  <si>
    <t>Id. id. Gabriel Forcelíedo. Hijo de Fernando y de Catalina Cuyan,</t>
  </si>
  <si>
    <t>Formigo, Simón</t>
  </si>
  <si>
    <t>Simón Formigo</t>
  </si>
  <si>
    <t>vacante en la Parroquia de S. Pedro de las Puellas de la ciudad de Barcelona, por fallecimiento de D. Simón Formigo, á' D. Domingo Garriga. El Rey se ha; servido conferir en el Regimiento de infantería de Navarra Compañía al Ayudante, graduado de Capitán, D. Josef de Osma: en el de América Tene</t>
  </si>
  <si>
    <t>Forncr, Juan Pablo</t>
  </si>
  <si>
    <t>Juan Pablo Forncr</t>
  </si>
  <si>
    <t>harlatanería de los eruditos, trasladadas de las que escribió en latín Juan Burchardo Menkenio, por D. Juan Pablo Forncr: un tomo en 8.°, á 5 rs. en pergamino y 7 en pasta. = Discurso sobre los mejores medios de excitar y fomentar el patriotismo en una Monarquía, á 3 rs. á la rústica.=Verdadera hist</t>
  </si>
  <si>
    <t>Forner, Juan Pablo</t>
  </si>
  <si>
    <t>Juan Pablo Forner</t>
  </si>
  <si>
    <t>Noticia de las aguas minerales de la fuente de Solan de Cabras, en ia sierra de Cuenca, escrita por D. Juan Pablo Forner, con la análisis y síntesis, que de orden del Gobierno hizo de ellas y de las del Rosal de la villa de Beteta el año prór xímo pasado D. Domingo García Fernandez: un tomo en 4/= F</t>
  </si>
  <si>
    <t>Forster</t>
  </si>
  <si>
    <t>spidió á sus convidados. PARLAMENTO IMPERIAL. Cámara, de los Comunes. ' En la Junta del 13 presentó Mr. Forster el budget de Irlanda.__ Las importaciones ascendieron, el año pasado, así como en los cinco anteriores, á 5.700© libras esterlinas. Las exportaciones de este año han sido de 4.980®</t>
  </si>
  <si>
    <t>Forteza, Tomás</t>
  </si>
  <si>
    <t>Tomás Forteza</t>
  </si>
  <si>
    <t>lma, Diócesi de Mallorca, y unido con otros 6, también vacantes en la misma Parroquia por muerte de D. Tomas Forteza, á D. Francisco de Paula Gomila: para un Beneficio de residencia, baxo la invocación de la Santi</t>
  </si>
  <si>
    <t>Fortuny y Rio, Luis</t>
  </si>
  <si>
    <t>Luis Fortuny y Rio</t>
  </si>
  <si>
    <t>tán segundo al'Teniente D. Juan Assin : Subtenencias de bandera en el segundo de Cataluña al Cadete D. Luis Fortuny y Rio; y en el de Gerona al de la propia clase D. Josef Mosquera: Tenencia en el primero de Barcelona al Subteniente D. Cosme López: la Sargentía mayor del de Barbastro al Capitán prime</t>
  </si>
  <si>
    <t>Fostcr</t>
  </si>
  <si>
    <t>rdido varios Oficiales de graduación , y unos 300 hombres. También se ha publicado el oficio en que Mr. Fostcr informa de las disposiciones que hizo para resistir á los Franceses en la isla de S, Cristóbal, donde se presentó el 5 de Marzo la esquadra Francesa; y habiendo el enemigo hecho s</t>
  </si>
  <si>
    <t>Fox</t>
  </si>
  <si>
    <t>rlinas. Los diferentes legados que ha hecho, ascienden á 180® libras esterlinas: entre otros dexa á Mr. Fox 3®, á otra persona 20®, á otra 10®, y así á otras. A su barbero le dexa 60 libras esterlinas de renta. Hace 203 dias que se dice habrá muy pronto algunas mudanzas en el Ministerio</t>
  </si>
  <si>
    <t>o Mr. Dillon que se hiciese un discurso de gracias á S. M. Apoyó esta proposición Mr. Carlos Adams. Mr. Fox dixo que no era su intención oponerse ai discurso que acababa de leerse en la Cámara, bien que no aprobaba enteramente su contenido, pues no podía, en efecto, dar su consentimient</t>
  </si>
  <si>
    <t>ciones de dicho tratado, ni ¡amas han tenido sobre este negocio ningún documento claro y auténtico. Mr. Fox contestó al Canciller del Echiquier, y habló en los mismos términos que Mr. Grey___ La discusión no tuvo ningún resultado-----Después se formó la Cámara en junta para tratar de lo</t>
  </si>
  <si>
    <t>testamentos 330©. Total 1.550© libras. Esta cantidad presenta un excedente de* 400 á 5C0© libras.__-Mr. Fox habló en contra de los nuevos impuestos ; pero la Junta adoptó las propuestas de Mr. Pitt. :' ■ r V : Se .dice que se ha despachado un aviso á la India para informar á Sir Eduardo</t>
  </si>
  <si>
    <t>icitud á la Cámara de los Comunes; y en caso de negarse á ello, de recurrir á los buenos oficios de Mr. Fox. SUIZA. Berna 2 4 de Febrero. i * En Zurich se han reunido varios Diputados para tratar de los intereses comerciales de la Suiza , y asentar las basas de un informe relativo á est</t>
  </si>
  <si>
    <t>dia para deliberar sobre tan importante negocio. _ En la Cámara de los Comunes, del mismo dia» dixo Mr. Fox, que su intención era presentar, el lunes próximo 25, una petición de los Católicos de Irlanda, que piden al Parlamento justicia de la opresión, baxo la qual gimen. En la misma ju</t>
  </si>
  <si>
    <t>a proponer una disposición, que se sabia no podía pasar en el estado actual de las cosas. Respondió Mr. Fox, que no concebía qué razones debían impedir el resultado favorable de la petición, y por tanto propuso que se pusiese en deliberación pasadas las vacaciones de Pascua; y unánimeme</t>
  </si>
  <si>
    <t>rna de la Corona y del Ancora una junta, presidida por el Duque de Bedford. Se brindó á la salud de Mr. Fox, quien correspondió á esta honra con un discurso, en que exponiendo rápidamente las acusaciones intentadas contra un noble Lord ( Melvilie), observó que en calidad de miembro del</t>
  </si>
  <si>
    <t>ebe entablarse ninguna negociación con la Francia , sin consultar con las Potencias del continente. Mr. Fox sostiene que la Gran Bretaña no debe arreglarse á lo que hagan los demas Gabinetes, y que es obligación de los Ministros el escuchar las proposiciones hechas por el enemigo.__ Por</t>
  </si>
  <si>
    <t>nriquecer infieles depositarios de su confianza, y cubrir sus dilapidaciones?” , ,, Merecería, dixo Mr. Fox en la misma junta, sí guardase silencio en esta ocasión, que larexécracion, pública acompañase mi nombre: temería que mi silencio me hiciese parecer cómplice. En efecto, todo el que</t>
  </si>
  <si>
    <t>los Comunes sobre la propuesta de Mr. Withbread contra el Lo r d Melville, hablaron á favor de ella Mr. Fox, Sheridan, Tierney, Windham 8cc., .y en qontra Mr. Pitt y todo el partido del Lord Sidmouth (Addington). A las 5 de la mañana se empezó á votar: hubo igualdad de votos: ¿16 á favo</t>
  </si>
  <si>
    <t>se altamente los protectores de los que están convictos de las mas infames malversaciones. Concluyó Mr. Fox diciendo , que el respeto y el regocijo que inspira el acto de que se trata, eran una prenda segura del respeto y regocijo que deben inspirar las determinaciones subsecuentes que</t>
  </si>
  <si>
    <t>opinión de la Cámara, y á los sentimientos del Parlamento, y para desempeñar.mis obligaciones.”... Mr. Fox. Es un triunfo muy lisonjero para la Cámara haber conseguido esta justicia, aunque tarde; y que el Ministro que ha dado este consejo al Rey sea el mismo que pocos dias antes decía</t>
  </si>
  <si>
    <t>ce, que por lo que toca á la acusación 4e malversación que se hace á Lord Melville, no está bien en Mr. Fox hablar como hace, quando se sabe que su padre Lord Holland, que se retiró del Ministerio en 1755 , ha disfrutado hasta 1782 , durante 17 años, 15© libras esterlinas anuales de int</t>
  </si>
  <si>
    <t>no solo seria imperfecta* sino que podría ser perjud icial ál ínteres público; pero estrechado por Mr. Fox á que dixese, á lo menos, si estas negociaciones presentaban un aspecto tal que se pudiese esperar muy pronto la comunicación, el Ministro no respondió una sola palabra, y se obst</t>
  </si>
  <si>
    <t>á la Cámara como durante ésta importante discusión. En ía Cámara de los Comunes, del mismo día 13, Mr. Fox presentó la petición dé los Irlandeses: duró su discurso quatro horas. '' i;.777 fráncia. .77 Parts &lt;T de Junio. Las cartas de Italia no hablan mas que del entusiasmo que excita e</t>
  </si>
  <si>
    <t>azan á la patria; que estos no se han prevenido, y que ninguna confianza sé tiene en los Ministros. Mr. Fox apoya la propuesta con un largo discurso. Sostiene que h deuda se ha aumentado desde Los principios de las hostilidades en 8o millones; Como miembro de- la Cámara de los Comunes n</t>
  </si>
  <si>
    <t>as sobre los 5 millones que se votáron de reserva para los subsidios, como un medio extraordinario. Mr. Fox expone que la guerra actual, siendo una disputa personal de la Inglaterra respecto de las Potencias del Continente ,• extraña que Mr. Pitt pida una cantidad, euyo empleQ no puede ju</t>
  </si>
  <si>
    <t>a que pueda contarse en el discurso de esta estación con una cooperación eficaz de otras Potencias. Mr. Fox. Es bien extraño que se mire como suficiente la discusión que hubo anoche, y que sin mas explicaciones que dos palabras, acaso introducidas en el mensage, se quiera que la Cámara</t>
  </si>
  <si>
    <t>dé acusación contra Lord Melville» Lord Temple y Mr. Grey iban á su derecha é izquierda: seguíanle Mr. Fox, Windham y otros varios. Luego que el Canciller se puso en la barra, Mr. Whitbread leyó la orden.de acusación en un tono firme y noble, y entregó el mensage al Lord Canciller, qui</t>
  </si>
  <si>
    <t>unta de Obispos Católicos Romanos, con el objeto de escribir cartas de gracias á Lord Grenville y á Mr. Fox, por haber apoyado la petición de los Católicos Romanos en el Parlamento, igualmente que á Mr. Pitt y á los Obispos Anglicanos, por el modo leal y franco con que se han opuesto á</t>
  </si>
  <si>
    <t>concurrencias mas distinguidas y mejor informadas la voz de que Mr. Pitt está dispuesto á admitir á Mr. Fox y á sus amigos en la administración de los negocios públicos. Si esta unión no se verificase , y las disposiciones que ha tomado el Ministerio para efectuarla no le gra-ngeasen la m</t>
  </si>
  <si>
    <t>Fox, General</t>
  </si>
  <si>
    <t>General Fox</t>
  </si>
  <si>
    <t>einbarcáron dos Regimientos. Las últimas noticias de Gibraltar son de 25 de Abril. Parece que ya el General Fox habia conseguido cortar los progresos del contagio, á cuyo efecto se tomaban providencias rigurosas. Algunos dias ántes se habian quemado hasta los cimientos de una casa particula</t>
  </si>
  <si>
    <t>Fraga, Ignacio</t>
  </si>
  <si>
    <t>Ignacio Fraga</t>
  </si>
  <si>
    <t>lea á D. Juan Boinaga: Tenencia veterana en la Plana mayor blanca del batallón de Pardos de Lima á D. Ignacio Fraga; y Subtenencia de la misma clase en la Asamblea de Arica á Dj Faustino Zuazo. Igualmente" se ha'dignado el Rey nombrar para la plaza de Asesor del Gobierno y Presidencial del Rey</t>
  </si>
  <si>
    <t>Frahcis</t>
  </si>
  <si>
    <t>meija, de 21 años. Escultura, á Don "Mateo Frátes yñatural dé Madí’id, de 17 áños.; Arquitectura, á D. Frahcis*co .Gutiérrez, natural de Madrid , de 16 años* Segundos premios. Medallas ' de plata de 3 onzas. Pintura, á D. Josef Altarriba, natural de Madrid, de 19 años. Escultura, afi. Luis</t>
  </si>
  <si>
    <t>Frammeri</t>
  </si>
  <si>
    <t>lia por parte del gobierno Francés, y sobre ios defectos de la escala música, y reforma que intenta Mr. Frammeri; ironía sobre el furor de las matemáticas; fábula de ia viuda desconsolada, libros &amp;c. Se vende en las librerías de Escribano, Montero, Marques y Espejo. Se reciben subscripciones</t>
  </si>
  <si>
    <t>Fran</t>
  </si>
  <si>
    <t>nidad ,de Tesorero de la Catedral de Granada, vacante por fallecimiento de D. Francisco Almansa , á Don Fran cisco de Galvez, Canónigo, elpcto -de la Colegial dé Antequera: para la Dignidad de Maestrescuela de la Catedral , de'Cuenca, vacante por muerte de D. Marcelo López Cabré jas, á D</t>
  </si>
  <si>
    <t>Francés</t>
  </si>
  <si>
    <t>Príncipe Camilo Borghese, cuñado del Emperador, podrá gozar de los derecho* de ciudadano Francés, sin necesidad de la residencia que exige el artículo 111 del Acta constitucional de 13 de Diciembre de 1799. El 30 pasó el Tribunado en cuerpo á cumplimentar</t>
  </si>
  <si>
    <t>Francés Duroc, General</t>
  </si>
  <si>
    <t>General Francés Duroc</t>
  </si>
  <si>
    <t>dos los Ministros y muchos Generales. Al momento se despacharon correos á Petersburgo y á Viena. El General Francés Duroc permanece todavía en núestrá residencia,’y algunos tienen por cosa cierta que desde la venida de éste Negociador ha reiterado S. M. Prusiana á las Cortes de Viena y de Petersburgo</t>
  </si>
  <si>
    <t>Inn, y entrado en la Baviera. A pesar de esto no ha salido aun de aquella capital; y se cree que el General Francés Duroc, el General Austríaco Meerveldt, y el General Ruso Buxhowden están encargados de negociar con plenos poderes de sus Cortes respectivas. Altana 4 de Octubre. Las cartas de Berlín d</t>
  </si>
  <si>
    <t>Francés Klein, General</t>
  </si>
  <si>
    <t>General Francés Klein</t>
  </si>
  <si>
    <t>íncipe Fernando ha sido en el combate de Rothenberg, en las fronteras del Palatinado-Alto, donde el General Francés Klein le ha cogido el resto de su artillería. Los Generales que han llegado á Egra con el Archiduque son: el Conde de Kollordrath, el Príncipe de Rohan, gravemente herido; el Príncipe F</t>
  </si>
  <si>
    <t>Francés Linois, Almirante</t>
  </si>
  <si>
    <t>Almirante Francés Linois</t>
  </si>
  <si>
    <t>, y haber últimamente protegido la flota de la China que convoyaba á Europa en un combate contra el Almirante Francés Linois, una pensión anual de 500 libras esterlinas. El 4 de Enero próximo se tratará de la decisión de esta propuesta. La vuelta del Lord Moira á está capital después de su próxima salid</t>
  </si>
  <si>
    <t>r objeto el cange de prisioneros. Según las últimas noticias de Santa Helena , parece cierto que el Almirante Francés Linois volverá muy pronto á Europa con su esquadra. Las Gazetas ministeriales confiesan francamente que la acción del Cabo de Santa María (el apresamiento de las fragatas Españolas) ha p</t>
  </si>
  <si>
    <t>Francés Loison, General</t>
  </si>
  <si>
    <t>General Francés Loison</t>
  </si>
  <si>
    <t>emania y de Suiza. La guerra actual parecía que debía perjudicar infinito á este comercio;, pero el General Francés Loison , que manda en el Tiro!, ha publicado allí una proclama, declarando que se permite de nuevo en el Tiro! toda especie de tráfico y de relaciones comerciales del mismo modo que ánte</t>
  </si>
  <si>
    <t>Francés, Almirante</t>
  </si>
  <si>
    <t>Almirante Francés</t>
  </si>
  <si>
    <t>or consternación. Se asegura que aquellas islas están mal abastecidas de tropas y de municiones; El Almirante Francés ha llevado de la Martinica las tropas que estaban ya hechas al clima, y ha dexado en su lugar las que llevaba de Francia. Tantas fatales noticias en pocos dias han sembrado la des</t>
  </si>
  <si>
    <t>nea de batalla mura babor, tomando la vanguardia la esquadra Española, situándome á su cabeza, y el Almirante Francés en el centro de la línea. Los enemigos, en número de 16 navios, 3 de ellos de tres puentes, y 2 rebaxados, maniobraban de vuelta encontrada, con la intención, al parecer, de doblar</t>
  </si>
  <si>
    <t>eradas órde-r nes que V. E.- le tenia Comunicadas. Con este conocimiento se restituyó á su bordo el Almirante Francés , y seguidamente puso las señales de suspender las anclas y meter dentro las embarcaciones menores; señales que se repitieron inmediatamente en este navio Príncipe de Asturias, y</t>
  </si>
  <si>
    <t>ia la esquadra de observación del mando del General Gravina. A esto se siguió La señal hedía por el Almirante Francés de que ciñese el viento el navio de la cabeza, y la de"que todos siguiesen sus aguas, lo que obligó á que arribase la Armada para su alineación. Él General Gravina prescribió á su es</t>
  </si>
  <si>
    <t>Francés, Capitán</t>
  </si>
  <si>
    <t>Capitán Francés</t>
  </si>
  <si>
    <t>án, de 46 cañones y 350 hombres. Hemos perdido mucha gente; pero mucha mas el enemigo. Ha muerto el Capitán Francés. Sin embargo ha tenido que rendirse la Cleopatra; pero 3 dias después el navio Ingles Leandro, de 50 cañones, apresó la Ciudad de Milán. La Cleopatra cruzaba á la altura de Halifa</t>
  </si>
  <si>
    <t>Francés, General</t>
  </si>
  <si>
    <t>General Francés</t>
  </si>
  <si>
    <t>xpedición delante de la Dominica, isla situada entre la Guadalupe y la Martinica. Inmediatamente el General Francés mandó hacer el desembarco, el que se executó con felicidad, y se apoderó de la Colonia, ocupando la ciudad de Roseau, que capituló-----El General Prevost, que mandaba la guarnició</t>
  </si>
  <si>
    <t>iba socorros del Almirante Chocrane: se aguardan con impaciencia noticias posteriores. Dicen que el General Francés ha formado un exército de 12® hombres, inclusos los 5® que iban en su esquadra, que se componía de 5 navios-y 3 fragatas , algunas tropas que ha tomado en la Guadalupe, y algunos</t>
  </si>
  <si>
    <t>as de la Dominica y de S. Cristóbal. El General Prevost elogia infinito la conducta y humanidad del General Francés que ha conquistado ia Dominica. Las tropas victoriosas observan la mas severa, disciplina. ÍARIAMEKTO IMPERIAL. Cámara de los Comunes. Dia S de Mayo. Mr. Whitbread se queja de que</t>
  </si>
  <si>
    <t>ruido, que fué de ocho segundos , distaba dos millas de nosotros. Indicamos por señal de faroles al General Francés * que era preciso formar la línea de batalla sobre los navios sotaventados, la misma que repitió después al canon aquel' Gefe; y en esta formación amanecimos, el 2t con los enemig</t>
  </si>
  <si>
    <t>Franceses</t>
  </si>
  <si>
    <t>mercio en este pais. Las restricciones que se quieren exercer contra los mismos ciudadanos Franceses, no se han abolido en muchos Cantones. ITALIA. Ñapóles 22 de Marzo. Continuando las-excavaciones de las ruinas de Pompeya, se ha descubierto últimamente, ¿ pre</t>
  </si>
  <si>
    <t>Franceses, Obispo</t>
  </si>
  <si>
    <t>Obispo Franceses</t>
  </si>
  <si>
    <t>Limosnero mayor de Francia, el primero de los Cardenales Franceses Arzobispos, el . Arzobispo y el Obispo Franceses mas antiguos, se acercarán á SS. MM.', haciéndoles una profunda reverencia/y los conducirán al pie del altar para recibirla unción sagrada: nadie mas les acompañará á esta ceremon</t>
  </si>
  <si>
    <t>Francis</t>
  </si>
  <si>
    <t>la mas severa atención de la Cámara.” A esto no replicaron los Ministros.__ El mismo dia pronunció Sir Francis un largo discurso sobre la situación de i^s Indias Orientales. Dixo que la inmensa extensión de nuestras posesiones en aquellas regiones erá un asunto que debía someterse á la con</t>
  </si>
  <si>
    <t>rmánico para que devuelvan los privilegios y derechos usurpados al Cuerpo Eqíiestre; la relación de Mr. Francis en la Cámara de los Comunes de la Gran Bretaña sobre el estado de la India; la creación del Consejo de Estado en Milán; la aceptación de la nueva Constitución Bátava; la ordenanza .</t>
  </si>
  <si>
    <t>nto era muy probable que dichos documentos se hallasen entre los que habia interceptado el enemigo. Mr. Francis miró como cosa muy extraordinaria que el Gobierno no tuviese sobre la India mas noticias que las publicadas por el Gabinete de Francia. En la misma Cámara se ha decidido, á propue</t>
  </si>
  <si>
    <t>Francisca Rúa</t>
  </si>
  <si>
    <t>sef Maymó, herido : D. Manuel Briones id.: D. Pedro Saez;Baranda id.: D. Aniceto Diaz Pimienta id.: D. Francisca Rúa id. Primer Piloto. D. Joaquin Hurtado, contuso. También ha dado parte al Sr. Generalísimo el Gefe de Esqnadra Don Baltasar Cisneros, desde Algeciras en 31 de Octubre, de las princ</t>
  </si>
  <si>
    <t>Francisco Bartolomé</t>
  </si>
  <si>
    <t>servido nombrar para la Canongía, que en la Iglesia de Palencia ha resultado vacante por muerte de D. Francisco Bartolomé, á D. Sebastian Benitez, Capellán de los Batallones de Marina, en consideración á sus servicios, y conforme al Reglamento de 30 de Enero del año próximo pasado. En atención á los</t>
  </si>
  <si>
    <t>Francisco Julián</t>
  </si>
  <si>
    <t>ntesa Tenencia al Alférez D. Manuel Robirr: én el &lt;Je Santiago empleo de Alférez al Portaestandarte D. Francisco Julián ; y en el de Algarbe empleo de Portaestandarte al Cadete del de Alcántara D. Josef de Torres. V: En los Regimientos de caballería ligera igualmente, se ha servido S-.AJ. conceder</t>
  </si>
  <si>
    <t>Francisco Manuel</t>
  </si>
  <si>
    <t>acante por ascenso de D* Antonio López Quintana á plaza de Ministro Togado del Consejo de Indias, á D. Francisco Manuel ae Herrera, Fiscal del crimen de la de Lima. Esta resulta á D, Miguel de Ey zaguirre, Rector y Catedrático de prima de Cánones de la Universidad de. Chile ; y para plaza de Oidor</t>
  </si>
  <si>
    <t>Francisco Ramón</t>
  </si>
  <si>
    <t>fFrancisco Ramón.. Hijo de Juan, natural de Ximena, en el parti d</t>
  </si>
  <si>
    <t>Francisco, Archiduque</t>
  </si>
  <si>
    <t>Archiduque Francisco</t>
  </si>
  <si>
    <t>o de caballería de Schwarzemberg, huíanos; los Regimientos de Hohenlohe, dragones; Mack, coraceros; Archiduque Francisco; un destacamento de húsares de Blaiikenstein, y muchas order</t>
  </si>
  <si>
    <t>Francisco- Antonio Alonso</t>
  </si>
  <si>
    <t>a Colegial de Cervatos , en la de Burgos, vacante por muerte de Don Pedro Gutiérrez del Piélago , á D. Francisco- Antonio Alonso , Cura Beneficiado de ia Parroquial del lugar de Aradiilos ,_en el Obispado de Santander : para una Capellanía dotada con juros compuestos de Medias Anatas en la de Toledo á D. Be</t>
  </si>
  <si>
    <t>Francisco-de Paula Exea</t>
  </si>
  <si>
    <t>nencias en los de Granada,-Voluntarios de Castilla y Nápolés á los Sub** tenientes D. Josef Aledo r D, Francisco-de Paula Exea y D. Jayme Beau^ Ibrt; y Subtenencia de bandera en el expresada de Granada al Cadete D01É Juan de Dios Bernabeu, Desde 1.° del próximo Diciembre se recibirán en lía Tesorería mayor yf</t>
  </si>
  <si>
    <t>Franco, Juan Antonio</t>
  </si>
  <si>
    <t>Juan Antonio Franco</t>
  </si>
  <si>
    <t>aquella Diócesis: para una MediaCapellanía racional de la propia Iglesia, vacante por promoción de D. Juan Antonio Franco á la Dignidad de Arcipreste de ella, á D. Ambrosio Cariñena, Cura de aquel Obispado; y para un Beneficio de residencia, baxo la invocación de Sta. Tecla unido á otro de Sta. Catal</t>
  </si>
  <si>
    <t>Franjo y Ruiseco, Juan Antonio</t>
  </si>
  <si>
    <t>Juan Antonio Franjo y Ruiseco</t>
  </si>
  <si>
    <t>rcipreste y Canongía unida de la de Tarazona , vacante por muerte de D. Manuel Milagro y Santas , á D. Juan Antonio Franjo y Ruiseco: para otra Canongía de la misma Catedral, vacante por fallecimiento de D. Jacobo Ibañez, á D. Manuel Corao: para el Oficio regular de Enfermero mayor del Real Monasterio de Sta. M</t>
  </si>
  <si>
    <t>Franklin</t>
  </si>
  <si>
    <t>ya costado cerca de 3 millones y 200$ r$.---- Ademas de estos legados, que dexó en su testamento el Doctor Franklin, impuso un capital razonable en el Banco de Boston para fomento de los muchachos que manifestasen mas industria é inteligencia en el aprendizage de diferentes oficios. No menos ge</t>
  </si>
  <si>
    <t>Franpisco Lago</t>
  </si>
  <si>
    <t>servido conceder en el Regimiento de infantería de Asturias Tenencia al Subteniente de granaderas. D. Franpisco Lago y. Viñas ; y en el de Extremadura Subtenencia de bandera al Sargento primero de graT naderos D. Juan Montero. . ¡ , ? En los Regimientos Provinciales ha promovido S. M. á Tenientes</t>
  </si>
  <si>
    <t>FraociscoEscribanoMolano</t>
  </si>
  <si>
    <t>tínez del Arne: para el Beneficio dé la villa del Tiemblo^ Diócesi de Avila , vacante por muerte dé D. FraociscoEscribanoMolano, á D. Julián García de Vegas, Capellán curado del lugar de Paxaréjos, en la misma Diócesi, con obligación de alternar con el Párroco én la inisa conventual, y de ayudarle en la ad</t>
  </si>
  <si>
    <t>Frap</t>
  </si>
  <si>
    <t>pez, natural de Madrid, de íj áños. Gradado-de Jámmas. Premio aplico. Medalla de oro dé.uña onza, a D. Frap. cisco Rivejles, mstpraí de .Valencia,.,de 22 añps. Grabado,de\pi^aílad vPremio único.- Medalla de oi;o de una onza, á D. Isidro Merino,, ñatüral ,-dé'Adrados ,• de* 24 -años. Pre</t>
  </si>
  <si>
    <t>Fravle, Andrés</t>
  </si>
  <si>
    <t>Andrés Fravle</t>
  </si>
  <si>
    <t>de la Peña y de $. Miguel. ' . En Barcelona.....D. Ramón Llordeíla é‘ hijo. 1 En Búrgós........... D. Andrés Fravle. ; . . ' ; ■*' ‘ 'En Cádiz.........1... D. Benito de la Piedra. J * 3 - • EnCartagena...... D. Bernardo*Eliza!dé. ■ ,\A " ;; En Ciudad-Real.. D. Ramón Antonio Pico» ** ' ' En Córd</t>
  </si>
  <si>
    <t>Fray, Andrés</t>
  </si>
  <si>
    <t>Andrés Fray</t>
  </si>
  <si>
    <t>. la Peña y de S. Miguel. , ’ En B'arcelona....... D. Ramón Llordella é hijo. i En Burgos i*,.w.... D. Andrés Fray le. r En Cádiz.............. D. Benito de la Piedra. En Cartagena...... D. Bernardo Flizalde. En Ciudad-Re al.. D. Ramón Antonio Pico. En Córdoba..:....... Sres. Barcia padre é hi</t>
  </si>
  <si>
    <t>Frayle, Andrés</t>
  </si>
  <si>
    <t>Andrés Frayle</t>
  </si>
  <si>
    <t>ez de la Peña y de S. Miguel. En Barcelona....... D. Ramón Ltordella é hijo. En Biírgos.............D. Andrés Frayle. En Cádiz................ D. Benito de la Piedra. En Cartagena........D. Bernardo Elizalde. En Ciudad-Real... D. Ramón Antonio Pico. En Córdoba.......... . Sres. Barcia padre é hi</t>
  </si>
  <si>
    <t>Frere</t>
  </si>
  <si>
    <t>te del 11, de .apoderarse de todos los buques Españoles que tuviesen caudales á bordo. Sin embargo, Mr. Frere continuaba entonces las negociaciones en Madrid, y el Exc. Sr. D. Pedro Cevallos, en su nota de 3 de Noviembre , no dexaba nada que desear en razón de la satisfacción que se habia</t>
  </si>
  <si>
    <t>sas de su neutralidad relativamente á la Inglaterra, ¿por qué no dieron orden de retirarse á Mr. Frere al mismo tiempo que la diéron para apoderarse de las naves Españolas que tuviesen caudales? La presa de las fragatas Españolas es en verdad un principio de guerra sin declaración,</t>
  </si>
  <si>
    <t>e ello, para que esté en estado de juzgar sobre una negociación muy extraordinaria. _En una nota de Mr. Frere se habla de las tropas Francesas que transitan por territorio Español. Concederé, si se quiere, que en virtud de las representaciones hechas con este motivo á la Corte de Madrid ,</t>
  </si>
  <si>
    <t>a declaración de S. M. Británica: tal es, por exemplo, el asegurarse en ella y en el Parlamento que Mr. Frere, Ministro cerca de la Corte de España, había salido de Madrid ántes que allí se supiese el apresamiento de las fragatas Españolas. Es escandaloso por cierto que esta y otras propo</t>
  </si>
  <si>
    <t>Fresia, General</t>
  </si>
  <si>
    <t>General Fresia</t>
  </si>
  <si>
    <t>rusia, en Francia, ha llegado á esta ciudad, que pasa á Milán, para asistir á la coronación. . ; El General Fresia , antiguo Coronel al servicio del Rey de Cerdeña, y en el dia General at servicio de la Francia, pasa á Marengo á dirigir fas maniobras de la caballería que hay, en aquel departam</t>
  </si>
  <si>
    <t>Frevost, General</t>
  </si>
  <si>
    <t>General Frevost</t>
  </si>
  <si>
    <t>la Dominica; y solo difieren las relaciones en que, según las primeras, daban esperanzas de que el General Frevost pudiese resistir algún tiempo en el fuerte Portsmouth hasta recibir socorros, y que, según las últimas, es dudoso que haya podido mantenerse en él; pues parece que los Franceses n</t>
  </si>
  <si>
    <t>Freyre de Andrade, Fernando</t>
  </si>
  <si>
    <t>Fernando Freyre de Andrade</t>
  </si>
  <si>
    <t>Náxera, y á Portaguión al Cadete D. Josef Irala. . Habiendo salido del Ferrol el Teniente de Navio D. Fernando Freyre de Andrade con la división de barcos cañoneros de su mando, compuesta de los nombrados Relámpago, Trueno y Centella, escoltando hasta Vivero un convoy de 20 lanchas del tráfico, encontró el</t>
  </si>
  <si>
    <t>Friant, General</t>
  </si>
  <si>
    <t>General Friant</t>
  </si>
  <si>
    <t>o estoy también. Jtftunero get asi diario .del exeraito .grande, ^Austerlitz ff de Diciembre, ,, AI General Friant, en la batalla de Austerlitz, |le mataron^ caballos.que montó sucesivamente, ¿os xGoronele^ Oonroux y Demoustier cmitraxéron un mérito señalado.Tos rasgos de valor «sqn tau munero</t>
  </si>
  <si>
    <t>Frías, Francisco</t>
  </si>
  <si>
    <t>Francisco Frías</t>
  </si>
  <si>
    <t>ntería de Soria al Subteniente de granaderos D. Juan Morales; y en el de Sa'ooya á los de fusileros D, Francisco Frías y' D. Miguel de Castro y Corréai en el de Aragón Compañía al Ayudante, graduado de Capitán, D. Joaquín Aparici; y Subtenencia de bandera al Sargento primero de granaderos D. Miguel</t>
  </si>
  <si>
    <t>Froylan Ramón de Araujo</t>
  </si>
  <si>
    <t>el Corregimiento de la ciudad de Lorca á D. Juan Antonio Biingas: para el de la villa de Réynosa á D. Froylan Ramón de Araujo ; y para la Vara de. Alcalde mayor de las villas de Bes y las Casas á D. Faustino Peynado.‘ ■ An 'América.- S. M. se ha dignado nombrar para una Ración deda Catedral de la Paz, va</t>
  </si>
  <si>
    <t>Frunces, Coronel</t>
  </si>
  <si>
    <t>Coronel Frunces</t>
  </si>
  <si>
    <t>iptores, publicada en la Gazeta, se han recogido ya 52,036 florines. El 27 del pasadp llego aquí un Coronel Frunces,con pliegos despachados de Milán. En ellos se contienen nuevas pruebas dé''las disposiciones amistosas y pacíficas del Emperador Napoleón. Después del recibo de estos pliegos se d</t>
  </si>
  <si>
    <t>Frutos la Osteología y MioLogia, Agustín</t>
  </si>
  <si>
    <t>Agustín Frutos la Osteología y MioLogia</t>
  </si>
  <si>
    <t>continuase el curso de este año. Así se ha verificado, enseñando el demostrador público de Anatomía D. Agustín Frutos la Osteología y MioLogia á los Practicantes antiguos, y la Osteología solo á los modernos. Y debiendo adjudicarse anualmente premios á los Practicantes mas aprovechados, comisionó la Junta á sus Consiliar</t>
  </si>
  <si>
    <t>Fuentes, Benito</t>
  </si>
  <si>
    <t>Benito Fuentes</t>
  </si>
  <si>
    <t>ez: D. . Francisco Xavier Quintana; á Alférez al Portaguión D. Manuel Peñuñuri , y á Portaguiones á D. Benito Fuentes y D. Bernardo Lexarza. El Mereuria.de. España de, 30.de Setiembre ,, cúm. i&amp;r se hallara en el despacho de la Imprenta Real; en el Real Sitio» de S. Lorenzo' en. la tienda del Rubio,</t>
  </si>
  <si>
    <t>Fuentes, Nicolás</t>
  </si>
  <si>
    <t>Nicolás Fuentes</t>
  </si>
  <si>
    <t>po. S. M. se ha servido oonferir una Subtenencia en la Brigada veterana de Artillería de Canarias á D. Nicolás Fuentes, Teniente dei Regimiento Provincial de Milicias de la ciudad de la Laguna en la isla de Tenerife. En el Real Cuerpo de Ingenieros del Exército y división de Indias se ha servidoS.</t>
  </si>
  <si>
    <t>Fuertes, Francisco</t>
  </si>
  <si>
    <t>Francisco Fuertes</t>
  </si>
  <si>
    <t>todas clases que asistió i ella. La sesión se abrió por un eloqüente oiscursc leído por el Censor D. Francisco Fuertes, sobre el influxo de las costumbres en el comercio y las artes. Se leyeron por el Dr. D. Joaquín de Criarte y Landa, Secretario del Cuerpo, las actas del año, en las que se dio á</t>
  </si>
  <si>
    <t>Fuñol, Miguel</t>
  </si>
  <si>
    <t>Miguel Fuñol</t>
  </si>
  <si>
    <t>. Pedro Josef González ; de fusileros á D¿ Isidro Galarza, D. Alexandro AbasCal, D. Mariano Patino, D. Miguel Fuñol, Don Manuel del Ribero Alonsoy D. Tiburcio Vivanco, D. Manuel Eusebio y*D. Ignacio de los Rios; Ayudantía mayor á D. Domingo Apodaca; Tenencia de granaderos á Di Josef de Noya ; y</t>
  </si>
  <si>
    <t>Gabaldon, María</t>
  </si>
  <si>
    <t>María Gabaldon</t>
  </si>
  <si>
    <t>su Senatoria, y de allí,pasará á Boloña. ■ ■ ; ESPAÑA. &lt;. Villena 24 de Abril. María Gabaldon, natural y vecina de esta ciudad, de edad de 30 años, estatura pequeña j constitución delicada, tuvo en su primer parto un niño , en el segundo dos, en el tercero otro, y el día 4 del corr</t>
  </si>
  <si>
    <t>Gado, Cayetano</t>
  </si>
  <si>
    <t>Cayetano Gado</t>
  </si>
  <si>
    <t>o de Santiago. 5 5 *3- j ,4 Ayud. Cayetano Gado... ga, natural de San Simón de la Cuesta, jurisdicción.du Villalba, Obispado de</t>
  </si>
  <si>
    <t>Galindez, Francisco</t>
  </si>
  <si>
    <t>Francisco Galindez</t>
  </si>
  <si>
    <t>esta resulta al de fusileros D. Josef Landaeta; Tenencia de fusileros al Subteniente de granaderos D. Francisco Galindez ; esta Subtenencia al de fusilerosD.Rafael Paez; y una de las de bandera,vacante por ascenso de D. Josef Antonio Yanes, al Cadete D. Félix Alvarado.</t>
  </si>
  <si>
    <t>Galindo, Francisco</t>
  </si>
  <si>
    <t>Francisco Galindo</t>
  </si>
  <si>
    <t>ero, el primero de granaderos: ¿ Subtenientes de granaderos de los de Jaén y Tuy ¿ los de fusileros D. Francisco Galindo y D. Francisco Ledo; y á Subteniente de bandera del de Monterey á D. Josef González y Ojea. El Rey se ha servido conferir el Gobierno de la plaza de Alhucemas al Coronel D. Francisco</t>
  </si>
  <si>
    <t>Galisteo y Xiorro, Félix</t>
  </si>
  <si>
    <t>Félix Galisteo y Xiorro</t>
  </si>
  <si>
    <t>ratado de las heridas de armas de fuego, escrito por Mr. Ledran, de París* traducido al español por D. Félix Galisteo y Xiorro, profesor de Cirugía, á 8 rs. en pasta y 6 en pergamino, zzzObservaciones acerca de las enfermedades del ejército en ios campos y Jas guarniciones, con las memorias sobre las subs</t>
  </si>
  <si>
    <t>Galisteo, Juan</t>
  </si>
  <si>
    <t>Juan Galisteo</t>
  </si>
  <si>
    <t>pticas, por Mr. Pringle, traducidas del francés, según Ja séptima edición de su autor, añadidas por D. Juan Galisteo, profesor de Medicina. Se hallará? en la librería de Fernandez, frente á las gradas de S. Felipe. Paralelo de las costumbres de este siglo y de la moral de Jesucristo: obra de</t>
  </si>
  <si>
    <t>Galitzin, Príncipe</t>
  </si>
  <si>
    <t>Príncipe Galitzin</t>
  </si>
  <si>
    <t>s, y tuvieron que escapar precipitadamente á Oimutz: prisioneros varios Generales, y.entre ellos el Príncipe Galitzin: el resto del exército Ruso en la mas completa derrota: los soldados llaman á esta batalla la batalla de los tres Emperadores* El exército Francés ha tenido muy poca pérdida. ESPA</t>
  </si>
  <si>
    <t>Gall</t>
  </si>
  <si>
    <t>or de tierra. El rio ha mudado su curso, y ahora se está trabajando en limpiar el antiguo cauce. El Dr. Gall ha avisado al público que dará varias lecturas de su famoso sistema sobre los cráneos, en la sala de la Academia dé CiehciaS, de Berlín. Parece que está imprimiéndose la relación</t>
  </si>
  <si>
    <t>ada de Bengala en los meses de Agosto y Setiembre del año pasado. I-RUSIA. Berlín 23 de Marzo. ; El Dr. Gall ha comenzado ya sus lecturas con el mayor aplauso en la sala de la Academia de Viena. A cada lección es mayor el numero de los oyentes, entre los quales se cuentan algunos Príncip</t>
  </si>
  <si>
    <t>certificados de sanidad, y no han hecho la quarentena «a Cristiansand. PRUSIA. Berlín 4 de Mayo. El Dr. Gall ha visitado la casa hospital de locos de esta Corte; le acompañaban los primeros Magistrados y ios Médicos mas distinguidos. A la vista y presencia de todos ellos ha ido tentando</t>
  </si>
  <si>
    <t>ro de ia coronación. Dicho negociante ha recibido la carta y la medalla. Escriben de Potsdam que el Dr. Gall ha salido para Leipsick, después de haber dado 15 lecciones acerca de los cráneos á presencia de SS. MM. Prusianas. El Soberano quedó sumamente complacido, y en muestra dé su sati</t>
  </si>
  <si>
    <t>esor Blumenbach: posee cráneos de todos los países del mundo; y seria de desear que viniese aquí el Dr. Gall para hacer sus observaciones. Uno de los cráneos de esta colección es de un gran Capitán Romano, que murió hace 1700 añbs, y se lo regaló á Mr. Blumenbach S. Erna, el difunto Card</t>
  </si>
  <si>
    <t>o. Los dos mas acreditados grabadores de medallas de Berlín han ejecutado cada uno una en honor dei Dr. Gall. La mejor de ellas parece ser la de Mr. Loos, que presenta la efigie del Doctor con esta inscripción alemana: Im forschen kiinn , bescheiden im behaupten, que quiere .decir: Osado</t>
  </si>
  <si>
    <t>, que contiene los artículos siguientes: estado de la salud pública en el mes anterior: sistema del Doctor Gall: extracto de la lengua dé los cálculos de Condillac, obra traducida por la Señora Marquesa de Espeja: estado y progresos de la Astronomía y Geografía en principios de 1805: conclu</t>
  </si>
  <si>
    <t>llo parará en que la Servia sacuda el yugo de la obediencia. PRUSIA. Berlín jó de Agostó. El famoso Dr. Gall sigue ocupando la atención pública en todos estos paises. En Hala hay muchos sugetos instruidos qtie manifiestan la mas profunda admiración á su doctrina. Habían remitido allí des</t>
  </si>
  <si>
    <t>e aquel famoso ladrón, y que el tonto era uno de estos 5 últimos. Pero ef triunfo mas completo: del Dr. Gall es el haber logrado convencer al profesor Schutz, que era el mas obstinado de los .incrédulos de la doctrina del craneólogo. Dicho profesor creyó chasquearlo presentándole el cráneo</t>
  </si>
  <si>
    <t>Gallardo Fernández, Francisco</t>
  </si>
  <si>
    <t>Francisco Gallardo Fernández</t>
  </si>
  <si>
    <t>Origen, progresos y estado de las Rentas de,la Corona de, España, su gobierno y administración, por D. Francisco Gallardo Fernandez ,Oficial de da Secretaría de Estado y del Despacho de Hacienda de España. En esta obra se reúne cpn método y claridad la historia y legislación de la Real Hacienda: para la histor</t>
  </si>
  <si>
    <t>a Orfeen progresos y estado de las rentas de la Corona de España, su gobierno y administración, por D. Francisco Gallardo Fernandez: unas reflexiones acerca de las’falsas nociones en la Medicina: el extracto de la historia de J. J. Dessalines, Gefe de los Negros de Santo Domingo, tx*aducída porD. M. G. C.: el</t>
  </si>
  <si>
    <t>Gallardo y Marín, Francisco</t>
  </si>
  <si>
    <t>Francisco Gallardo y Marín</t>
  </si>
  <si>
    <t>egial de Antequera, Diócesi de Málaga, vacante por fallecimiento de D. Juan Sebastian de la Vega, á D. Francisco Gallardo y Marín, Beneficiado de la Parroquia de S. Pedro de la misma ciudad: para otra de la referida Iglesia, vacante por muerte de,D. Juan Aguado, á D. Josef Uncibay, Cura Párroco de Cuevas bax</t>
  </si>
  <si>
    <t>Gallardo, Francisco</t>
  </si>
  <si>
    <t>Francisco Gallardo</t>
  </si>
  <si>
    <t>te por promoción de D. Gil de la Paz García á una Canongía de la Colegial de .Peñaranda de Duero, á D. Francisco Gallardo: para la Prestamera de la Parroquia de S. Nicolás de la villa de Requena, Diócesis de Cuenca , vacante por fallecimiento de D. Francisco Antonio del Valle Inclan, á D. Josef Alons</t>
  </si>
  <si>
    <t>s circunstancias no serán atendidos. Origen, progresos y estado de las Rentas de la Corona &amp;c., por D. Francisco Gallardo, Oficial de la Secretaría de Estado y del Despacho Universal de Hacienda de España: tomo 2° y 3.0: el 2.0 comprehende las Reales Ordenes, Cédulas é Instrucciones que tratan de las</t>
  </si>
  <si>
    <t>Gallego Martinez de Bustos, Joaquín</t>
  </si>
  <si>
    <t>Joaquín Gallego Martinez de Bustos</t>
  </si>
  <si>
    <t>nómica; el Presbítero D. Manuel Escolano, por encargo de persona que quiso quedar desconocida, 1 ©; D. Joaquín Gallego Martinez de Bustos, Canónigo de Berlanga, 200; Don Josef Catalan de Ocon , residente en Zaragoza , 400 ; Antonio Ib2rrola y Vicente Valdellou, 200 ; D. Sebastian Herranz, Vicario eclesiástico , y D.</t>
  </si>
  <si>
    <t>Gallego, Gabriel Cayetano</t>
  </si>
  <si>
    <t>Gabriel Cayetano Gallego</t>
  </si>
  <si>
    <t>sef de Molina y Martel; y para la Medía Ración de la Catedral de Sigüenza, vacante por promoción de D. Gabriel Cayetano Gallego á Ración entera de la propia Iglesia , á D. Vicente Romero Campos, Cura del lugar de Ñoviales en aquel Obispado: para una Canongía déla Catedral de Coria* vacante por fallecimient</t>
  </si>
  <si>
    <t>Gallegos, Andrés</t>
  </si>
  <si>
    <t>Andrés Gallegos</t>
  </si>
  <si>
    <t>ente D. Pedro Santos; Tenencia de granaderos al Alférez D. Lorenzo de Salas, y sencillas al Alférez D. Andrés Gallegos, al Portaguión D. Ramón Delgado, y á los Sargentos primeros D. Josef Manuel de Salas, D. Juan de Dios Alvarez, D. Francisco AIvarez y D. Jacinto Roque de Luna: empleo de Alférez d</t>
  </si>
  <si>
    <t>Galludo, Domingo</t>
  </si>
  <si>
    <t>Domingo Galludo</t>
  </si>
  <si>
    <t>o al Cadete D. Manuel Miranda: en el de Zaragoza á los Cadetes de los de Burgos y Ordenes Militares D. Domingo Galludo y D. Felipe Santiago Zaragoza; y en el de Aragón al Cadete dei de Toledo D. Antonio Pardinas. S. M. se ha servido conceder la Comandancia del tercer batallón del Regimiento de infante</t>
  </si>
  <si>
    <t>Galochoa, Agustín</t>
  </si>
  <si>
    <t>Agustín Galochoa</t>
  </si>
  <si>
    <t>S. M. se ha servido nombrar para una Racíoft de la Catedral de Toledo, vacante por fallecimiento de D. Agustín Galochoa, á D. Vicente Josef Severino de la Vega, con retención del Medio-Préstamo de Marchámalo que obtiene en la misma Diócesis: para otra de la Catedral de Osma, vacante por muerte de D</t>
  </si>
  <si>
    <t>Galvez, Francisco</t>
  </si>
  <si>
    <t>Francisco Galvez</t>
  </si>
  <si>
    <t>s: para una Canongía de la Colegial de Antequera en el Obispado de Málaga, vacante por promoción de D. Francisco Galvez á la Dignidad de Tesorero de la Metropolitana de Granada, á D. Juan Joséf Rodríguez de Salas: para una Ración de la Colegial de Roa en el Obispado de Osma, vacante por haber falle</t>
  </si>
  <si>
    <t>Gamarra, Francisco</t>
  </si>
  <si>
    <t>Francisco Gamarra</t>
  </si>
  <si>
    <t>s á D. Miguel Riquelme, D. Josef Mendez, D. Matías Aguirre, D. Mariano Llanos, D. Lorenzo Portugal, D. Francisco Gamarra, D. Pedrb Godiel, D. Juan de Dios Va'dés, D. Matías Velazquez, D. Diego Mexía, Don Vicente Bellido y D. Diego Felipe Cevallos; y de Portaguiones á D. Pablo Portugal y Cevallos, D.</t>
  </si>
  <si>
    <t>Gambara</t>
  </si>
  <si>
    <t>tropas ligeras en el departamento del Mello, que se nombrará Batallón Real de cazadores Brescianos. Mr. Gambara ha sido nombrado Comandante de este batallón con el grado de Coronel. Por otra decreto de S. A. S. de ó de Octubre se manda formar las guardias nacionales en todos los pueblos del</t>
  </si>
  <si>
    <t>Gamio, Ignacio</t>
  </si>
  <si>
    <t>Ignacio Gamio</t>
  </si>
  <si>
    <t>á B. Pablo Abellafuerte y Querejazu , D. Luis Serrano , D. Juan Cuneros , D; josef María Verdugo , D. Ignacio Gamio, y D. Manuel López; y empleos de Alférez á D. f rancisco Horcasitas, D. Pedro Martínez Unamuzaga, Don' Pedro Cañedo, D. Manuel GonzálezÁramburu, D. Juan Manuel Lozano, D. Ventura</t>
  </si>
  <si>
    <t>Gamuza, Joaquín</t>
  </si>
  <si>
    <t>Joaquín Gamuza</t>
  </si>
  <si>
    <t>ora del Puy , extramuros de la ciudad de Estella, Diócesi de Pamplona, vacante por fallecimiento de D. Joaquín Gamuza, á D. Josef Antonio de Ventura, Presbítero : para el Beneficio simple del lugar de Villoslada, Diócesi de Segovia, vacante por reniincia de D. Teiesforo Madrazo, á D. Santiago Rib</t>
  </si>
  <si>
    <t>Ganan, General</t>
  </si>
  <si>
    <t>General Ganan</t>
  </si>
  <si>
    <t>/ Sirasbtirgo 4 de Octubre. .. ¡i . j El 29 y 30 de Setiembre paso revista S. M. á la división del General Ganan, que está al otro lado del Rhin, y visitó las inmediaciones de Kehl. Una patrulla Francesa que se (había avanzado hacia los desfiladeros de la Selva-Negra atrestó un destacamento</t>
  </si>
  <si>
    <t>Gandía, Tomás</t>
  </si>
  <si>
    <t>Tomás Gandía</t>
  </si>
  <si>
    <t>y D. Juan Veiazquez , los tres últimos de granaderos; á Subtenientes de granaderos los de fusileros D. Tomas Gandía, D. Francisco Martínez y D. Domingo Postigo; y á Subtenientes á los Sargentos primeros D. Josef Saqui y D. Manuel Alvarez, de granaderos. Finalmente, en el Regimiento de Milicias</t>
  </si>
  <si>
    <t>Gantheaume, Almirante</t>
  </si>
  <si>
    <t>Almirante Gantheaume</t>
  </si>
  <si>
    <t>IA. l Prest 2 de Abril. El 27 del pasado salió á la rada la esquadra de este puerto, mandada por el Almirante Gantheaume, para exercítar su tripulación en la maniobra. Desde luego dio caza á la esquadra enemiga , y después ancló en la rada de-Bertheaume. No tardó el enemigo á presentarse, al frente</t>
  </si>
  <si>
    <t>s mas ciertas. Brest 2 j de Agosto. Hasta ántes de ayer no pudo aparejar la esquadra mandada por el Almirante Gantheaume de la rada de Brest, para ir á tomar una posición militar en la de Bertbeaume___A las 6 de la mañana 21 navios de línea, entre los quales hay 3 de tres puentes, estaban á la vela, y ánt</t>
  </si>
  <si>
    <t>Ganzalezde, Andrés</t>
  </si>
  <si>
    <t>Andrés Ganzalezde</t>
  </si>
  <si>
    <t>e fusileros 0. Matías Soideviella y Yanguas y X- Subteniente de bandereen el de Bujalance aL Cadete D. Andrés Ganzalezde. Canales.. . ; . En el Regimiento de Dragones del Rey se ha servido; S. M. conceder empleo de Alférez, á D. Fermín de March, Cadete del de Cazadores voluntarios de España t en el</t>
  </si>
  <si>
    <t>Garavito, Francisco</t>
  </si>
  <si>
    <t>Francisco Garavito</t>
  </si>
  <si>
    <t>. M. se ha servido nombrar^Gobernador del castillo de S. Lorenzo del Puntal de la. plaza de Cádiz á D. Francisco Garavito, Capitán del Regimiento de infantería de Cantabria. S. M. se ha servido nombrar para las Alcaldías mayores de la ciudad de Vicjue y villa de Villafranca del Panadés, de primera cl</t>
  </si>
  <si>
    <t>Garayo, Manuel</t>
  </si>
  <si>
    <t>Manuel Garayo</t>
  </si>
  <si>
    <t>o de Coronel, D. Agustín de Pinedo: á Capitán al Ayudante D. Manuel Alvarez: á Ayudante al Teniente D. Manuel Garayo: á Tenientes á los Alféreces D. Pedro N Rasco García y D. Cristóbal Minguez: á Alféreces á los Portaguiones D. Francisco Saez y D. Marcos de Sobremonte; y á Portaguiones al Cadete</t>
  </si>
  <si>
    <t>Garceran y García, Francisco</t>
  </si>
  <si>
    <t>Francisco Garceran y García</t>
  </si>
  <si>
    <t>, idem, de las substancias metálicas: D. Serafín García, Cursante de Medicina, de la Mineralogía; y D. Francisco Garceran y García, idem, de la descomposición del ayre atmosférico en el pulmón, y que el color de la sangre y calor animal se deben al oxígeno. Acreditaron después en sus respuestas el mayor lucim</t>
  </si>
  <si>
    <t>Garces de Marcilla, Rafael</t>
  </si>
  <si>
    <t>Rafael Garces de Marcilla</t>
  </si>
  <si>
    <t>E1 Corregidor de la villa de Molina de Aragón D. Ignacio Yañez Ribadeneyra y D. Rafael Garces de Marcilla, vecino de la misma, promoviéron en el año de 1803 la erección de una Junta de Caridad, con el fin de atender al alivio de los enfermos y convalecientes pobres, y de proporcionar una ocup</t>
  </si>
  <si>
    <t>Garces y Pérez, Ignacio</t>
  </si>
  <si>
    <t>Ignacio Garces y Pérez</t>
  </si>
  <si>
    <t>anasio Exea; y para otra de la Catedral de Roda, vacante por fallecimiento de D. Miguel Andillon* á D. Ignacio Garces y Perez. S. M. se, ha servido conferir Compañías en los Regimientos de infantería de la Reyna y Guadalaxara á los Ayudantes, graduados de Capitán, Don Juan Vázquez y D. Josef Puertolas; y</t>
  </si>
  <si>
    <t>Garces, Rafael</t>
  </si>
  <si>
    <t>Rafael Garces</t>
  </si>
  <si>
    <t>ta hasta 59 de ellos; y colocándolos en un grande edificio fuera del pueblo , que tranqueó su dueño D. Rafael Garces, les proporcionó toda la hospitalidad posible; nombró ai efecto, por Director de este nuevo establecimiento, á uno de sus individuos, que cuida también de facilitarles el pasto es</t>
  </si>
  <si>
    <t>Garci-Pérez de Vargas, Francisco</t>
  </si>
  <si>
    <t>Francisco Garci-Pérez de Vargas</t>
  </si>
  <si>
    <t>ntes. ESPAÑA. Granada *7 de Abril. El Instituto de bellas letras de esta ciudad, dirigido por el P. Don Francisco Garci-Perez de Vargas, Lector que ha sido de sagrada Teología de la Congregación de S. Basilio, presentó á süs alumnos, así pensionistas como externos, en la tarde del 24 del corriente, á ser externa^</t>
  </si>
  <si>
    <t>García Aguirre, Luis</t>
  </si>
  <si>
    <t>Luis García Aguirre</t>
  </si>
  <si>
    <t>f Ignacio García Iilueca, y á Subtenientes de compañía; y de bandera :á D. Josef Francisco de Nava, D. Luis García Aguirre, Don. Ventura Fernandez Peredo.y D. Josef María Barrueco, vecinos de la den marcación del mismo Regimiento. En el Batallón de Milicias disciplinadas de Chíquimula, en el Reyno de</t>
  </si>
  <si>
    <t>García Arango, Manuel</t>
  </si>
  <si>
    <t>Manuel García Arango</t>
  </si>
  <si>
    <t>imiento provincial de dragones. de Quenetaro; se ha servido el: Rey; promover á Capitán al Teniente D. Manuel García Arango; á Teniente al Alférez. D.. Josef Ignacio Ormaechea; á Alféreces á los Portaguiones D. Manuel Coterillo y D. Antonio Isla:, y á Portaguiones á D. Josef Revilla y D. Josef María Tr</t>
  </si>
  <si>
    <t>García Asenjo, Pedro</t>
  </si>
  <si>
    <t>Pedro García Asenjo</t>
  </si>
  <si>
    <t>ión de la referida Iglesia de Córdoba, vacante por fallecimiento de D. Juan Antonio Trespalacios, á D. Pedro García Asenjo, Medio Racionero de ella:para el Beneficio de la villa del Barco, en la Diócesi de Avila, vacante por muerte de D. Gil Rodríguez, á D. Salvador García, Cura del lugar de Santiago</t>
  </si>
  <si>
    <t>María de Lugo, Canónigo de ella; y para una Media-Ración de la de Córdoba, vacante por promoción de Don Pedro García Asenjo á Ración entera de ella, á D. Juan Antonio de Castro, Canónigo de la Colegial de S. Hipólito de aquella ciudad. El Rey se ha servido conferir el empleo de Comandante del primer Ba</t>
  </si>
  <si>
    <t>García Bernarda, Francisco</t>
  </si>
  <si>
    <t>Francisco García Bernarda</t>
  </si>
  <si>
    <t>iales ha promovido el Rey á Capitanes en ios de León, Córdoba., Guadix’y Pontevedra á los Tenientes D. Francisco García Bernarda, D. Manitel de Gracia, D» Francisco Arráez y D. Manuel Pazr á Tenientes de granaderos en los de Sevilla y Ecija á los de fusileros D. Josef Vejarano y D. Antonio Pareja: á Tenient</t>
  </si>
  <si>
    <t>García Centellas, Joaquín</t>
  </si>
  <si>
    <t>Joaquín García Centellas</t>
  </si>
  <si>
    <t>to de infantería del Príncipe se ha servido el Rey promover á Teniente al Subteniente de granaderos D. Joaquín García Centellas ; y á Subtenientes de bandera en los de España y Jaén á ios Cadetes de los mismos Cuerpos D. Josef Ducascal y D. Josef Mateos. S. M. se ha servido conceder Tenencia en el Regimien</t>
  </si>
  <si>
    <t>García de la Guardia, Antonio</t>
  </si>
  <si>
    <t>Antonio García de la Guardia</t>
  </si>
  <si>
    <t>de Contador de Diezmos del Arzobispado de Sta. Fe, vacante por fallecimiento de D. Miguel Romero, á D. Antonio García de la Guardia, Oficial segundo de la Secretaría del Vireynato de aquel Reyno. £1 Conde de Santa Clara, Capitán General de Cataluña, en oficio de 19 de este mes, ha dado cuenta al Sr. Generalísi</t>
  </si>
  <si>
    <t>García de la Madrid, Miguel</t>
  </si>
  <si>
    <t>Miguel García de la Madrid</t>
  </si>
  <si>
    <t>Don Mariano Alonso, del Consejo de S. M., su Alcalde de Casa y Corte, y escribanía de provincia de D. Miguel García de la Madrid, dentro del término de 15 días contados desde el 8 del corriente. Por el presente se llama, cita y emplaza á D. Francisco Mílza, ó sus herederos, para que en el término de 30 dias</t>
  </si>
  <si>
    <t>D. Mariano Alonso, del Consejo .de S. M., su Alcalde de Casa y Corte, y escribania. de provincia de Don Miguel García de la Madrid, dentro del término de 30 dias contados desde «4 3 del corriente. A voluntad de su óucño sé vende una casa sita en el pretil de Palacio , números ry 3, maní. 438. Qiiienujuierá tr</t>
  </si>
  <si>
    <t>García de los Ríos, Antonio</t>
  </si>
  <si>
    <t>Antonio García de los Ríos</t>
  </si>
  <si>
    <t>de infantería de América al Capitán de granaderos del de Extremadura, graduado de Teniente Coronel ,D. Antonio García de los Ríos; y á Subteniente de bandera del de Sevilla al Sargento primero D. Juan del Castillo. La Junta de gobierno del Banco nacional de S. Carlos, en virtud del cap. 19 de la Real cédula</t>
  </si>
  <si>
    <t>García de Meneses, Ramón</t>
  </si>
  <si>
    <t>Ramón García de Meneses</t>
  </si>
  <si>
    <t>se hicieren, y las personas que quieran executario acudirán á la escribanía del número de Cádiz de D. Ramón García de Meneses. En virtud de providencia del Sr. D. Rodrigo Riquelme, Oidor de la Audiencia de Se villa, Juez de lo civil de la ciudad de Cádiz, y Subdelegado nato para entender en las enagenaci</t>
  </si>
  <si>
    <t>García de Tejada, Juan Manuel</t>
  </si>
  <si>
    <t>Juan Manuel García de Tejada</t>
  </si>
  <si>
    <t>nce y sobrinos: en Cartagena D. Henrique Fauson y compañía: en Alicante D. L. Jrouchaud: en Granada D. Juan Manuel García de Tejada y compañía: en Córdoba D. Ventura AuJe: en Sevilla D. Domingo y Justo Torrijos; y en Cádiz D. Juan Ingrand. j* Joan. Laurentli Berti Fr. Erem. Aug., libror. 37 de Thcologicis discip</t>
  </si>
  <si>
    <t>brinos: en Cartagena D. Hchrique Fauson y . compa-, nía: en Alicante D. L.; Jrouchaud; en, G ranada-D. Juan Manuel García de Tejada y compañía; en,Córdoba D. Ventura Aule: en Sevilla D. Domingo y Justo Torrijos; y en Cádiz en la imprenta y librería de Pajáres; agregando ahora en Pamplona; al Administrador genera</t>
  </si>
  <si>
    <t>García de Vegas, Julián</t>
  </si>
  <si>
    <t>Julián García de Vegas</t>
  </si>
  <si>
    <t>io dé la villa del Tiemblo^ Diócesi de Avila , vacante por muerte dé D. FraociscoEscribanoMolano, á D. Julián García de Vegas, Capellán curado del lugar de Paxaréjos, en la misma Diócesi, con obligación de alternar con el Párroco én la inisa conventual, y de ayudarle en la administración de sacramentos:</t>
  </si>
  <si>
    <t>García del Riego, Vicente</t>
  </si>
  <si>
    <t>Vicente García del Riego</t>
  </si>
  <si>
    <t>ficio servidero del lugar de Aspariegos, en la de Zamora, vacante por muerte de D. Jacobo Ibañez, á D. Vicente García del Riego, con la obligación que tiene anexa de ayudar al Párroco en lo que no sea la administración de Sacramentos; y para el Beneficio de Candeleda, en la Avila , vacante por fallecimient</t>
  </si>
  <si>
    <t>García Diego, Andrés María</t>
  </si>
  <si>
    <t>Andrés María García Diego</t>
  </si>
  <si>
    <t>o, Ronda, Valladolid, Segovia y Betanzos- á D. Josef María Crúzate, D.. Joaquín María; del Manzano, D. Andrés María García Diego, D. Antonio Cidron, D. Fé-; lix Blanco Vitoria j D. Juan Pió de Quijana y D. Josef María de Senra. El Rey se lia servido .conferir al Ténience Coronel D. Bartolomé Mon—</t>
  </si>
  <si>
    <t>García Durango, Manuel Antonio</t>
  </si>
  <si>
    <t>Manuel Antonio García Durango</t>
  </si>
  <si>
    <t>, y Don Luis Medranó; y las Subtenencias de bandera de los citado de CiudadReal , Segovia y Xerez á D. Manuel Antonio García Durango, D. Joaquín Vicente Nadal, y D. Antonio Arquellada. Habiendo tenido S. M. por conveniente trasladar á Vaíiadolid la Intendencia de Exército de Castilla la Vieja, mandando que la s</t>
  </si>
  <si>
    <t>García Fernández, Domingo</t>
  </si>
  <si>
    <t>Domingo García Fernández</t>
  </si>
  <si>
    <t>o de prueba para el ácido muriático oxigenado, añil y óxido de manganeso, traducida del francés por D. Domingo García Fernandez: en 8.° marquilla, á p rs. en pasta. Se hallarán en el despacho de la Imprenta Real. Por providencia del Sr. D. Diego Gil Fernandez, del Consejo de S. M., Alcalde en su Real Casa</t>
  </si>
  <si>
    <t>. Elementos del arte de teñir, escritos en francés por Mr. Beríhollet, traducidos con adiciones por D. Domingo García Fernandez: 2 tomos en 8.° marquilla, á 32 rs. en pasta. Resumen^del cultivo de las moreras, y de la cria de gusanos de seda, por Don Cayetano García Navarro: en 8.°, á 2 rs. en rústica. Art</t>
  </si>
  <si>
    <t>e orden del Gobierno hizo de ellas y de las del Rosal de la villa de Beteta el año prór xímo pasado D. Domingo García Fernandez: un tomo en 4/= Fin funesto de ia infidelidad, novela moral, traducida del ingles por E. B. de la B. V. de B.: un tomo en.8.° Se hallarán en la librería y puesto de Cerro, calle d</t>
  </si>
  <si>
    <t>García Gallardo, Manuel</t>
  </si>
  <si>
    <t>Manuel García Gallardo</t>
  </si>
  <si>
    <t>e Alcalde mayor Teniente general del Señorío de Vizcaya r con residencia en la villa de Güernica. á D. Manuel García Gallardo.jEn América. En el Regimiento de infantería de México se ha servido -el Reí promoverá Capitán al Ayudante D. Antonio Domínguez; á Ayudante* al Teniente D. Francisco Espinosa; á Te</t>
  </si>
  <si>
    <t>é Indias. / i En la GaZetá de x:9 del corriente y pág. 038, lín. 19, en que equivocadamente se puso D. Manuel García Gallardo, léase D. Tiburcio García Gallardo. ' Quien ;supiete del paradero de 7 vales Reales, creación ,de i.° de Setiembre, renovados á la orden de D. Agustip Patino;, con los nújns., 395</t>
  </si>
  <si>
    <t>García Garayo, Antonio</t>
  </si>
  <si>
    <t>Antonio García Garayo</t>
  </si>
  <si>
    <t>y Cámara de Indias , correspondiente á la negociación de Nueva-España, vacante por fallecimiento de D. Antonio García Garayo, á D. Josef Alday, Oficial quinto ; habiéndose servido conceder los ascensos á los demas Oficiales por el orden de su antigüedad , y resuelto que se reúnan las dos medias plazas ú</t>
  </si>
  <si>
    <t>García Lobera, Juan</t>
  </si>
  <si>
    <t>Juan García Lobera</t>
  </si>
  <si>
    <t>Bartolomé Aguirre: Capítan de carabineros del Regimiento de caballería de Milicias urbanas de loa á D. Juan García Lobera; Capitán de la sexta compañía de dicho Cuerpo á D. Toribio Benavides; Portaestandartes en el mismo Cuerpo á D. Luis Uri.be y D= Gregorio Martin Velasco: Capitanes en el Regimiento</t>
  </si>
  <si>
    <t>García Malo, Ignacio</t>
  </si>
  <si>
    <t>Ignacio García Malo</t>
  </si>
  <si>
    <t>ad : escrita en Francés á la mitad del año de 1803 por Pedro Blanchard: traducida al Castellano por D. Ignacio García Malo. Constará de 7 tomos en 1 2.0; el 6.° y último se están imprimiendo, y se hallará el 5.0 con los anteriores á 8 rs. cada uno á la rústica en las librerías de Castillo, frente á la</t>
  </si>
  <si>
    <t>edad: escrita en francés á la mitad del año de 1803 por Pedro Blanchar: traducida al castellano por D. Ignacio García Malo: 7 tomos en 12.* Está concluyéndose la impresión del tomo último, y se hallará el 6,° con los anteriores , á 8 rs. cada uno en rústica, en las librerías de Castillo, frente á las</t>
  </si>
  <si>
    <t>d, escrita en francés, á la mitad del año de 1803, por Pedro Blanchard, traducida al castellano por D. Ignacio García Malo: 7 tomos en 12.0 con privilegio. Los diversos compendios de vidas, que comprehende esta obra, forman un quadro no ménos vario que instructivo: puede considerarse como una escuela</t>
  </si>
  <si>
    <t>García Meneses, Ramón</t>
  </si>
  <si>
    <t>Ramón García Meneses</t>
  </si>
  <si>
    <t>ones de fincas de obras pías, que existen en la ciudad de Cádiz, y escribanía del número de ella de'D. Ramón García Meneses, se ha mandado que se saquen de nuevo á pública subasta, por término de 15 días, una casa de 3 cuerpos, tasada en venta en 150,028 rs. y en renta de 4500 á 4600. Otras varias casa</t>
  </si>
  <si>
    <t>García Meras, Ramón</t>
  </si>
  <si>
    <t>Ramón García Meras</t>
  </si>
  <si>
    <t>do por S. M.; y por votación se adjudicó el primer premio de una medalla de plata de quatro onzas á D. Ramón García Meras, y el segundo de otra medalla de igual peso en los mismos términos á D. fAiir tonio Mercar.. A este acto público asistió la Real Sociedad representada por sus Oficiales, los Secre</t>
  </si>
  <si>
    <t>García Muñiz, Antonio</t>
  </si>
  <si>
    <t>Antonio García Muñiz</t>
  </si>
  <si>
    <t>ariano Oviedo, D. Estéban Pacheco , D. Francisco Noriega, D. Antonio de la Borda, D. Josef Colombo, D. Antonio García Muñiz, D. Fernando Belon y D.Juan Canabal; Ayudantías á D. Andrés Polvorinos y Don Hilario del Rivero ; Tenencia de carabineros á D. BernaTdino Yepes; y sencillas á D* Manuel,Gómez, D.</t>
  </si>
  <si>
    <t>García Navarro, Cayetano</t>
  </si>
  <si>
    <t>Cayetano García Navarro</t>
  </si>
  <si>
    <t>quilla, á 32 rs. en pasta. Resumen^del cultivo de las moreras, y de la cria de gusanos de seda, por Don Cayetano García Navarro: en 8.°, á 2 rs. en rústica. Arte de la cria de gusanos de seda, por D. Juan Lañes y DuVal: un tomo en 8.°, á 9 rs. en pasta. Se hallarán en él despacho de la Imprenta Real. En vi</t>
  </si>
  <si>
    <t>García Pérez, Juan</t>
  </si>
  <si>
    <t>Juan García Pérez</t>
  </si>
  <si>
    <t>es de la villa de Santistéban, en la de Jaén, vacante por muerte de D.Aléxo ,Ramírez de Arellano, á D. Juan García Perez: para el de la Parroquial de Santa María la Mayor de la villa de Ledesma, en la de,Salamanca, yacante.por: fallecimiento de D, Manuel Hernández Vicente,á D. Demetrio Pedro Díaz: p</t>
  </si>
  <si>
    <t>García Plaza, Isidoro</t>
  </si>
  <si>
    <t>Isidoro García Plaza</t>
  </si>
  <si>
    <t>. Sres. viuda de Escolar , Noriega é hijo. En Granada...... D. Francisco Unzaga. ' 1 EnGüadalaxara. D. Isidoro García Plaza. f ’ ' En Jaén... ........... D. Pedro y D. Juán Esponera. En'Leon............... D. Pedro Gil de Tejada. ' En Málaga.......... D. Jtfafl Ximenó. ' Eñ Mahon........... Doña Catali</t>
  </si>
  <si>
    <t>García Puerta, Luis</t>
  </si>
  <si>
    <t>Luis García Puerta</t>
  </si>
  <si>
    <t>la Audiencia de Caracas.' ' /' . i rs"' 7 7 / ; # 1 ' EL í)¡rectod del Ítéal Hospicio de está‘Corte D. Luis García Puerta, asegurado d^l beneficio que resultaba á la humanidad con la vacunación, tan recomendada por el paternal amor de nuestro Soberano, dispuso que se Yapunasem-ii^¿individuos, según s</t>
  </si>
  <si>
    <t>García Puerta, Simón</t>
  </si>
  <si>
    <t>Simón García Puerta</t>
  </si>
  <si>
    <t>rs. Y otra, calle de Infantes, en 138S) rs. Quien quisiere hacer postura á ellas, acuda ante el Sr. D, Simón García Puerta, Intendente general de dicho Real Sitio, por la escribanía principal de éi, en el término de 30 dias. Por el Sr. D. Torquato Antonio Collado, del Consejo de S. M., Teniente Correg</t>
  </si>
  <si>
    <t>García Vinuesa, Gregorio</t>
  </si>
  <si>
    <t>Gregorio García Vinuesa</t>
  </si>
  <si>
    <t>lbao D. Josef Antonio de Lejarza lo vales Reales de' 150 pesos de Ja creación de Enero, endosados'á Don Gregorio García Vinuesa, con los números 223800, 227912, 227990, 228818,' 23 1 *44, J333Ó8 , 240921,295982,304508,31 27295 y Habiéndose extraviado, se hace .saber al público , para que qualquiera qué los</t>
  </si>
  <si>
    <t>García Ximenez, Ramón</t>
  </si>
  <si>
    <t>Ramón García Ximenez</t>
  </si>
  <si>
    <t>narla, en la audiencia del -Sr. Teniente D. Torquato Antonio: Collado; ante el Escribano del número D, Ramón García Ximenez., Por la audiencia del Sr. D. TorquatoAntonio, Collado, Teniente Corregidor de esta villa,, y escribanía del número de D. Gervasio Fernandez Izquierdo, se estan subastando t^es ca</t>
  </si>
  <si>
    <t>García, Agustín</t>
  </si>
  <si>
    <t>Agustín García</t>
  </si>
  <si>
    <t>o J Agustín García....... Hijo de Antonio, nat. de la dudad de Lorca:)</t>
  </si>
  <si>
    <t>García, Andrés</t>
  </si>
  <si>
    <t>Andrés García</t>
  </si>
  <si>
    <t>da, que lo era de la Compañía fiza de Rosas, y D. Josef Berrio, y al Sargento primero de granaderos D. Andrés García. En el Estado militar de este año se omitió expresar que el Teniente</t>
  </si>
  <si>
    <t>García, Antonio</t>
  </si>
  <si>
    <t>Antonio García</t>
  </si>
  <si>
    <t>entes de fusileros á los Subtenientes D. Antonio de Fabrega, D. Josef de Fromista, D. Luis Paredes, D. Antonio García y D. Francisco Ximénez; á Subtenientes de fusileros al Sargento primeto D. Sebastian Beasini , y á lós Cadetes D. Manuel Rodríguez y D. Justo Paredes; y de bandera á los Cadetes D. Jo</t>
  </si>
  <si>
    <t>Id. id. Antonio García.... Hijo de Miguel y de Rosa García, na­</t>
  </si>
  <si>
    <t>Dios Juarros, á D. Isidro Sicilia: para la Chantría á D. Antonio Carbonel: para la Maestrescolía á D. Antonio García:para la Tesorería á D. Blas Josef Clá; y para la Canongía que este dexa á D. Bernardo Martinez, Cura del Sagrario de aquella Santa Iglesia: para igual Dignidad de Arcediano de la</t>
  </si>
  <si>
    <t>García, Basilio Martín</t>
  </si>
  <si>
    <t>Basilio Martín García</t>
  </si>
  <si>
    <t>ara el MedioPréstamo de la villa dé Chiloeches, en el Arzobispado de Toledo , vacante por muerte de D. Basilio Martin García,?á D. Diego María López Uralde, Músico en la cuerda de baxo del Real Convento de la Encarnación: para el Priorato rural de Villapardiüo y el Medio-Préstamo del lugar de las Cuevas</t>
  </si>
  <si>
    <t>García, Bernardo</t>
  </si>
  <si>
    <t>Bernardo García</t>
  </si>
  <si>
    <t>nas de infantería de Calca á D. Josef García, L). Vicente Rosas, D. Carlos Vargas, D. Tomas Zuñiga, D. Bernardo García y D. Eugenio Costilla: Subtenientes en dicho Cuerpo á Don Francisco Vidad , D. Manuel Concha, D. Josef Antonio la Cueva, Don Agustín Valer, D. Manuel Perez, D. Francisco Vargas, D. Na</t>
  </si>
  <si>
    <t>García, Diego</t>
  </si>
  <si>
    <t>Diego García</t>
  </si>
  <si>
    <t>onceder en los Regimientos de Infantería de la Reyna y Corona Subtenencias á los Sargentos primeros D. Diego García y D. Gregorio Alcaraz. En el Real Cuerpo de Artillería se ha servido el Rey promover á Subtenientes, en virtud de su aplicación y adelantamientos, á los caballeros Cadetes de la Compa</t>
  </si>
  <si>
    <t>García, Esteban</t>
  </si>
  <si>
    <t>Esteban García</t>
  </si>
  <si>
    <t>ación de todas qualidades.de versos; D. Manuel Segovia, Don Andrés Rodríguez, D. Manuel de Fuentes, D. Esteban García, D. Josef María Sánchez de la Campa, D. Fernando Ribera, D. Vicente Garin,Don Juan Nepomuceno Montero y D. Francisco Roco en traducción de autores y reglas de sintaxis; D. Joaquin</t>
  </si>
  <si>
    <t>García, Francisco</t>
  </si>
  <si>
    <t>Francisco García</t>
  </si>
  <si>
    <t>de Capitán, D. Ventura Dueñas; y en los de Zamora y Ordenes Militares Tenencias á los Subtenientes D. Francisco García y D. Agustín Otermin. El Rey se ha servido nombrar Subinspector Comandante de Artillería del Departamento de Cartagena al Brigadier D. Francisco de Vargas, Gefe de Escuela del de Sevi</t>
  </si>
  <si>
    <t>Ayudantía mayor á D. Domingo Apodaca; Tenencia de granaderos á Di Josef de Noya ; y de-fusileros á D. Francisco García deJPonce, D. Antonio Zainudio, D. Francisco de Lira, Don Josef Zarate y D. Manuel Nuñez; Subtenencia de granaderos á D. Fermín Albares; de fusileros á IX Dámaso Mesa, D. Marcelo Sana</t>
  </si>
  <si>
    <t>Id. id. Francisco García. , Hijo de Faustino y de María Yaguez,</t>
  </si>
  <si>
    <t>García, Miguel</t>
  </si>
  <si>
    <t>Miguel García</t>
  </si>
  <si>
    <t>de quatro tierras sitas en término del lugar de Vallecas, pertenecientes i la memoria dei Bachiller D. Miguel García, de caber 15 fanegas y 8 celemines, tasadas en 14,900 rs., que se verificó en 25® en vales Reales, se ha aprobado por el Sr. Intendente, y señalado el término de 30 dias para la m</t>
  </si>
  <si>
    <t>: D. Gerónimo Obregon id. Teniente de Brulote. D. Jacobo Alemán, herido. Contramaestre de Esquadra. D. Miguel García, muerto. Guardias Marinas. DvGerónimo Salas , muerto: D. Josef María Pardo id.: D. Josef Maymó, herido : D. Manuel Briones id.: D. Pedro Saez;Baranda id.: D. Aniceto Diaz Pimienta</t>
  </si>
  <si>
    <t>García, Pedro</t>
  </si>
  <si>
    <t>Pedro García</t>
  </si>
  <si>
    <t>Id. Ayud. Pedro García........ Hijo de Pedro y de Josefa Fernandez,</t>
  </si>
  <si>
    <t>x5 •&lt;^ Pedro García. .... Hijo de Gregorio , natural de Greñós, Cor--&gt;</t>
  </si>
  <si>
    <t>García, Ramón</t>
  </si>
  <si>
    <t>Ramón García</t>
  </si>
  <si>
    <t>; y en el de Valencia al Cadete D. Ramón de la Llave, y al Sargento primero del expresado de Zamora D. Ramón García. El Rey se ha servido conceder Tenencias en los Regimientos de infantería de Granada y Voluntarios de la Corona á los Subtenientes D. Santiago Escudero y D. Pedro Pérez ; y Subten</t>
  </si>
  <si>
    <t>García, Salvador</t>
  </si>
  <si>
    <t>Salvador García</t>
  </si>
  <si>
    <t>Beneficio de la villa del Barco, en la Diócesi de Avila, vacante por muerte de D. Gil Rodríguez, á D. Salvador García, Cura del lugar de Santiago deAravalle, en la misma Diócesi, con la obligación que tiene anexa dé residencia personal y asistencia al confesonario; y para un Beneficio de la Parro</t>
  </si>
  <si>
    <t>García, Santiago</t>
  </si>
  <si>
    <t>Santiago García</t>
  </si>
  <si>
    <t>subscripciones para todas partes. Instituciones sobre la crianza física de los niños expósitos, por D. Santiago García, Académico de número de la Real Academia Médica de Madrid, de Ja de Medicina práctica de Barcelona, Médico, de la Real Familia, de la Real Inclusa de esta Corte &amp;c. Esta obra orig</t>
  </si>
  <si>
    <t>o , Di Antonio María Vitoria Hernaez, D. Mamerto Vázquez, D. Antonio Castro; D.' Crisanto Viguera y D. Santiago García. Respondiéron tan acertadamente y tan á satisfacción del concurso literato, que los repetidos vivas y aclamaciones‘que se les tributaban manifestaban el gusto y complacencia con q</t>
  </si>
  <si>
    <t>Garcini, Ignacio</t>
  </si>
  <si>
    <t>Ignacio Garcini</t>
  </si>
  <si>
    <t>ento primero del de Voluntarios de Estado D. Josef Ambros: en el de Murcia al Cadete del de Granada D. Ignacio Garcini; y en el de Voluntarios de la Corona al Cadete del Inmemorial del Rey D. Josef María Aguirre. En América. El Rey se ha servido conferir el empleo de Comandante del Cuerpo provinci</t>
  </si>
  <si>
    <t>Gardanne, General</t>
  </si>
  <si>
    <t>General Gardanne</t>
  </si>
  <si>
    <t>ballo al llano que está á la izquierda de la puerta de Mantua, donde pasó revista á la división del General Gardanne. Acabada la revista á las 9 y media , entró en sus coches de viage, y tomó el camino de Legnago. Hubo muchas aclamaciones. Mantua 2 o de Junio El 17, á las 9 de la noche, entró el</t>
  </si>
  <si>
    <t>por la artillería del castillo viejo, á las que siguió luego toda la división entera mandada por el General Gardanne. El enemigo en gran número defendía el paso, oponiendo grande resistencia ; pero fue desbaratado y perseguido hasta las alturas. Por todas partes llegaban refuerzos que enviaba el</t>
  </si>
  <si>
    <t>migo en toda la línea, empezando la acción: la división Molitor, qué formaba1 lá izquierda: la del .General Gardanne embistió por el centro, y la del General Duhesme por la derecha. Todo se hizo bien , y se tomó á Caldiero á la voz¿ de arva el Emperador jpersiguiendo luego al enemigo hasta las alt</t>
  </si>
  <si>
    <t>movimientos, mandé pasar por el puente del castillo viejo de Veronaá la indivisión, maridada por el General Gardanne, y la 4.a, mandada por el General Duhesme. Estas tropas han acometido vigorosamente las alturas de Val-Pantene, y rodeado el castillo de S. Felice. Aprovechándome pues de la venta</t>
  </si>
  <si>
    <t>Gardner, Almirante</t>
  </si>
  <si>
    <t>Almirante Gardner</t>
  </si>
  <si>
    <t>sostenemos en el centro de la India en defensa de nuestras posesiones* ■Del ji de Mayo, Escribe el Almirante Gardner, con. fecha de 22 de Mayo, que informado por la fragata la Loire, que ei 11 se habia divisado xma esquadra Francesa de 5 navios de línea y de 3 fragatas á los 43 grados y 4 minuto</t>
  </si>
  <si>
    <t>Gardner, Capitán</t>
  </si>
  <si>
    <t>Capitán Gardner</t>
  </si>
  <si>
    <t>kar, y hecho varias insinuaciones á gran parte de los Príncipes de la India. Han caído en poder del Capitán Gardner, residenteen la Corte del Rajah de-Jeypour , algunas cartas suyas: y en -vista de su conte ni do,casi no puede dudarse de que Scindiah haga armamentos, para dar mayor peso* á* su</t>
  </si>
  <si>
    <t>Gardner, Lord</t>
  </si>
  <si>
    <t>Lord Gardner</t>
  </si>
  <si>
    <t>se teme por la Irlanda , ó por las Islas Occidentales: se dice que Sir John Orde se ha juntado con Lord Gardner. En este laberinto de incertidumbres la nación teme las conseqüencias de la lucha que tenemos que sostener contra el enemigo mas emprendedor de quantos hemos combatido. Se cree ge</t>
  </si>
  <si>
    <t>han sacado á remolque del surgidero de Basse-Terre.” Se han recibido en el Almirantazgo pliegos de Lord Gardner; la esquadra que cruza delante de Brest está en buen estado. Igualmente se han recibido noticias del Almirante Keith. El Almirantazgo ha publicado el aviso siguiente : ,, Lord Nel</t>
  </si>
  <si>
    <t>s al mando que tiene en el Mediterráneo, y que se; extenderá por ahora hasta la bahía de Cádiz., El Lord Gardner debe volver inmediatamente á Irlanda á bordo de la fragata Topacio,. para tomar de nueva el mando en aquellas aguas. Han llegado á PLimouth; de la esquadra de; la Mancha el Barfleur</t>
  </si>
  <si>
    <t>o tiene intención de aumentar eT número de fragatas empleadas en las costas de Irlanda al mando del Lord Gardner,-y extender mas los cruceros por aquellas partes. ' •• ' Es infundada la voz que ha corrido de haberse embarcado los- Duques de Yorck.y de Cambridge con la expedición. El 5 el Duq</t>
  </si>
  <si>
    <t>Garin, Vicente</t>
  </si>
  <si>
    <t>Vicente Garin</t>
  </si>
  <si>
    <t>z, D. Manuel de Fuentes, D. Esteban García, D. Josef María Sánchez de la Campa, D. Fernando Ribera, D. Vicente Garin,Don Juan Nepomuceno Montero y D. Francisco Roco en traducción de autores y reglas de sintaxis; D. Joaquin Sevilla, D. Antonio González Rendon, D. Joser María Montero, D. Ramón Rib</t>
  </si>
  <si>
    <t>Garios, Archiduque</t>
  </si>
  <si>
    <t>Archiduque Garios</t>
  </si>
  <si>
    <t>et de Latour, General de Artillería, yt Capitán general de la Moravia y de la Silesia._-S. A. I. el Archiduque Garios conservará el Ministerio de la Guerra ; y al Archiduque Josef se le ha encargado la direc-; cion de la Artillería y de los Ingenieros. ? Augsbnrgo ztf de Marzo. El Vice-Almirante</t>
  </si>
  <si>
    <t>Garlike</t>
  </si>
  <si>
    <t>e los Belts se efectúe con la mayor comodidad que sea posible. El nuevo Enviado de S. M. Británica, Mr. Garlike, cuya llegada á esta ciudad se habia anunciado como muy próxima, no vendrá tan pronto como creíamos.__ El hermano del Barón de Bender, actual Encargado de Negocios de la Corte de</t>
  </si>
  <si>
    <t>Garlos de Mecklemburgo, Príncipe</t>
  </si>
  <si>
    <t>Príncipe Garlos de Mecklemburgo</t>
  </si>
  <si>
    <t>tin---- El Principe Henrique ha sido nombrado Coronel, el Príncipe Guillermo Teniente Coronel, y ei Príncipe Garlos de Mecklemburgo, hermano de la Reyna, Mayor. Estando comiendo 4 dias hace el Duque de Brunswick y el Mariscal de Mollendorff en casa de Mr. de Hardemberg, recibió este Ministra un correo, cuyos p</t>
  </si>
  <si>
    <t>Garra, Santiago</t>
  </si>
  <si>
    <t>Santiago Garra</t>
  </si>
  <si>
    <t>os herederos de D. Domingo Pujaita, en 91,850 rs. en venta, y en ren¡ta 2800; y la otra, que habita D. Santiago Garra, en venta 58,690 rs. y en renta 1500. Y últimamente una casa en esta Corte, calle de Leganitos, mina. 6, manz. 521, tasada en venta en 89,561 rs. y 5420 en renta. Quien quisiere h</t>
  </si>
  <si>
    <t>Garrido López, Juan</t>
  </si>
  <si>
    <t>Juan Garrido López</t>
  </si>
  <si>
    <t>za de Oidor de la Audiencia de Aragón, vacante por fallecimiento de D. Josef Regales y Cregenzan, á D. Juan Garrido López, Alcalde del Crimen mas antiguo de ella; y para esta resulta á D. Serafín de Chavier. No permitiendo las circunstancias de la guerra actual que las embarcaciones que han de conduc</t>
  </si>
  <si>
    <t>Garrido, Vicente</t>
  </si>
  <si>
    <t>Vicente Garrido</t>
  </si>
  <si>
    <t>tería de Toledo é Irlanda á los Subtenientes D. Francisco Rodríguez jaldes, D- Policarpo de Frías y D. Vicente Garrido ; y Subtenencia de bandera en el de Zamora al Cadete del segundo batallón de Voluntarios de Aragón D. Josef Aranda. En los Regimientos de caballería ligera se ha servido S. M. con</t>
  </si>
  <si>
    <t>Garriga, Domingo</t>
  </si>
  <si>
    <t>Domingo Garriga</t>
  </si>
  <si>
    <t>uia de S. Pedro de las Puellas de la ciudad de Barcelona, por fallecimiento de D. Simón Formigo, á' D. Domingo Garriga. El Rey se ha; servido conferir en el Regimiento de infantería de Navarra Compañía al Ayudante, graduado de Capitán, D. Josef de Osma: en el de América Tenencia al Subteniente de</t>
  </si>
  <si>
    <t>Gartshore</t>
  </si>
  <si>
    <t>Doctor Caírne, Cirujano á bordo del navio Princesa Real de la esquadra del Almirante Cornwallis, al Dr. Gartshore, con fecha de 25 de Julio. ^Hemos estado cruzando durante tres semanas en el golfo de Vizcaya, aguar—</t>
  </si>
  <si>
    <t>Garzón, Francisco</t>
  </si>
  <si>
    <t>Francisco Garzón</t>
  </si>
  <si>
    <t>promover á Teniente veterano de granaderos al de fusileros D. Francisco Macias; y á esta resulta á D. Francisco Garzón, Sargento primero veterano del mismo Cuerpo: en el Batallón de milicias disciplinadas de Cuba y Bayamo á Teniente de granaderos al de fusileros D. Anselmo Campanoni; y esta result</t>
  </si>
  <si>
    <t>Gasasola, Pedro</t>
  </si>
  <si>
    <t>Pedro Gasasola</t>
  </si>
  <si>
    <t>conceder empleo de Alférez al Portaestandarte D. Tadeo Todo ; y en el de España Tenencia al Alférez D. Pedro Gasasola. ; En -los Regimientos Provinciales ha promovido el Rey á Capitán de •granaderos en el de Ciudad-Rodrigo al de fusileros D. Angel Alvarez de Sotomayor: á Tenientes de granaderos y</t>
  </si>
  <si>
    <t>Gascón, Gabriel</t>
  </si>
  <si>
    <t>Gabriel Gascón</t>
  </si>
  <si>
    <t>nto de infantería de Buenos-Ayres se ha servido el Rey promover á Capitán al Teniente de granaderos D. Gabriel Gascón ; á Ayudante al Teniente D. Hilarión de Quintana; á Teniente de granaderos al de fusileros D. Josef Gascón; á Tenientes á los Subtenientes de granaderos D. Sebastian Pizarro y D.</t>
  </si>
  <si>
    <t>Gascón, Santiago</t>
  </si>
  <si>
    <t>Santiago Gascón</t>
  </si>
  <si>
    <t>eales Guardias Walonas de España, para comunicarle cierto asunto de intereses, que están á cargo de D. Santiago Gascón, Visitador general de la Renta de Salinas de Pinilla, Provincia de la Mancha, y residente en el Bonillo, previniendo al interesado, que si en el tiempo de p meses no compareciese</t>
  </si>
  <si>
    <t>Gaudin</t>
  </si>
  <si>
    <t>el Príncipe Regente de Portugal ha en-r viado ai Emperador las insignias de la Orden de. Cristo; á Mr. Gaudin , Ministro de Hacienda; y á los'Mariscales Lannes, Mortier, Ney, Davoust; Bessieres,y á Mr. Segur, Maestro de Ceremonias.__ El Elector de Baviera ha enviado igualmente para él Emp</t>
  </si>
  <si>
    <t>Gaudini, Domingo</t>
  </si>
  <si>
    <t>Domingo Gaudini</t>
  </si>
  <si>
    <t>Id. id. Domingo Gaudini. Hijo de Josef y de Margarita Zara, na­</t>
  </si>
  <si>
    <t>Gayarre, Luis</t>
  </si>
  <si>
    <t>Luis Gayarre</t>
  </si>
  <si>
    <t>9H í'erriet, graduado de Teniente,-D. Francisco Rodríguez, D. Luis Daunoy, D. Diego Salazar, D. Luis Gayarre, D. Cirilo Demorant y D. Juan Bautista Dufosat, el primero, segundo y quinto de granaderos; á Subtenientes de granaderos los.de fusileros D. Francisco Perez y Muro, D. Matias Cerv</t>
  </si>
  <si>
    <t>Gazan, General</t>
  </si>
  <si>
    <t>General Gazan</t>
  </si>
  <si>
    <t>gloria. los.Regimientos.4.0 y 9 Y de infantería ligera, y los 100 y 103 de infantería de línea. El General Gazan ha mostrado mucho .valor y conducta*. Al: dia:siguiente los* Rusos Kan evacuado á Crems , y abandonadolas orillas del Danubio, dexándonos 1 ^00 prisioneros en el estado mas misera</t>
  </si>
  <si>
    <t>Geldres, Simón</t>
  </si>
  <si>
    <t>Simón Geldres</t>
  </si>
  <si>
    <t>eros á D. BernaTdino Yepes; y sencillas á D* Manuel,Gómez, D. Antonio Talavera , D.Juan del Rivero, Don Simón Geldres, D. Manuel Calvo, D. Antonio Arguero, D. Mariano Bustamante, D» Manuel García, D. Pedro Iraciburu, D. Juan Valenzuela, Don Silvestre de Arpe y D. Juan de Dios Fonce; empleo de Alf</t>
  </si>
  <si>
    <t>Genaro Chaple</t>
  </si>
  <si>
    <t>rso alusivo al objeto, que leyó el Secretario. Fuéron examinados en Aritmética D. Ignacio Fl'orez , D. Genaro Chaple , D. Jósef María Bermudez,D[. Francisco Goel, D. Ildefonso Pozo; y D. Joaquín Verástegui ; en Geometría1 elemental D. Josef Demblans: en la elemental y práctica D. Antonio Salazar</t>
  </si>
  <si>
    <t>Genaro de Villota, Manuel</t>
  </si>
  <si>
    <t>Manuel Genaro de Villota</t>
  </si>
  <si>
    <t>l Audiencia de Buenos-Ayres á ¿&gt;. Juan Bazo y Berri, y es una equivocación involuntaria, pues lo es D. Manuel Genaro de Villota. En el despacho de la Imprenta Real se vende la Guia de Forasteros, con el Estado Militar, en tafilete, en pasta y rustica, con los retratos de SS. MM.s También se hallará en el m</t>
  </si>
  <si>
    <t>Genaro Faustino Rincón</t>
  </si>
  <si>
    <t>Colección de poesías postumas de D. Manuel Rincón, que falleció al cumplir 19 años, y las da á luz D. Genaro Faustino Rincón su padre. Se hallarán en la librería de Fuentepebro, calle de las Carretas, y^en la de Castillo, frente á las gradas de S. Felipe, á 8 rs. en rústica y 10 en pasta, donde también</t>
  </si>
  <si>
    <t>Genaro Nasarre</t>
  </si>
  <si>
    <t>idem, de los fluidos elásticos aeriformes: en el segundo dia D. Sebastian Puertas, idem, de ácidos: D. Genaro Nasarre , idem, de los álkalis: D. Jacinto Araús, idem, de las substancias metálicas: D. Serafín García, Cursante de Medicina, de la Mineralogía; y D. Francisco Garceran y García, idem, d</t>
  </si>
  <si>
    <t>Genaro Torres</t>
  </si>
  <si>
    <t>, D. Miguel Roxas, D. Rafael Arias,D. Juan Bautista Urreta, D. Francisco Chavez, D. Manuel Almonte, D. Genaro Torres, D.Mariano Ponce, D. Juan Jaén, D. Fernando Rosel, D. Vicente Vivanco y D. Anselmo de Arce; j de Portaestandartes á D. Eusebio Goizueta, D. Manuel Muñiz, D. Matías Salazar y D. Vi</t>
  </si>
  <si>
    <t>Genaux, Matías</t>
  </si>
  <si>
    <t>Matías Genaux</t>
  </si>
  <si>
    <t>aduado de Capitán , D. Gaspar Antonio Schwager: en ei de Courten- á-Subteniente al Sargento primero D. Matías Genaux; y á Tenientes en el de Wimpífen á los Subtenientes D. Juan Werly y D. Luis Wisety; y á Subteniente de granaderos al de fusileros D. Samuel Ginther. El Mercurio de España de 15 de</t>
  </si>
  <si>
    <t>General Beauharnais, Coronel</t>
  </si>
  <si>
    <t>Coronel General Beauharnais</t>
  </si>
  <si>
    <t>el Mariscal Lefebvre,la espada de Cario Magno: el Mariscal Bernadotte, el collar del Emperador: el Coronel General Beauharnais , el anillo de S. M.: ei Mariscal Berthier, el globo Imperial: el Sumiller de Corps, llevando la canastilla donde se pondrá el manto del Emperador: á la derecha y la izquierda de</t>
  </si>
  <si>
    <t>General de Cataluña, Capitán</t>
  </si>
  <si>
    <t>Capitán General de Cataluña</t>
  </si>
  <si>
    <t>la Guardia, Oficial segundo de la Secretaría del Vireynato de aquel Reyno. £1 Conde de Santa Clara, Capitán General de Cataluña, en oficio de 19 de este mes, ha dado cuenta al Sr. Generalísimo Príncipe de la Paz de las hostilidades que cometen los buques ingleses en las costas de aquel Principado, y dice d</t>
  </si>
  <si>
    <t>General de Galicia, Capitán</t>
  </si>
  <si>
    <t>Capitán General de Galicia</t>
  </si>
  <si>
    <t>as al Coronel D. Francisco Xavier Cumplido, Capitán del Regimiento de infantería de Extremadura. El Capitán General de Galicia da parte en 9 de este mes al Sr. Generalísimo Príncipe de la Paz, de que hall¿ndose fondeado un navio Ingles de 80 cañones entre la Colleyra y Vares, conociéndose que su objeto era i</t>
  </si>
  <si>
    <t>General de la Guardia, Coronel</t>
  </si>
  <si>
    <t>Coronel General de la Guardia</t>
  </si>
  <si>
    <t>precedido por los grandes Oficiales, que llevarán sus insignias y las de Cario Magno,y seguido del Coronel General de la Guardia, el Caballerizo mayor, el Sumiller de Corps y el Mayordomo mayor, tomará de las manos aé las grandes Dignidades el cetro y la mano de justicia, dirigiéndose al trono grande, soste</t>
  </si>
  <si>
    <t>á la izquierda del trono, y ocuparán los lugares que les están destinados; el Mayordomo mayor y el Coronel General de la Guardia, pasarán por el pasadizo de izquierda para eolocarse detrás del Emperador. 35.0 Finalmente el Pontífice, precedido del Maestro de Ceremonias y de los Cardenales, y seguido de Card</t>
  </si>
  <si>
    <t>columnas, los, dos Príncipes, y las dos Dignidades á la izquierda de estos; detras del Emperador el Coronel General de la Guardia, el Mayordomo tnay^r, los 4 grandes Oficiales á la izquierda de estos; detras del Emperador el Coronel general de la Guardia, el Mayordomo mayor, los 4 grandes Oficiales, que llev</t>
  </si>
  <si>
    <t>General de la Isla de Cuba, Capitán</t>
  </si>
  <si>
    <t>Capitán General de la Isla de Cuba</t>
  </si>
  <si>
    <t>e ha servido,conferir el empleo de Teniente de Rey de la plaza de la Ha vana, y Cabo subalterno del Capitán General de la Isla de Cuba á D. Manuel Artazo, Coronel del Regimiento de. infantería de la Luisiana. El Rey se ha dignado promover á Teniente en el Batallón de Milicias disciplinadas de Metida de Yucatán ai</t>
  </si>
  <si>
    <t>General, Coronel</t>
  </si>
  <si>
    <t>Coronel General</t>
  </si>
  <si>
    <t>la izquierda S. S., y á un lado el Elector de Ratisbona. Detras de las sillas de Sb. MM. estaban el Coronel General de la guardia, el Sumiller de Corps y el Caballerizo mayor; á la derecha, y delante de la mesa, el Mayordomo mayor, y detras de él, el primer Prefecto de palacio: enfrente de estos, y á</t>
  </si>
  <si>
    <t>os Príncipes y Dignidades del Imperio, sosteniendo el manto del Emperador: el Caballeriao mayor, el Coronel General de la guardia de servicio y el Mayordomo mayor, los 3 de frente: los otros 3 Coroneles Generales de la guardia se colocarán, durante la marcha y al rededor del trono, entre los Mariscal</t>
  </si>
  <si>
    <t>Emperador estarán los dos Príncipes, y las dos Dignidades dei Imperio: detras de los Príncipes, el Coronel General ce la Guardia, el Mayordomo mavor, y los dos grandes Oficiales, que llevan el anillo y el collar del Emperador : á la derecha de los Príncipes , y obliquando hacia delante, el Sum</t>
  </si>
  <si>
    <t>rdomo mayor, y los 3 grandes Oficiales, que llevan las insignias de Cario Magno: á la izquierda del Coronel General, y detras de los Príncipes, la servidumbre del Emperador y de los Príncipes, detras 4c I©f</t>
  </si>
  <si>
    <t>das; el Emperador seguirá mas despacio con los Príncipes y Dignidades , que sostendrán su manto, su Coronel General, su Mayordomo mayor, y le precederán su Sumiller de Corps y su Caballerizo mayor. La marcha desde las gradas del trono hasta el coro será en este orden: los Uxieres, ios Reyes de</t>
  </si>
  <si>
    <t>Generale Arahtschejew</t>
  </si>
  <si>
    <t>e otros 2 Regimientos de artillería, los quales tendrán por gefes á los Mayores Generales Woronzow y Arahtschejew. Ignoramos quanto tiempo durará la ausencia de nuestro augusto Soberano. Entre las personas distinguidas de su comitiva se cuentan el Conde de Tolstoy, Aposent</t>
  </si>
  <si>
    <t>Generale Augereau</t>
  </si>
  <si>
    <t>idad, pues los fuertes avanzados de Bertheaume y de Kerautret, mandados por los Generales Augereau y Sarrazin, han hecho llover sobre ellos gran cantidad de bombas y balas huecas, de las quales han caído muchas á su bordo, y les han hecho considerable daño. Se asegura</t>
  </si>
  <si>
    <t>Generale Austria</t>
  </si>
  <si>
    <t>naron en el Alto-Palatinado. Para que las relaciones que habia habido entre los Generales Austria*cos pudiesen, no obstante la distancia de la Corte, representarse al Gobierno de Viena baxo su verdadero aspecto, se mandó al Barón de Graven</t>
  </si>
  <si>
    <t>Generale Austríacos</t>
  </si>
  <si>
    <t>uardia está á 2 leguas de Munich. Han caído en su poder los equipages de varios Generales Austríacos, y ha tomado unos 100 prisioneros de varios Regimientos. El Mariscal Davoust se ha dirigido á Dachau , y su vanguardia ha llegado á Móisach. Los húsares de Bla</t>
  </si>
  <si>
    <t>stro de Negocios extrangeros. ,,Pidió que sé entregase el exército Bávaro á los Generales Austríacos, y' se incorporase en él de Austria; y aun se le escapó la amenaza de que se le desarmaría si' se riégase á ello.'Exigió igualmente que se le diese un estado e</t>
  </si>
  <si>
    <t>aba las alturas. El Emperador, rodeado de su guardia, mando venir á su lado los Generales Austríacos, los tuvo allí hasta que hubieron desfilado las tropas, y los trató con gran comedimiento. Eran 7 Tenientes Generales, 8 Generales y el General en gefe Mack. E</t>
  </si>
  <si>
    <t>omado 90 banderas : es probable que hayamos cogido mas. El Emperador dixo á los Generales Austríacos que había llamado cerca de su persona, quando desfilaba el exército Austríaco : ,, Señores , vuestro amo me hace una guerra injusta: os lo digo francamente, no</t>
  </si>
  <si>
    <t>ontrario se seguirían con todo rigor las leyes de la guerra. Los nombres de los Generales Austríacos prisioneros son los siguientes: el Barón de Mack, Teniente General: el Príncipe de Hesse-Hombourg id.: el Barón de Hipschis id.: el Conde de Giulay id.: Quarte</t>
  </si>
  <si>
    <t>e no podia resistir ; aunque desde la penúltima guerra se ha creído por \Tarios Generales Austríacos de gran reputación (quienes, en su sentir, lo han demostrado en algunas Memorias, depositadas ahora en los archivos del Consejo áulico de guerra en Viena) que uu</t>
  </si>
  <si>
    <t>siguiendo al enemigo, y llegó el 31 de Octubre mas allá de Larnbach. Viendo los Generales Austríacos que sus tropas no podían resistir, hicieron avanzar 8 batallones Rusos para proteger la retirada.El Regimiento 17 de infantería de línea, el i.° de cazadores,</t>
  </si>
  <si>
    <t>encaminó al puente del Da nubio, y paso después de algunas conferencias con los Generales Austríacos. Los qué estaban encargados de quemar el puente lo intentáron varias veces; pero rió pudiéron conseguirlo. Los primeros que pasaron el puente fuéron el Maris-*</t>
  </si>
  <si>
    <t>Generale Beaumont</t>
  </si>
  <si>
    <t>Al amanecer, el Príncipe Murat al frente de las divisiones de dragones, de los Generales Beaumont y Klein, y de la división de carabineros y coraceros, mandados por el General Nansouty, se pone en marcha para cortar el camino de Ulm á Augsburgo. Llegado á Wertingen</t>
  </si>
  <si>
    <t>Generale Belfour</t>
  </si>
  <si>
    <t>or otras embarcaciones de guerra. Sir Eyre Coote con su esposa y familia, y los Generales Drummond y Belfour, van embarcados á bordo de la fragata Fishguard. FRANCIA. París 3 de Diciembre. Mr. de Stadion, Ministro del Emperador de Alemania en Rusia, y el Teniente Gene</t>
  </si>
  <si>
    <t>Generale Blucher</t>
  </si>
  <si>
    <t>dado por el Ge-*' neral Conde de Kalkreuth , que llevará baxo sus órdenes á los Generales Blucher y Kuchel. Dícese qué el Gabinete.de Londres ha resuelto mandar desembarcar un exército de Ingleses y de Hanuoverianos en Bremerlehe} con el objeto de apoderarse del Ele</t>
  </si>
  <si>
    <t>Generale Büxhoí</t>
  </si>
  <si>
    <t>el segundo cuerpo dje.exército, Ruso de, 58®.hombres , baxo las órdenes de los Generales Michelson y Büxhoí¡ven,.se reunirá muy luego á este cuerpo, ya tan respetable, y entonces las fuerzas de las dos Cortes Imperiales ascenderán á 2qq® hombres; sin contar en este</t>
  </si>
  <si>
    <t>Generale Buxhpude</t>
  </si>
  <si>
    <t>ejandró, y le habrá excitado'profundas reflexiones. Aliona 2i de Noviembre. Los Generales Kutusow y Buxhpude^ se hgn reunido detras del Danubio; los Franceses que han querido oponerse á esta reunión han sido batidos por la caballería del General Kutusow. Escriben de B</t>
  </si>
  <si>
    <t>Generale Comandantes</t>
  </si>
  <si>
    <t>. á palacio, el Emperador dió audiencia á Mr. Melzi, al Mariscal Jourdan, á los Generales Comandantes de las tropas que hay en Italia, á los Miembros de la Consulta de Estado y á los Ministros.__ Las personas nombradas para hacer en la coronación las funciones aquí se</t>
  </si>
  <si>
    <t>e no experimentará de su parte la menor lesión, y qúe á este efecto dafán á los Generales Comandantes de sus exércitos Jas órdenes más rigurosas de dexar el territorio Suizo intacto, y de no permitir en ningún caso pasar por él, ni tomar puesto alguno.” Sin embarg</t>
  </si>
  <si>
    <t>Generale de Aspremont</t>
  </si>
  <si>
    <t>enBregentz mandado por el General Haufferberg, que tiene por subalternos á los Generales Rohan y de Aspremont. Esté cüerpo ha comenzado ya á hacer algos 2® hombres de la vanguardia se han encaminado hacia Ravengsburgo en Suabia; otros cuerpos se dirigen hacia XJlm. Est</t>
  </si>
  <si>
    <t>Generale Demont</t>
  </si>
  <si>
    <t>n34 Los Generales Kellermann, Sebastian! y Thiebaut están fuera de peligro. Los Generales Marisy y Demont están heridos, pero no gravemente. El cuerpo de exército del General Buxhowden, que estaba á la izquierda, constaba dé 27$ hombres,;y tal uno de ellos ha escapad</t>
  </si>
  <si>
    <t>Generale Deroy</t>
  </si>
  <si>
    <t>rpo de exército del Mariscal Bernadotte con el.exército Bávaro, mandado por los Generales Deroy y Verden, se situó en Ingolstadt: la guardia Imperial, mandada por el Mariscal Bessieres, se trasladó á Augsburgo, igualmente que la división de coraceros, á las órdene</t>
  </si>
  <si>
    <t>Generale Drummond</t>
  </si>
  <si>
    <t>Generale Duhesme</t>
  </si>
  <si>
    <t>a el General Verdier maniobraba desde Ronco hasta Albaro, las divisiones de los Generales Gardanne y Duhesme, desplegándose delante del puente del castillo viejo de Verona, acometiéron á las alturas de Val-Pantena, y rodeáron el castillo de S. Felice, y el General en</t>
  </si>
  <si>
    <t>Generale Dumonceau</t>
  </si>
  <si>
    <t>rante Sterling se alejó de aquellos puertos. holanda; • Haya 1 § de Agosto. Los Generales Dumonceau, Quaita y Van-Haitem, todos tres de las: tropas Bátavas, se hallan á bordo de la flota del Helder. Se computa que el número de tropas, que forma parte de la ex</t>
  </si>
  <si>
    <t>Generale Dundas</t>
  </si>
  <si>
    <t>iudadela de Douvres , acompañado de su hermano el Duque de Cambridge , y de los Generales Dundas y Forbes. A su llegada se le hizo una salva de 21 cañonazos, y las grandes evoluciones duraron hasta las 4 de la tarde. Cada día se acredita mas la noticia de la disolu</t>
  </si>
  <si>
    <t>Generale Forbes</t>
  </si>
  <si>
    <t>Generale Franceses</t>
  </si>
  <si>
    <t>Francesas y Hessesás^e hiciéron mutuamente los debidos honores militares, y los Generales Franceses y sus esposas comiéron en el palacio del Elector; luego fuéron á la quinta de Weissenstein, distante una.legua de la ciudad, á ver el hermoso</t>
  </si>
  <si>
    <t>va. Francfort &lt;!f de Octubre. Dícese que el Austria ha mandado participar á los Generales Franceses que Ja guerra está ya declarada. El exército grande de los Franceses continúa internándose en Alemania sin hallar obstáculo alguno. Es de presumir que pasará e</t>
  </si>
  <si>
    <t>Generale Franceses Berthier</t>
  </si>
  <si>
    <t>ento S. M. con la banda de la Legión de Honor. Asistiéron á las evoluciones los Generales Franceses Berthier, Kellermann y Rivaud, quienes tuvieron la honra de comer con el Rey en Corvelitz. Han llegado á Berlin el Príncipe Gustavo Bíron de Curlandia, Consejero . de E</t>
  </si>
  <si>
    <t>Generale Gardanne</t>
  </si>
  <si>
    <t>miéntras que las divisiones Duhesme y Seras marchaban á S. Vitto, y las de los Generales Molitor y Gardanne se dirigían á Valvasona. _—El General Espagne recibió orden de hacer.reconocimientos: el 12 á las 6 de la mañana un esquadron que habia hecho pasar fue cargado</t>
  </si>
  <si>
    <t>Generale Giulay</t>
  </si>
  <si>
    <t>á quien había conocido quando mandaba el Regimiento de Wurmser; á los Tenientes Generales Giulay , Gottesheim, Ries, los Príncipes de Lichtenstein &amp;c. &amp;c. Les ha consolado de su desgracia, y les ha dicho qué lá guérrá tenii sus azares, y que habiendo sido</t>
  </si>
  <si>
    <t>Generale Hautpoult</t>
  </si>
  <si>
    <t>dragones de Valther y Beaumont, y en reserva las divisiones de coraceros de los Generales Nansouty y Hautpoult con 80 piezas de artillería ligera.,, i...,. El MarlscaLBe.rnadotte, esto es el centro, tenia á su izquierda la división del GenerárRiváud, apoyada en la derec</t>
  </si>
  <si>
    <t>Generale Imperiales</t>
  </si>
  <si>
    <t>ntimientos semejantes , y se explicó con este ánimo de un modo decisivo con los Generales Imperiales y Reales, que la suerte de la guerra habia hecho prisionefos. Líenos de confianza con semejantes declaraciones, y excitado por el Voto íntimo de alejar de Viena, capita</t>
  </si>
  <si>
    <t>Generale Jellachich</t>
  </si>
  <si>
    <t>d de esta orden van caminando á su nuevo destino los cuerpos de exército de los Generales Jellachich, Hiíier y Áuttemberg. La división del primero formará uñ cuerpo de reserva; y provisionalmente• &gt;lp• tomado-ya".una.posicion ventajosa en las cercanías de Breg</t>
  </si>
  <si>
    <t>Generale Kellermann</t>
  </si>
  <si>
    <t>n34 Los Generales Kellermann, Sebastian! y Thiebaut están fuera de peligro. Los Generales Marisy y Demont están heridos, pero no gravemente. El cuerpo de exército del General Buxhowden, qu</t>
  </si>
  <si>
    <t>Generale Klein</t>
  </si>
  <si>
    <t>Generale Kuchel</t>
  </si>
  <si>
    <t>Generale Kutusow</t>
  </si>
  <si>
    <t>ndo el plano del campo de batalla. La pérdida de los Rusos ha sido inmensa. Los Generales Kutusow yBuxhowden están heridos; han quedado muertos lo ó 12 Generales, igualmente que varios Edecanes del Emperador de Rusia, y muchos Oficiales de distinción. No son</t>
  </si>
  <si>
    <t>á muy pronto áViena. Se asegura que el Emperador de las Rusias ha mandado á los Generales Kutusow, Buxhowden y Michelson que reúnan todas sus fuerzas en un solo exército. Ignoramos los proyectos ulteriores de S. M. I. Rusa. Jnspruck 28 de Noviembre. La ciud</t>
  </si>
  <si>
    <t>Generale Lake</t>
  </si>
  <si>
    <t>, había entonces mayores fuerzas por aquella parte, que en el tiempo en que los Generales Lake y Wellesley consiguiéron las victorias de Delhi, Laswarri y Assay; pero la ausencia de un Oficial, la muerte de un Sargento, y la conducta de otro, que debe examinarse, ha</t>
  </si>
  <si>
    <t>mposa de las victorias que dicen hemos conseguido en la India. Según estas, ios Generales Lake y Tracer han derrotado, el 13 de Noviembre de 1804, á los Máratas, que tenían 23 batallones, una numerosa caballería, y 16o cañones. Todo lo que nos parece mas claro en</t>
  </si>
  <si>
    <t>Generale Lichtenstein</t>
  </si>
  <si>
    <t>los Austríacos sino después de haber hecho una vigorosa- resistencia. El-15 los Generales Mack y Lichtenstein propusieron qué dejasen salir .libremente la guarnición; pero fue despréciadaTÍu ^rOpuesta-, y dos dias después tuvieron que rendirse con.'25® hombres^ Quedaba</t>
  </si>
  <si>
    <t>Generale Mack</t>
  </si>
  <si>
    <t>Generale Marisy</t>
  </si>
  <si>
    <t>Generale Michelson</t>
  </si>
  <si>
    <t>Generale Molitor</t>
  </si>
  <si>
    <t>Generale Nansouty</t>
  </si>
  <si>
    <t>Generale Reales</t>
  </si>
  <si>
    <t>Generale Rohan</t>
  </si>
  <si>
    <t>Generale Ruchel</t>
  </si>
  <si>
    <t>a! Moellendorf; de los Ministros Schwlembur* $0* Hardembergy Haugwitz, y de los Generales Ruchel , y Kockritz. El Emperador de Rusia, participaba en dicha carta que sus tropas iban á entrar divididas en tres colunas en la Silesia, en la Prusia Oriental y e</t>
  </si>
  <si>
    <t>Generale Rusos</t>
  </si>
  <si>
    <t>so de este rio. En esta situación se han despachado varios correos.para que los Generales Rusos aceleren la marcha* de sus-tropas; y á fin de facilitarla se ha puesto embargo á todos dos carruageis en Gallitzía ¿y en ,Mo¿avia^.Éi camino que seguirán será</t>
  </si>
  <si>
    <t>Smith, que dirigía los movimientos de los Rusps, quedó muerto, como también des Generales Rusos, Parece que el Coronel Wattier no ha muerto , sino que habiéndole matado el caballo quedo* prisionero, cuya noticia ha sido de mucha satisfacción para el Emper</t>
  </si>
  <si>
    <t>xército grande. Znaim á 18 de Noviembre. Informado el Príncipe Murat de que ios Generales Rusos, luego que se firmo la capitulación, marchaban con una parte de su exército hacia Znaim, y que todo manifestaba que la otra parte se preparaba á seguir el mism</t>
  </si>
  <si>
    <t>ciembre. El General en gefe Buxhowden quedo muerto, igualmente que otros muchos Generales Rusos, cuyos nombres sé ignoran. Nuestros soldados han recogido muchísimas veneras y otras insignias de condecoración. El General Ruso Kutusow está herido, y su yern</t>
  </si>
  <si>
    <t>on la Francia , habia llevado al Austria á un alto grado de prosperidad. Varios Generales Rusos quedaron muertos én el C^mpo, de batalla. íHay 4000 500 Oficiales Rusos prisioneros. Los nombres de íos Generales,prisioneros son Prebiszenski, Wimpfen, Muller</t>
  </si>
  <si>
    <t>Generale Saint-Hilaire</t>
  </si>
  <si>
    <t>tante, se dirige á las alturas de la villa de Pratzen con las divisiones de los Generales Vandamme y Saint-Hilaire, y corta enteramente la derecha del enemigo , cuyos movimientos todos se . hicieron inciertos. Sorprehendida por una marcha de flanco, miéntras que huía creyén</t>
  </si>
  <si>
    <t>Generale Sáint-Hilaire</t>
  </si>
  <si>
    <t>la artilleríade la guardia imperial, y áLla;fusi!eria de las divisiones de los Generales Sáint-Hilaire&gt; y Friant. La matanza fue horrible, y la pérdida de los Rusos no puede valuarse en ménos de 4$© hombres; de suerte que el Emperador de Rusia no volverá á su pa</t>
  </si>
  <si>
    <t>Generale Sarrazin</t>
  </si>
  <si>
    <t>Generale Straiich</t>
  </si>
  <si>
    <t>ermano. Escriben de Lemberga, en Gallítzia, con fecha de 25 de Agosto , que los Generales Straiich y Weyrotter han ido-allí de orden de la Corte de Viena para dirigir la marcha de los Rusos. Su exército viene dividido en dos ¿uerpos, uno de los quales ha de caminar por</t>
  </si>
  <si>
    <t>Generale Stranch</t>
  </si>
  <si>
    <t>ha en 6 colunas: mañana llegará aquí la primera, y desdansará algunos^dias. Los Generales Weyrotter y Stranch han nombrado .ya</t>
  </si>
  <si>
    <t>Generale Tracer</t>
  </si>
  <si>
    <t>Generale Vandamme</t>
  </si>
  <si>
    <t>Generale Verden</t>
  </si>
  <si>
    <t>Generale Vogel</t>
  </si>
  <si>
    <t>egará hasta mañana. Los Tenientes Generales Werneck, Baillet; Hohenzollern, los Generales Vogel, Mackery, Hohenfeld, Weiber y Dienesberg, estan prisioneros baxo palabra de honor, con condición de irse á sus casas. Las tropas son prisioneras de guerra, y m</t>
  </si>
  <si>
    <t>Generale Wellesley</t>
  </si>
  <si>
    <t>Generale Werneck</t>
  </si>
  <si>
    <t>La capitulación que le -ha sido acordada no llegará hasta mañana. Los Tenientes Generales Werneck, Baillet; Hohenzollern, los Generales Vogel, Mackery, Hohenfeld, Weiber y Dienesberg, estan prisioneros baxo palabra de honor, con condición de irse á sus casa</t>
  </si>
  <si>
    <t>e el-Príncipe Murat con sus tropas estaba ayer en Nordiingen: que los Tenientes Generales Werneck, Baiílet, Hohenzollem, y otros 7 Generales han capitulado con sus tropa? en Trotztelfingen. iv. Que el Mariscal Soult está entre Ulma y Bregens guardando el ca</t>
  </si>
  <si>
    <t>Generale Weyrotter</t>
  </si>
  <si>
    <t>Generale Woronzow</t>
  </si>
  <si>
    <t>Genovet, Juan</t>
  </si>
  <si>
    <t>Juan Genovet</t>
  </si>
  <si>
    <t>neficio de la Catedral de Gerona, baxo la invocación de S. Ibo y S. Honorato, vacante por muerte de D. Juan Genovet, á D. Jayme Pasquets y Mas: para una Media-Ración patrimonial de la Catedral de Tarazona, vacante por promo-' cion de D. Pedro Ramos á otra entera, á D. Pedro Pablo Chueca, Cura d</t>
  </si>
  <si>
    <t>Gerard, Coronel</t>
  </si>
  <si>
    <t>Coronel Gerard</t>
  </si>
  <si>
    <t>mente. El correo, que llegó ántes de ayer de París, ha traído esta noticia, en el momento en que el Coronel Gerard, su Edecán, se disponía para ir á recibirle en Nordheim. Augsburgo 18 de Febrero. El Elector de Baviera ha mandado publicar una ordenanza para sus nuevas posesiones en Franconia y</t>
  </si>
  <si>
    <t>Gerardo Hernández</t>
  </si>
  <si>
    <t>iente de granaderos al de fusileros D. Joaquín Barrena; á Subtenientes de compañía á los de bandera D. Gerardo Hernández, D. Josef loaquin Ruiz y D.Jo sef María Rengel; y á Subtenientes de bandera á los Cadetes D. Josef Mayoli y D. Josef Fernandez, y á D. Juan Tomey, vecino de la demarcación del mis</t>
  </si>
  <si>
    <t>Gerril-Simons, Capitán</t>
  </si>
  <si>
    <t>Capitán Gerril-Simons</t>
  </si>
  <si>
    <t>arán su entrada en el Reyno dé Italia. S. Malo 8 de Mayo. La galeota Rusa, nombrada María Pawlowna, Capitán Gerril-Simons, que venia de Lubeck, ha anclado ayer en esta rada. El 23 de Abril fué visitado este buque por un brick Ingles, y le obligó á ir á Portsmouth; después de algunos dias de detención</t>
  </si>
  <si>
    <t>Gervasio Fernández Izquierdo</t>
  </si>
  <si>
    <t>cente de Torres Cónsul, primer Teniente Corregidor de esta villa, y por la escribanía del número de D. Gervasio Fernandez Izquierdo, varias lincas sitas en el término de la villa de Velilla de S. Antonio, que con sus sitios, cabidas, precios y linderos, son las siguientes : Primeramente, un pago de viñas, cono</t>
  </si>
  <si>
    <t>del Sr. D. Torquato Antonio Collado, Teniente Corregidor de esta villa, y escribanía del número de D. Gervasio Fernandez Izquierdo, se está subastando una casa sita en la calle de la Cabeza, núm. 12, manz. 9, y está tasada en 83,325 rs. La persona que quiera hacer postura, acuda ante dicho Sr. Juez y citada e</t>
  </si>
  <si>
    <t>ntonio Collado, del Consejo de S. M., Teniente Corregidor de esta villa, y escribanía del número de D. Gervasio Fernandez Izquierdo, se está subastando una Casa sita en esta Corte, calle del Duque de Alba, que hace esquina y vuelve á la del Mesón de Paredes, núm. 1, manz. 13; comprehensiva de 1470 pies de siti</t>
  </si>
  <si>
    <t>nio Collado, del Consejo de S. M.., •Teniente Corregidor de esta villa, y escribanía del número .de D. Gervasio Fernandez Izquierdo, se vende para el pago de 23,179/rs.y que se deben á la Real Oxa de Consolidación de Vales Reales, ,yna casa sita en la callé de S. Bernardq, núm, :4, manz¡. 20, correspondiente e</t>
  </si>
  <si>
    <t>del Sr. U. Torquato Antonio Collado, Teniente Corregidor de esta villa, y escribanía del número de D. Gervasio Fernandez Izquierdo, se está subastándo una c.asá sita en la calle de S. Bérnardc»', barrios de S. Lorenzo, númerp 4, manz* 20/ tasada en 88,697 rs. Quien quisiere haCer mejora, acuda, que se le admi</t>
  </si>
  <si>
    <t>ntonio Collado, del Consejo de S. M., Teniente Corregidor de esta villa, y escribanía del número de D. Gervasio Fernandez Izquierdo, se remató una casa sita en esta Corte, calle de S. Bernardo, núm. 4, manz. 20, en 88,697 rs.; y habiéndose mandado por los Señores del Consejo sacar al pregón por 15 dias mas, se</t>
  </si>
  <si>
    <t>10,224 rs. Quien quisiere.hacer postura,^cuda, ante dicho Señor, por la escribanía, -del:númrero de D. Gervasio Fernandez Izquierdo,.dentro de dicho.término. Quiemquisiere hacer postura á.una casa sita en la cuesta'de la Vega de esta Corte, núm. ,4,-manz. 192 , cuyo sitio compxehendé .15,095'pies .súperficiale</t>
  </si>
  <si>
    <t>del Sr. D. Manuel Vicente de Torres, Teniente Corregidor de esta villa, y escribanía del número de D. Gervasio Fernandez Izquierdo, se es^f tan subastando dos casas sitas en esta Corte, la primera en la calle de la; Ballesta, num. 6, manz. 369 , que tiene de sitio 7489 pies, y está tasada en 245,671.^5. ;. y</t>
  </si>
  <si>
    <t>Por la audiencia del referido Sr. Teniente D. Torquato Antonio Collado, y escribanía del número de D. Gervasio Fernandez Izquierdo, se; están subastando dos casas sitas en esta Corte,-la primera en la calle del Mesón dé Paredes, núm. manz. 13, que tiene de sitio 1470 pies, y está tasada en 99,534 rs.; y la se</t>
  </si>
  <si>
    <t>del Sr. D. Torquato Antonio Collado, Teniente Corregidor de esta villa, y escribanía del número de D. Gervasio Fernandez Izquierdo, se están subastando 2 casas sitas en esta Corte, la primera en la calle de las Huertas, número 4, manz. 25, que tiene de sitio 3585 pies, y está tasada en 158,311 rs.; y la segun</t>
  </si>
  <si>
    <t>del Sr. D. Torquato Antonio Collado, Teniente Corregidor de esta villa, y escribanía del número de D. Gervasio Fernandez Izquierdo, se están subastando dos casas sitas en esta Corte, lTprimera en la calle del Mesón de Paredes, núm. r , manz. 13, que tiene de sitio 1470 pies, y está tasada en 99,534 rs.; y la</t>
  </si>
  <si>
    <t>del Sr. D. TorquatoAntonio, Collado, Teniente Corregidor de esta villa,, y escribanía del número de D. Gervasio Fernandez Izquierdo, se estan subastando t^es casas sitas en esta Corte; la.una en larcalle de.la .Encomienda, núm. io, m^nz, 63,, que tiene (de sitio, 50^if.pies, 7,está tasada en ?37,914 rs.:. otra</t>
  </si>
  <si>
    <t>el Señor D. Manuel Vicente de Torres, Teniente Corregidor de esta villa, y escribanía del número de D. Gervasio Fernandez Izquierdo.</t>
  </si>
  <si>
    <t>Gessnpr</t>
  </si>
  <si>
    <t>intes, 4 Puerta Cerrada, La muerte de Abel, ó el fratricidio; poema en* prosa en * pantos; su autor Mr. Gessnpr : traducido, al castellano, y aumentado con no,tas2. edición. Se vende en Jas librería? de. Montero, calle da la Gorgnera, d.e Zaragoza, calle de la Paz, dp Mi nutria, calle de To</t>
  </si>
  <si>
    <t>Gestido, Manuel</t>
  </si>
  <si>
    <t>Manuel Gestido</t>
  </si>
  <si>
    <t>iente al Subteniente D. Fernando Antonio Muñoz: en el de Burgos á Capitán al Teniente de granaderos D. Manuel Gestido; y á Teniente al Subteniente D. Francisco Céspedes; y en el de Jaén á Subtenientes de bandera al Sargento primero D. Miguel Carretero, y al Cadete de Voluntarios de Estado D- Rafa</t>
  </si>
  <si>
    <t>Gfiati, Francisco</t>
  </si>
  <si>
    <t>Francisco Gfiati</t>
  </si>
  <si>
    <t>14.a id. Francisco Gfiati.... Hijo de Manuel y de Ana de Samon,</t>
  </si>
  <si>
    <t>Ghardik, General</t>
  </si>
  <si>
    <t>General Ghardik</t>
  </si>
  <si>
    <t>ropas Rusas que llegáron últimamente de. Sebastópolis á Constantinopla han salido ya para Corfú; el General Ghardik, que las manda estuvo ántes al servicio de la República de Holanda. Cuenta dicho Oficial que</t>
  </si>
  <si>
    <t>Giesecke</t>
  </si>
  <si>
    <t>En aquella capital de Dinamarca se halla actualmente Mr. Giesecke , Mineralogista Prusiano, y parece que el Gobierno piensa enviarlo á Groenlandia, donde permanecerá algunos años examinando el país baxo todos los aspectos mineralógicos y geológi</t>
  </si>
  <si>
    <t>Gifreu, Carlos</t>
  </si>
  <si>
    <t>Carlos Gifreu</t>
  </si>
  <si>
    <t>ígcerda , , 66. 12. Carlos Gifreu............ Otro. . ... Eulalia Cortines, , Berga , , , , Manresa , , 66. 12. Pablo Parés. . . .... Francisco.. PetronillaMarrogat. Cast. defeis, Barcelona ,,</t>
  </si>
  <si>
    <t>Gil Cano Moya</t>
  </si>
  <si>
    <t>rija por ahora la Ordenanza de Montes de Marina de 1748, La parte literaria respuesta apologética á D. Gil Cano Moya sobre la imposibilidad deí sistema de la significación natural de las letras, sílabas y voces, por D. Pablo Pedro de Astarloa; y la continuación de los progresos de los descubrimi</t>
  </si>
  <si>
    <t>s extrangeros que entren sin guias &amp;c. Respuesta de D. Pedro Pablo de Astarloa á las reflexiones de D. Gil Cano Moya sobre el sistema de la natural significación de las letras*. ■. ¡ A:.. í f : ■ , Fn el juzgado de bienes de difuntos de la ciudad dé Cuba están pendientes y se «ieuen los ;» tos d</t>
  </si>
  <si>
    <t>Gil de la Paz García</t>
  </si>
  <si>
    <t>s: para una Capellanía de Altar de la Real Iglesia de S. Isidro de Madrid, vacante por promoción de D. Gil de la Paz García á una Canongía de la Colegial de .Peñaranda de Duero, á D. Francisco Gallardo: para la Prestamera de la Parroquia de S. Nicolás de la villa de Requena, Diócesis de Cuenca , vacant</t>
  </si>
  <si>
    <t>Gil de Lemos, Francisco</t>
  </si>
  <si>
    <t>Francisco Gil de Lemos</t>
  </si>
  <si>
    <t>erido S. M. ei grado de Capitanes Generales de su Real Armada al Director de ella ei Comendador Fr. D. Francisco Gil de Lemos , y al Comandante general del Departamento de Cartagena D. Francisco ¡de Borjá: el de Teniente General al Gefe dé' Esquadra D- Pedro Obregon , Comandante de los Tercios navales de</t>
  </si>
  <si>
    <t>Gil de Lentos, Francisco</t>
  </si>
  <si>
    <t>Francisco Gil de Lentos</t>
  </si>
  <si>
    <t>minado que se encargue del Despacho de los negocios de Marina el Director General de mí Real Armada D. Francisco Gil de Lentos; y os lo comunico para que ínterin resuelvo otra cosa, se me dirijan por su mano los negocios relativos á este ramo. Tendreislo entendido, y lo comunicareis á quien corresponda pa</t>
  </si>
  <si>
    <t>Gil de Tejada, Pedro</t>
  </si>
  <si>
    <t>Pedro Gil de Tejada</t>
  </si>
  <si>
    <t>sidro García Plaza. En Jaén................ . D. Pedro y D. Juan Esponera. En León..................D. Pedro Gil de Tejada. En Málaga.......... . D. Juan Ximeno. En Mahon..............Doña Catalina Germán y Hugalde. En Murcia.............Sres. Moreda y Ladalid. En Oviedo............. D. Manuel Rubiano</t>
  </si>
  <si>
    <t>D. Isidro García Plaza. En Jaén............... D. Pedro y D. Juan Esponera. En León......... ...... D. Pedro Gil de Tejada. En Malaga.......... D. Juan Ximeno. En Mahon............ Doña Caialina Germán y Llugalde. En Murcia........... Sres. Moreda y Iadalid. En Oviedo............. D. Manuel Rubiano. E</t>
  </si>
  <si>
    <t>doro García Plaza. f ’ ' En Jaén... ........... D. Pedro y D. Juán Esponera. En'Leon............... D. Pedro Gil de Tejada. ' En Málaga.......... D. Jtfafl Ximenó. ' Eñ Mahon........... Doña Catalina Germán' y Hugáfde". En Murcia........... Sres»Moreda y Ladalid. ; . En Oviedo. ..../.id..-D.^Manuel Ri</t>
  </si>
  <si>
    <t>Gil Fernández, Diego</t>
  </si>
  <si>
    <t>Diego Gil Fernández</t>
  </si>
  <si>
    <t>ado el dia 4 del presente, á las doce de su mañana. Quien quisiere hacer postura, acuda ante el Sr. D. Diego Gil Fernandez, del Consejo de S. M., su Alcalde de Casa y Corte, y escribanía de provincia de D. Juan Antonio Díaz Noriega. = Por el mismo Señor y citada escribanía se ha señalado el día 5 del</t>
  </si>
  <si>
    <t>Cartagena de Indias con la correspondencia del Real servicio y del público. Por providencia del Sr. D. Diego Gil Fernandez, del Consejo de S. M., Alcalde en su Real Casa y Corte, de 24 de Diciembre último, se han mandado publicar por 20 dias mas, y señalado para su remate el 14 del corriente, á hora d</t>
  </si>
  <si>
    <t>ovincia, por sus decretos de 27 de Diciembre último, ha aprobado los remates celebrados ante el Sr. D. Diego Gil Fernandez, del Consejo de S. M., Alcalde en su Real Casa y Corte, por la escribanía de provincia de D. Juan Antonio Díaz Noriega, de varias tierras sitas en término del lugar de Fuenlabrada</t>
  </si>
  <si>
    <t>Riesch, de Sevilla. El Sr. Intendente de esta provincia ha aprobado el remate celebrado ante el Sr. D. Diego Gil Fernandez, del Consejo de S. M., Alcalde de su Real Casa y Corte, y escribanía de provincia de D. Juan Antonio Diaz Ncriega, de dos pedazos de tierra sitos en el lugar de Fuenlabrada, el un</t>
  </si>
  <si>
    <t>esta Provincia, por su decreto de 12 del corriente, ha aprobado los remates celebrados ante el Sr. D. Diego Gil Fernandez, del Consejo de S. M., Alcalde de su Real Casa y Corte, y escribanía de provincia de D. Juan Antonio Díaz Noriega, de varias tierras sitas en el lugar de Fuenlabrada, pertenecient</t>
  </si>
  <si>
    <t>de esta provincia, por su decreto de 21 del corriente, ha aprobado el remate celebrado ante el Sr. D. Diego Gil Fernandez, del Consejo de S. M., Alcalde de su Real Casa y Corte, por la escribanía de provincia de Don Juan Antonio DiazNoriega, y ha señalado para la mejora del quarto el término de 30 dí</t>
  </si>
  <si>
    <t>uisiere hacer dicha mejora acuda ante el referido Sr. Alcalde y citada escribanía. Por auto del Sr. D. Diego Gil Fernandez, del Consejd de S. M., Alcalde de su Real Casa y Corte, se ha señalado para el remate de varias tierras, sitas en término del lugar de Fuenlabrada, pertenecientes á distintas memo</t>
  </si>
  <si>
    <t>su nuevo remate el martes 5 del corriente, á hora de las doce de -su mañana, en el juzgado del Sr. D. Diego Gil Fernandez, del Consejo de S. M., Alcalde de su Real Casa y Corte, y escribanía de provincia de D. Juan Antonio Díaz Noriega. rr: Asimismo se ha hecho la mejora del quarto á otras tierras, p</t>
  </si>
  <si>
    <t>, en 63,365, rs. El Sr. Intendente de esta Provincia ha aprobado los remates celebrados ante el Sr. D. Diego Gil Fernandez, del Consejo de S. M., Alcalde de su Real Casa y Corté, de varias fincas, sitas en término del lugar de, Fucnlabrada, señalando el término de 30 dias para la mejora del quarto, y</t>
  </si>
  <si>
    <t>arquilla, á p rs. en pasta. Se hallarán en el despacho de la Imprenta Real. Por providencia del Sr. D. Diego Gil Fernandez, del Consejo de S. M., Alcalde en su Real Casa y Corte, se han mandado sacar á pública subasta, por término de 30 dias, varias tierras sitas en término del lugar de Vallecas, y so</t>
  </si>
  <si>
    <t>cuyo remate está señalado, como para los anteriores, el dia 15 de este mes. Por el juzgado del Sr. D. Diego Gil Fernandez, del Consejo de S. M., Alcalde en su Real Casa y Corte, se ha mandado sacar á pública subasta, por término de 30 dias, una casa sita en la calle de Santa María de Cena de esta Cor</t>
  </si>
  <si>
    <t>Corregidor de esta villa, por la escribanía del numera de ‘D. Juan de Répide. En el juzgado del Sr. D. Diego Gil Fernandez, del Consejo de S. M., Alcalde en su ftoal Casa y Corte, se esta subastando, para.pago de acreedores, una casa en esta Corte en la calle de Santa Catalina de Sena, núm. 24, mana.</t>
  </si>
  <si>
    <t>ía de D. Julian .de lllescas, y se está subastando, para pago de acreedores, por el juzgado del Sr. D. Diego Gil Fernandez, del Consejo de, S. M., Alcalde en su Real Casa y Corte, se ha mandado publicar por r$ dias mas, 'Señalando el último para su remate, que será el 8 de Julio próximo, á las once de</t>
  </si>
  <si>
    <t>hacer postura á ellas, acuda ante dicho Señor por la expresada escribanía. Por providencia del Sr. D. Diego Gil Fernandez, del Consejo de S. M., Alcalde de su Real Casa y Corte, se ha mandado sacar á pública subasta, por el término ordinario de 30 días, una casa sita en el lugar de Vallécas, en la ca</t>
  </si>
  <si>
    <t>quisiere hacer postura á ella» juntas ó separadas, acuda á dicha escribanía. Por el juzgado del Sr. D. Diego Gil Fernandez, del Consejo de S„ M., Alcalde en su Real Casa v Corte, se,están subastando quatro tierras sitas en término del lugar de Vallecas; 4 saber: una al sitio de la falda de Almoaóvar,</t>
  </si>
  <si>
    <t>. Quien quisiere hacer postura, acuda á dicho Sr. Juez y citada escribanía. Por providencia del Sr. D. Diego Gil Fernandez, del Consejo de S. M., Al</t>
  </si>
  <si>
    <t>llo de vino; noticia sobre el territorio, fuerzas, riquezas del Austria &amp;c. Por providencia del Sr. D. Diego Gil Fernandez, del Consejo de S. M., Air calde en su Real Casa y Corte, se ha mandado sacar á pública subasta , por término de 30 dias, una casa sita en la calle del Gobernador de esta Corte, q</t>
  </si>
  <si>
    <t>lado para el remate el día 14 del corriente. El remate celebrado en 26 de Agosto último ante el Sr. D. Diego Gil Fernandez, del Consejo de S. M., Alcalde en su Real Casa y Corte, de quatro tierras sitas en término del lugar de Vallecas, pertenecientes i la memoria dei Bachiller D. Miguel García, de ca</t>
  </si>
  <si>
    <t>s puertas de su audiencia, pot ante el Escribano de número D. Claudio San'z. Por el juzgado del Sr. D. Diego Gil Fernandez, del Consejo de S.M., Alcalde de la Real Casa y Corte , se ha mandado sacar ,á pública subasta, por término de 30 dias, para pago de acreedores , una casa-mpson, sita en la plaza</t>
  </si>
  <si>
    <t>elemines , tasadas en 14,900 rs., que se remataron en 26 de Agosto, anterior por el juzgado dél Sr. D. Diego Gil Fernandez, del Consejo de S. M., Alcalde de su Real Casa y Corte, en 2j;9 rs. en vales Reales; y habiendo estado suspensa el término por aígunps días, se hace saber al público, como de que</t>
  </si>
  <si>
    <t>265, rs.- Otra casa sita eq la calle de Arganzuela núm. 23, manz. 99, tasada en 107,41 2 rs. El Sr. D. Diego Gil Fernandez, del Consejo de S. M., y Alcalde de su Real Casa y Corte, ha señalado en su audiencia y escribanía de provincia de D. Juan Antonio Díaz Noriega el dia 23 del corriente para el rem</t>
  </si>
  <si>
    <t>Gil Rodríguez</t>
  </si>
  <si>
    <t>nero de ella:para el Beneficio de la villa del Barco, en la Diócesi de Avila, vacante por muerte de D. Gil Rodríguez, á D. Salvador García, Cura del lugar de Santiago deAravalle, en la misma Diócesi, con la obligación que tiene anexa dé residencia personal y asistencia al confesonario; y para un</t>
  </si>
  <si>
    <t>Gil y Nogues, Benito</t>
  </si>
  <si>
    <t>Benito Gil y Nogues</t>
  </si>
  <si>
    <t>lla, y escribanía de D. Casim.ro Antonio Gómez; y en Badajoz al Sr. Corregidor de ella, y oficio de D. Benito Gil y Nogues, en el término de «‘o dias contados desde el 6 del presente. Por la audiencia del Sr. D. Maríuel Vicente de Torres Cónsul, del Consejo dó 5 M Teniente Corregidor de esta villa, y</t>
  </si>
  <si>
    <t>Gil'Cáno Moya</t>
  </si>
  <si>
    <t>ses y del Padre Santo f dé España : Real órdén. En; la pane literaria concluyeme las reflexiones dé D. Gil'Cáno Moya: carta de D'. Cristóbal Cladera al redactor del Correo de Londres t noticia de un nuevo metal, descubierto por D. Andrés del Rió en' México»—</t>
  </si>
  <si>
    <t>Gil, Francisco</t>
  </si>
  <si>
    <t>Francisco Gil</t>
  </si>
  <si>
    <t>cia, graduado de Capitán, DonÉ Gaspar Vigodet; y Subtenencia de bandera en el de Sevilla al* Cadete D. Francisco Gil lis. ‘ S. M. se ha servido conceder Tenencias en él'Regimiento de infantería de Iíibernia al Subteniente de granaderos ÍX Tomas Cantón; y en eí de NápóJss al Subteniente JD. Loren</t>
  </si>
  <si>
    <t>y Justicia, é interino del de Guerra, se encargas^ del Despacho de este Ministerio el Bay lío Frey D. Francisco Gil¿</t>
  </si>
  <si>
    <t>Gil, Salvador</t>
  </si>
  <si>
    <t>Salvador Gil</t>
  </si>
  <si>
    <t>'Salvador Gil............ Hijo de Juan , natural de Granada : murió!</t>
  </si>
  <si>
    <t>Gines Sánchez</t>
  </si>
  <si>
    <t>lla. El Rey se ha dignado conceder en el Regimiento de infantería de la Reyna Ayudantía al Teniente D. Gines Sánchez; y en el de León Subtenencia de bandera al Sargento primero D. Manuel Alvarez. En el Regimiento de caballería del Rey se ha servido S. M. promover á Ayudante al Teniente D. Juan L</t>
  </si>
  <si>
    <t>Ginesta, Francisco</t>
  </si>
  <si>
    <t>Francisco Ginesta</t>
  </si>
  <si>
    <t>a también de plata de 4 onzas, que costeó el Profesor de la escuela Don Francisco de Paula Marti, á D. Francisco Ginesta; y asimismo se hizo la distribución de otros 3 premios extraordinarios costeados por el zelo del Excmo. Sr. Duque de Frias, Socio de número contribuyente, y consistentes en otras</t>
  </si>
  <si>
    <t>Giró, Miguel</t>
  </si>
  <si>
    <t>Miguel Giró</t>
  </si>
  <si>
    <t>66 12. Cabo..... Miguel Giró ....... Jayme.... Maria,Garcia, , , , Garrigas, ,, Gerona,, ,, 66. 12. Otro..... Juan Tost................... Jacinto. . . MariaÁngelaGrifoll. Forja, , , , , Tarragon</t>
  </si>
  <si>
    <t>Girón, Vicente</t>
  </si>
  <si>
    <t>Vicente Girón</t>
  </si>
  <si>
    <t>ras de la ciudad de Guadix á D. Rafael de Aynat y Sola: para el de la villa de Becerril de Campos á D. Vicente Girón : para la Vara de Alcalde mayor de la ciudad de Murcia á D. Pablo Jover y Placies: para la de la ciudad de Almuñecar y villa de Salobreña á D, Pedro Benito y Vidal: para la de la</t>
  </si>
  <si>
    <t>Glutz</t>
  </si>
  <si>
    <t>ordon de tropas confederadas en las fronteras meridionales y orientales de la Suiza; se asegura que Mr. Glutz, conformándose con el dictamen de su predecesor, ha pasado el proyecto á los Gobiernos, que mas interes tienen en la comunicación libre con Italia. Luego que dichos Gobiernos haya</t>
  </si>
  <si>
    <t>Glutz, Coronel</t>
  </si>
  <si>
    <t>Coronel Glutz</t>
  </si>
  <si>
    <t>osto á lo*9 Gobiernos cantonales se confirma lo que se dixo últimamente en quanto a la comisión del Coronel Glutz, el qual va efectivamente encargado de declarar á la Corte Imperial que en caso de guerra está resuelta la Suiza á guardar y mantener exacta neutralidad, y de hacer reconocer esta</t>
  </si>
  <si>
    <t>s sesiones. Casi todos los Enviados de las diferentes Potencias están ya de vuelta en Ratisbona. El Coronel Glutz, que ha estado en Viena diputado pór la Confederación Helvética, ha vuelto áSoleure con la agradable noticia de que el Austria ha accedido á la neutralidad de la Suiza, con la con</t>
  </si>
  <si>
    <t>Gobernador General Barón de Toll</t>
  </si>
  <si>
    <t>r. Este corto exército está dividido en dos colunas; la primera, mandada por el Gobernador General Barón de Toll, y la otra por el Teniente General Barón de Cederstroeim, Presidente del Colegio de la Guerra.__ Luego que llegó S. M. al monasterio de Herrevad, se quedaron l</t>
  </si>
  <si>
    <t>Gobernador Hourschid-Baxá</t>
  </si>
  <si>
    <t>Puerta ha recibido noticias de oficio de Egipto ; lo qual nos hace creer que el Gobernador Hourschid-Baxá se ha mantenido dueño dei Cayro.</t>
  </si>
  <si>
    <t>Gobernador Hurehild-Baxá</t>
  </si>
  <si>
    <t>el desorden y la confusión. Ignoramos el paradero que habra. tenido el anterior Gobernador Hurehild-Baxá. En la Siria se observa poco mas ó menos la misma confusión. Los habitantes de Alepo habian echado ignominiosamente al Baxá, so color de las vexacíones que com</t>
  </si>
  <si>
    <t>Gobernador Hurschid-Baxá</t>
  </si>
  <si>
    <t>n de sacudir el yugo de la Puerta. Por todas estas consideraciones ha pedido el Gobernador Hurschid-Baxá un refuerzo de Turcos, y que se dé licencia á los Albaneses, á fin de asegurar al Gran Señor la posesión de Egipto, y proteger á sus habitantes contra las cont</t>
  </si>
  <si>
    <t>Gobernador Mili</t>
  </si>
  <si>
    <t>M., que Dios guarde, se observen, baxo el inmediato cuidado é inspección de su Gobernador Mili-., tar y Políticü'de la expresada ciudadíde Málaga el Brigadier D. Jayme Moreno y la Corte ; po r lo.tanto , y siendo igualmente el deseo de los interesados fin</t>
  </si>
  <si>
    <t>Gobernador Militar y Político de Salamanca</t>
  </si>
  <si>
    <t>se ha dignado promover á Brigadier de sus Exércitos ál Coronel Marques de ¿ayas^Gobernador Militar y Político de Salamanca. El Rey. se:lia&gt;servido conferir el Gobierno del castillo de S. Sebas</t>
  </si>
  <si>
    <t>Gobernador, General</t>
  </si>
  <si>
    <t>General Gobernador</t>
  </si>
  <si>
    <t>del Clero en la puerta de la Catedral, y al pasar el coche de SS. MM. se acercó á incensarlos.-.—EL General Gobernador recibió á SS. MM. en la puerta exterior del palacio, y Mr. Melzi , los Miembros de la Consulta de Estado , los Ministros y el Consejo Legislativo eri el primer vestíbulo.— Las Dam</t>
  </si>
  <si>
    <t>Gobernador, Mariscal</t>
  </si>
  <si>
    <t>Mariscal Gobernador</t>
  </si>
  <si>
    <t>por una guardia y con varios coches de comitiva. Al apearse del coche en el patio grande le recibió Mariscal Gobernador de la casa y su Estado mayor , y el Clero de los Inválidos le acompañó en la Iglesia hasta el altar mayor, donde oró S. S. en eí reclinatorio que se le habia dispuesto. Luego pasó á ver</t>
  </si>
  <si>
    <t>Gódiel, Nicolás</t>
  </si>
  <si>
    <t>Nicolás Gódiel</t>
  </si>
  <si>
    <t>de granaderos á D. Francisco Caracholi; y sencillas á D. Bernardo Manrique, D. Francisco Alcántara, D. Nicolás Gódiel, D. Manuel Orihuela, D. Vicente Herencia, D.Vicente Portugal,D. Miguel Carrasco y D. Martin Vargas; Ayudantías á D. Jorge Santos García y D. Melchor Olaquibel; Tenencia de granade</t>
  </si>
  <si>
    <t>Godino, Vicente</t>
  </si>
  <si>
    <t>Vicente Godino</t>
  </si>
  <si>
    <t>a, partido de ja ciudad de Baza, en la provincia de Granada; y se ha dignado de nombrar para ella á D. Vicente Godino. En la extracción de la Real lotería executada el lunes 23 del corriente, saiiéron los números 89, 5 5,42* 16 y 24 ; y con ello§; han .ganado los, jur galores-1^319,950 rs. . i, E</t>
  </si>
  <si>
    <t>Godlin, Bernardo</t>
  </si>
  <si>
    <t>Bernardo Godlin</t>
  </si>
  <si>
    <t>s al de fusileros D. Josef Alíñela y Leony ; y en el de Reding á Capitán primero al Capitán segundo D. Bernardo Godlin; y á Subteniente al Cadete D. Juan Jorge Kiitel. En América. El Rey se ha servido nombrar para-una Media-Ración de la Metropolitana de Carácas, vacante por promoción de D. Santiag</t>
  </si>
  <si>
    <t>Godt, Juan</t>
  </si>
  <si>
    <t>Juan Godt</t>
  </si>
  <si>
    <t>s Téniérifes D. Antonio Miesch y D» Juan Klein : en el de Traxíer al empleo de Ayudante al Teniente D. Juan Godt u en el de Reding á Subteniente de granaderos á^de ¡fusileros D Ignacio Baumániy á Subtenientes de bandera, de .nuevá,ereacion, á JX PascuaL y 0. Luis Tschudy t e¿ el de Courten á</t>
  </si>
  <si>
    <t>Gofrí, Juan</t>
  </si>
  <si>
    <t>Juan Gofrí</t>
  </si>
  <si>
    <t>/-Juan Gofrí............. Hijo de Juan, nat. de Cumperez en Pru-'</t>
  </si>
  <si>
    <t>Gogel</t>
  </si>
  <si>
    <t>l establecimiento de este Banco, tan útil para desterrar la usura, fué propuesto hace tres años por Mr. Gogel, actualmente Secretario de Estado y del Despacho de Hacienda. Los efectos Báta vos tienen cada dia mas estimación: la confianza que la nación tiene del nuevo Gobierno motiva esta</t>
  </si>
  <si>
    <t>Goguet, Coronel</t>
  </si>
  <si>
    <t>Coronel Goguet</t>
  </si>
  <si>
    <t>tropas delante dé él, dio muestras de pelear. El Regimiento 22 de infantería ligera, mandado por su Coronel Goguet, recibió orden de pasar inmediatamente mas allá de Veroneta: el enemigo hizo un movimiento contra él, y le forzó á colocarse baxo la protección del castillo S. Felice. El General</t>
  </si>
  <si>
    <t>Gohier</t>
  </si>
  <si>
    <t>obierno Bátavo. Sin embargo , si los granos se sacasen con destino á Francia, bastará el permiso de Mr. Gohier , Comisario de Relaciones comerciales del Imperio Francés en Amsterdam. Leyden $ de Febrero. El Mariscal Bruñe , que se hallaba de Embaxador de Francia cerca de la Puerta Otomana,</t>
  </si>
  <si>
    <t>Goiburu, Antonio</t>
  </si>
  <si>
    <t>Antonio Goiburu</t>
  </si>
  <si>
    <t>de dragones de Carabaya, en el Reyno del Perú, se ha dignado S. M. conceder el empleo de Coronel á D. Antonio Goiburu ; Tenencia Coronela á D. Josef García de Santiago; Comandancias de esquadron á D. Manuel Goiburu y O. Vicente ’Nacero; la Sargentía mayor á D. Juan Pinto del Postigo; Compañía de</t>
  </si>
  <si>
    <t>Goizueta, Melchor</t>
  </si>
  <si>
    <t>Melchor Goizueta</t>
  </si>
  <si>
    <t>eo de Coronel á D. Nicolás de Oviedo; el de Teniente Coronel á D. Manuel de Herrera; Comandancias á D. Melchor Goizueta y D. Narciso Basagoitta ; Sargentía mayor á D. Ramón del Valle ; Compañía de carabineros á D. Josef Pelotieri; y sencillas ú D. Mariano Oviedo, D. Estéban Pacheco , D. Francisco Norie</t>
  </si>
  <si>
    <t>Gól Fernández, Diego</t>
  </si>
  <si>
    <t>Diego Gól Fernández</t>
  </si>
  <si>
    <t>22, xnanz. 449, que tiene 2383- pies de sitio, y está tasada en 87,032 rs. Por providencia del Sr. D. Diego Gól Fernandez, del Consejo de S. M., Alcalde de su Real Casa y Corte, se ha señalado el dia 6 del corriente, á las doce de su mañana, en la escribanía de provincia de D. Juan Antonio Diaz Norie</t>
  </si>
  <si>
    <t>Gollo-r, General</t>
  </si>
  <si>
    <t>General Gollo-r</t>
  </si>
  <si>
    <t>de; esta capital. Los Enviados de In-í gl aterra y de Suecia saldrán un día de estos para Wilna. El General Gollo-r grivow, Comandante del Regimiento de los húsares de la guardia Imperial, ha tenido un desafio, de cuyas resultas está herido gravemente ,,y no podrá ir á Alemania. ■ . ; i.. , Ha</t>
  </si>
  <si>
    <t>Golowkin, Jorge (conde)</t>
  </si>
  <si>
    <t>Conde Jorge Golowkin</t>
  </si>
  <si>
    <t>asegurar nuestro comercio con aquel Imperio, se encargará al Consejero íntimo, Senador y Caballero, Conde Jorge Golowkin. La segunda tendrá por ob</t>
  </si>
  <si>
    <t>Golwkin, Jorge (conde)</t>
  </si>
  <si>
    <t>Conde Jorge Golwkin</t>
  </si>
  <si>
    <t>sos por ligias faltas ó por fianzas* Se da por seguro que el Senador y Graft-Maestro de ceremonias, Conde Jorge Golwkin, ira muy en breve á la China en calidad de Embaxador de primer orden. Hace ya mas de 30 años que la Rusia no ha enviado embáxada á aqueL Imperio. Dícese que irán 1500 soldados esc</t>
  </si>
  <si>
    <t>Gómez Anacas, Juan</t>
  </si>
  <si>
    <t>Juan Gómez Anacas</t>
  </si>
  <si>
    <t>Juan Gómez Anacas. Elijo de Juan, natural de la villa de Gasean</t>
  </si>
  <si>
    <t>Gómez de la Torre, Francisco</t>
  </si>
  <si>
    <t>Francisco Gómez de la Torre</t>
  </si>
  <si>
    <t>e Cartagena, predicaron el Dr. D. Juan Lozano, Canónigo de la Santa Iglesia de Cartagena, y el Lie. D. Francisco Gómez de la Torre, Prebendado de la misma, dignas del mayor aprecio, por formar debidamente el elogio de un Prelado, cuyo relevante mérito y exemplarísimas virtudes eternizarán su gloriosa memoria.</t>
  </si>
  <si>
    <t>Gómez de la Torre, Vicente</t>
  </si>
  <si>
    <t>Vicente Gómez de la Torre</t>
  </si>
  <si>
    <t>Medio-Préstamo del lugar de las Cuevas, ambos en el Obispado de Jaén, vacantes por fallecimiento de D. Vicente Gómez de la Torre, á D.»Andrés Santos Revuelta, Sacristán mayor de la Real y Patriarcal Iglesia del Buen Suceso: para el Beneficio de la Parroquia de Santa María de Lugo , en el Obispado de Oviedo,</t>
  </si>
  <si>
    <t>Gómez Falco, Vicente</t>
  </si>
  <si>
    <t>Vicente Gómez Falco</t>
  </si>
  <si>
    <t>Arteaga y Roxas:para otra Ración de la Colegial de Soria,Diócesi de Osma, vacante por promoción de D. Vicente Gómez Falco- á Canongía de la misma, á D. Saturio Martínez : para una de las catorce Capellanías de numero y coro de la Metropolitana de Granada, vacante por fallecimiento de D. Francisco Rold</t>
  </si>
  <si>
    <t>Gómez Gamero, Antonio</t>
  </si>
  <si>
    <t>Antonio Gómez Gamero</t>
  </si>
  <si>
    <t>Real Monasterio de la Visitación: para una Ración de la misma Iglesia, vacante por fallecimiento de D. Antonio Gómez Gamero, á D. Vicente Perez de Santa María: para una Canongía de la Colegial de Baeza, en la Diócesis de Jaén, vacante por fallecimiento de D. Josef Diego García de Ñera, á D. Juan de Cam</t>
  </si>
  <si>
    <t>Gómez Torre, Gerónimo</t>
  </si>
  <si>
    <t>Gerónimo Gómez Torre</t>
  </si>
  <si>
    <t>e Guanaxuato, en Nueva-España, se ha servido S. M. promover á Teniente al Subteniente de granaderos D. Gerónimo Gómez Torre; á Subteniente de granaderos al de fusileros D. Josef Manuel Bustamante, y á Subtenientes de compañía y de bandera á D. Mariano Sein, D. Josef Ana Marmolejo y D. Manuel de Septien</t>
  </si>
  <si>
    <t>Gómez Villaseñor, Juan</t>
  </si>
  <si>
    <t>Juan Gómez Villaseñor</t>
  </si>
  <si>
    <t>rez de Hermosilla: para la Chantría al Maestrescuela Don Joan Josef Moreno: para la Maestrescolia á D. Juan Gómez Villaseñor; y para la Tesorería, que este dexa, á D. Agustín Josef Mariano del Rio de la Loza, Canónigo Magistral de dicha Iglesia. S. M. se ha servido nombrar Teniente de la compañía fixa d</t>
  </si>
  <si>
    <t>Gómez, Agustín</t>
  </si>
  <si>
    <t>Agustín Gómez</t>
  </si>
  <si>
    <t>trimonial de ía Parroquial de la villa de Alagon, Diócesi de Zaragoza, vacante por fallecimiento de D. Agustín Gómez, á D. Juan Antonio Blasco ; y para el Beneficio de los Santos Juanes de la Parroquia de Rusafá, extramuros de la ciudad de Valencia, vacante por muerte de D. Andrés Grau, á Don Vi</t>
  </si>
  <si>
    <t>Gómez, Andrés</t>
  </si>
  <si>
    <t>Andrés Gómez</t>
  </si>
  <si>
    <t>S. M promover á Cadete de número al supernumerario Don Josef Boselí, y á Supernumerario al Guardia D. Andrés Gómez. El Rey se ha servido conferir en el Regimiento de infantería de Granada Tenencia al Subteniente D. Carlos Luis de Castro: en el de Hibernia Compañía al Teniente de granaderos , g</t>
  </si>
  <si>
    <t>atore : á Subrogad i er al Cadete Garzón D. Domingo Vasallo : á Cadetes de número ai Supernumerario D. Andrés Gómez, y Guardias D. Manuel Peynado y D. Josef Burone; y á Cadete Supernumerario al Guardia D. Juan Gómez. El Rey se ha servido conferir Compañía en el Regimiento de Húsares Españoles a</t>
  </si>
  <si>
    <t>Gómez, Antonio</t>
  </si>
  <si>
    <t>Antonio Gómez</t>
  </si>
  <si>
    <t>uiz de Lanzarote; y empleos de Portaestandartes en los de Borbon, Farnesio y Santiago á los Cadetes D. Antonio Gómez, Don Félix Josef Ramos y D. Josef Antonio Ximenez,que lo es del del Infante. En el discurso de un año, contado desde i.° de Diciembre de 180^3 hasta fin de Noviembre de 1804,ha ha</t>
  </si>
  <si>
    <t>Gómez, Francisco</t>
  </si>
  <si>
    <t>Francisco Gómez</t>
  </si>
  <si>
    <t>n el de Borbon al Portaestandarte D. Pedro Menor; y á este empleo en ei del Rey al Sargento primero D. Francisco Gómez". En los de caballería ligera se ha servido S. M. igualmente conferir empleo de Teniente en el de húsares de María Luisa al Alférez, graduado de Teniente, D. Josef Villalobos; y á</t>
  </si>
  <si>
    <t>Gómez, Gerónimo</t>
  </si>
  <si>
    <t>Gerónimo Gómez</t>
  </si>
  <si>
    <t>ldea Davila de la Ribera, Diócesi de ¿Salamanca, vacantes por muerte de D. Andrés Antonio Cortés, á D. Gerónimo Gómez: para el Beneficio de la Parroquia del Castellar, en el Obispado de Jaén, vacante por promoción de D. Cipriano Castellano Cabrejano á Canongía de la Catedral de Cuenca, á D. Josef</t>
  </si>
  <si>
    <t>Gómez, Joseph Antonio</t>
  </si>
  <si>
    <t>Joseph Antonio Gómez</t>
  </si>
  <si>
    <t>al é hijo y compañía. En Segovia.............Sres. viuda de Ramiro y Martin. En Sevilla.............D. Joseph Antonio Gómez é hijo. En Soria.................D. Andrés Martínez de Aparicio. En Toledo............... Sres. Chavarri y Posadillo. En Toro.................. D. Joseph Ligero. En Valencia......</t>
  </si>
  <si>
    <t>Gómez, Juan</t>
  </si>
  <si>
    <t>Juan Gómez</t>
  </si>
  <si>
    <t>Andrés Gómez, y Guardias D. Manuel Peynado y D. Josef Burone; y á Cadete Supernumerario al Guardia D. Juan Gómez. El Rey se ha servido conferir Compañía en el Regimiento de Húsares Españoles al Ayudante , graduado de Capitán , D. Antonio Marañosa; y empleo de Teniente en el de Dragones de la</t>
  </si>
  <si>
    <t>Gómez, Lorenzo</t>
  </si>
  <si>
    <t>Lorenzo Gómez</t>
  </si>
  <si>
    <t>ncias en los Regimientos de Infantería de Extremadura y Malaga á los Subtenientes D. Josef Oníáony, D. Lorenzo Gómez y D. Rambri Vidondo; y Subtenencia ¿U él de Málaga al Cadete de la Compañía de caballería de Zeuta D. Benito Menacho 'y Aguado. En América. El Rey se ha servido nombrar para el Obispa</t>
  </si>
  <si>
    <t>Gómez, Manuel Antonio</t>
  </si>
  <si>
    <t>Manuel Antonio Gómez</t>
  </si>
  <si>
    <t>. Timoteo Ramos, D. Pedro Béjar, D. Melchor Ramos, D.Josef Vicente Andrade , D. Alberto de Castro , D. Manuel Antonio Gómez, Don Ramón de Santander y D. Joaquín Tejada; Subtenencia de granaderos á Don Eugenio de Castro, y de fusileros á D. Pedro Bustinza, D. Vicente Béjar, D. Manuel Céspedes, D. Higidi</t>
  </si>
  <si>
    <t>Gómez, Pedro</t>
  </si>
  <si>
    <t>Pedro Gómez</t>
  </si>
  <si>
    <t>dad de Arcediano titular de la Catedral de Teruel, en lugar y por muerte de D. Joaquín de Espejo, á D. Pedro Gómez: para una Canongía de la Colegial de S. Juan de las Abadesas, Diócesi de Vique, vacante por fallecimiento de D. Pedro Creuhet, á D. Jayme Branxar: para una Canongía de ia Colegiat</t>
  </si>
  <si>
    <t>Goncer, Juan</t>
  </si>
  <si>
    <t>Juan Goncer</t>
  </si>
  <si>
    <t>sona,baxo la invocación de S. Juan Bautista, unido á otro de la de S. Martin, vacante por muerte de D. Juan Goncer, á D. Isidro Momblanch; y para el Beneficio titulado de Santa Catalina , vacante ea la Catedral de Gerona por fallecimiento de D. Jcsef Quera, á D. Salvador Pou. En la Compañía Es</t>
  </si>
  <si>
    <t>Góngora, Pedro</t>
  </si>
  <si>
    <t>Pedro Góngora</t>
  </si>
  <si>
    <t>; á Teniente de granaderos al de fusileros D. Andrés Vivas; á Teniente al Subteniente de granaderos D. Pedro Góngora; á Sub* teniente de granaderos al de fusileros!).Francisco de Falla, y á Subteniente de bandera al Cadete D. Juan Canseco. En el Regimiento de milicias disciplinadas de infantería</t>
  </si>
  <si>
    <t>Gonsalvi, Cardenal</t>
  </si>
  <si>
    <t>Cardenal Gonsalvi</t>
  </si>
  <si>
    <t>, y caminado 300 leguas en 34 horas; lo que hace 15 leguas por hora__ Ha comunicado esta noticia el Cardenal Gonsalvi á S. E. él_ Cardenal Caprara. *&gt; ESPAÑA. Madrid 2$ de Enero. y En el Regimiento de Reales Guardias de infantería Waípna se ha servido el Rey promover á Capitán al Coronel graduado</t>
  </si>
  <si>
    <t>Gonzafez de Aguírre, Manuel</t>
  </si>
  <si>
    <t>Manuel Gonzafez de Aguírre</t>
  </si>
  <si>
    <t>escuela : para esta Dignidad á D. Bernardo Baamonde , Canónigo mas antiguo ; y para esta Canongía á D. Manuel Gonzafez de Aguírre, Racionero primero. Para la Chantría de la Metropolitana de Lima, vacante por muerte de Don Josef Alvarado , á D. Pablo Laurnaga; y para la Tesorería que dexa áD.Josef de Silva ,</t>
  </si>
  <si>
    <t>Gonzakz Montero, Agustín</t>
  </si>
  <si>
    <t>Agustín Gonzakz Montero</t>
  </si>
  <si>
    <t>, en la Diócesi de Plasencia, con la obligación de celebrar la misa de once en los días festivos, á D. Agustín Gonzakz Montero: para el Préstamo del. lugar de Coxos de Rollan, en la Diócesi de Salamanca, vacante por fallecimiento de D. Cristóbal Martínez, á D. Mariano Calderón y Cavanillas:, para el Benef</t>
  </si>
  <si>
    <t>González Arnao, Vicente</t>
  </si>
  <si>
    <t>Vicente González Arnao</t>
  </si>
  <si>
    <t>s memorias siguientes-. i.a Elogio histórico del Cardenal D. Fr. Francisco Ximenez de Cisnercs, por D. Vicente González Arnao: 2.a Ensayo histórico crítico sobre el origen y progresos de las lenguas, señaladamente del romance castellano, por D. Francisco Martinez Marina: 3.a Discurso histórico sobre el o</t>
  </si>
  <si>
    <t>González Beltraniila y Angulo, Gregorio</t>
  </si>
  <si>
    <t>Gregorio González Beltraniila y Angulo</t>
  </si>
  <si>
    <t>to primera silla de la Catedral de Jaén, vacante por fallecimiento de D. Josef Martinez de Mazas, á D. Gregorio González Beltraniila y Angulo, Dignidad de Arcediano titular y Canónigo de la Catedral de Almería: para la Ración de la Catedral de Cuenca , vacante por ascenso de D. Cipriano Castellano Cabrejano á Canongía d</t>
  </si>
  <si>
    <t>González Beltranilla, Gregorio</t>
  </si>
  <si>
    <t>Gregorio González Beltranilla</t>
  </si>
  <si>
    <t>legiata deBriviesca: para el Arcediana'to titular de la Catedral de Almeríavacante por promoción de D. Gregorio González Beltranilla al Deanato de la de Jaen,á Don Dionisio de la Coba: para la Canongía que este obtiene en ella á D. Josef Vicente de Góngora, Beneficiado de Santa María de Jaraíz en el Obispado de</t>
  </si>
  <si>
    <t>González Cisniega, Juan</t>
  </si>
  <si>
    <t>Juan González Cisniega</t>
  </si>
  <si>
    <t>rí, id., herido en el Bahama: D. Josef Brandaris, id., herido en el S. Agustín. Tententes de Navio. D. Juan González Cisniega, muerto: D. Joaquín de Salas id.: D. Juan Matute id.: D. Agustín Monzon id. : D. Juan Donesteve id.: D. Ramón Amaya id.: D. Francisco Calderón, herido: D. Marcos Guruzeta id.: D.</t>
  </si>
  <si>
    <t>González de Cevallos, Antonio</t>
  </si>
  <si>
    <t>Antonio González de Cevallos</t>
  </si>
  <si>
    <t>jo y D. Francisco Valdivia de la Cerda; y de Subtenientes de bandera en los de León, Lorca y Toro á D. Antonio González de Cevallos, D. Juan Ximenez y D. Manuel Ezequiel Diez. S. M. se ha servido nombrar para la plaza de Oidor de la Audiencia de Aragón, vacante por fallecimiento de D. Josef Regales y Cregenzan</t>
  </si>
  <si>
    <t>González de la Reguera, Juan</t>
  </si>
  <si>
    <t>Juan González de la Reguera</t>
  </si>
  <si>
    <t>. En América. S. M. se ha servido nombrar para el Arzobispado de Lima, vacante por fallecimiento de D. Juan González de la Reguera, á Don Bartolomé de las Heras, Obispo del Cuzco; y para el de Guatemala, vacante por renuncia de D. Luis de Penal ver y Cárdenas, á D. Rafael de la Vara, Obispo Auxiliar de Santa</t>
  </si>
  <si>
    <t>González de Miranda, Juan Antonio</t>
  </si>
  <si>
    <t>Juan Antonio González de Miranda</t>
  </si>
  <si>
    <t>jo de S. M., Teniente Corregidor de esta villa, se cita y emplaza á qualquiera acreedor legítimo,de D. Juan Antonio González de Miranda, vecino y del comercio de esta Corte, para que concurra á la escribanía propietaria del número de D. Cristóbal de Vicuña, dentro de 15 días contados desde el 9 del corriente, á ce</t>
  </si>
  <si>
    <t>González de Navas, Martín</t>
  </si>
  <si>
    <t>Martín González de Navas</t>
  </si>
  <si>
    <t>ril de 1804, en la Iglesia de Trinitarios Calzados de esta Corte, por el Dr. D. Martin González de Navas, Canónigo de la Real Iglesia de S. Isidro , y publicado por la misma Congregación para socorro de los pobres de su instituto. Véndese en la librería de Castillo, frente á las gradas de S. F</t>
  </si>
  <si>
    <t>González del Campillo, Manuel Ignacio</t>
  </si>
  <si>
    <t>Manuel Ignacio González del Campillo</t>
  </si>
  <si>
    <t>qne fué recibida con las demostraciones mas grandes de jubilo y aprecio;.__ Noticioso el limo. Sr. D. Manuel Ignacio González del Campillo, Obispo de ésta Diócesis,.y el Sr. Conde de la Cadena, Gobernador é Intendente de esta ciudad y provincia, del arribo de la Real expedición, salieron en sus coches de gala, acompa</t>
  </si>
  <si>
    <t>González Fernández, Vicente</t>
  </si>
  <si>
    <t>Vicente González Fernández</t>
  </si>
  <si>
    <t>s: para el Beneficio residencial titulado Arci•prestazgo de Maderuelo, en el Obispado de Segovia, á D. Vicente González Fernandez: para la Prestamera de la Parroquial de S. Vicente de Sevilla, por muerte de D. Gerónimo de Fuentes, y para el Préstamo de la villa de la Parra, Obispado de Cuenca, por promoción</t>
  </si>
  <si>
    <t>González Montero, Agustín</t>
  </si>
  <si>
    <t>Agustín González Montero</t>
  </si>
  <si>
    <t>lasencia, para el qual estaba nombrado por decretó de 11 de A gesto úl timo ; y para esta resulta á D. Agustín González Montero con la obligación de decir misa de once en los dias festivos á los veci-, nos de dicho Estado. * En el Regimiento de caballería de Algarbe se ha servido el Rey conce-? der empleo</t>
  </si>
  <si>
    <t>González Nóboa, Isidoro</t>
  </si>
  <si>
    <t>Isidoro González Nóboa</t>
  </si>
  <si>
    <t>e papel en la ribera del rio Tajuí¡a, término de la villa de O-rusco, acuda á tratar sobre ello con D. Isidoro González Nóboa^. en la calle de Alcalá,, casa nám. 4, que habita el Sr. Conde de Saceda. Se halla vacante la plaza de Cirujano latino de la villa de Medina del Campo, creada en virtud de Real fa</t>
  </si>
  <si>
    <t>González Quevedo, Rafael</t>
  </si>
  <si>
    <t>Rafael González Quevedo</t>
  </si>
  <si>
    <t>se ha servido conceder eit el Regimiento de infantería de Ñapóles Subtenencia de bandera al Cadete D. Rafael González Quevedo. S. M. se ha servido conferir el empleo de Capitán segando en el primer Batallón de Voluntarios de Barcelona al segundo Ayudante D. Josef Isidoro Vehy; y la Subtenencia de bandera</t>
  </si>
  <si>
    <t>González Rendon, Antonio</t>
  </si>
  <si>
    <t>Antonio González Rendon</t>
  </si>
  <si>
    <t>ceno Montero y D. Francisco Roco en traducción de autores y reglas de sintaxis; D. Joaquin Sevilla, D. Antonio González Rendon, D. Joser María Montero, D. Ramón Ribera, D. Josef Noceda, D. Josef Valero y D. Domingo Cepillo en rudimentos y todo género de oraciones. ! Madrid J6de Julio. S. M. se ha servido</t>
  </si>
  <si>
    <t>González Saez, Julián</t>
  </si>
  <si>
    <t>Julián González Saez</t>
  </si>
  <si>
    <t>. 91 ¿ con. 1656 pies, tasada en 31,827 rs.=Por el referido Sr. Teniente y escribanía del número de D. Julián González Saez se subasta una casa sita en la cálle de las Huertas de esta Corte, núm. 18, manz. 235 , tasada en 163,838 rs.: otra en la calle del Es-f corial, núm. 14, manz. 460, en 45,797 rs.:</t>
  </si>
  <si>
    <t>González Viilagra, Juan</t>
  </si>
  <si>
    <t>Juan González Viilagra</t>
  </si>
  <si>
    <t>: el Regimiento de Camaná á D. Raymundó Gutierres Otero : la Tenencia Coronela del de Paucartambo á D. Juan González Viilagra ; la Sargentía mayor del mismo áD. Martin Garmendia, y ComÍ&gt;añía en el propio á D. Lino Saenz: Tenencia en el de lea á D. Juan Boinaga: Tenencia veterana en la Plana mayor blanca</t>
  </si>
  <si>
    <t>González Villar, Juan</t>
  </si>
  <si>
    <t>Juan González Villar</t>
  </si>
  <si>
    <t>jaderitos angosta. Suplemento al tratado de la sagrada Luminaria, por el Dr. D. Juan González Villar, Canónigo Lectoral y Abad de S. Guillermo, Dignidad de la Catedral de León: en estas adiciones, ademas de corroborarse el antiguo y piadoso culto de las luces en honra de Dios y de los Sant</t>
  </si>
  <si>
    <t>González y Borromei</t>
  </si>
  <si>
    <t>á los 67 años y 3 meses de su edad, el Excmo. Sr. D. Joaquin Mayone, Ferrari , González y Borromei, natural de esta Corte, Conde de Cumbrehermosa , Teniente General de los Reales Exércitos, y Gentilhombre de Cámara de S. M. con entrada. Empezó á servir á S.M. desde la cuna, en la qual f</t>
  </si>
  <si>
    <t>González Yebra, Antonio</t>
  </si>
  <si>
    <t>Antonio González Yebra</t>
  </si>
  <si>
    <t>Sargento primero de granaderos £). Joaquín García. ? En atención á los mépitps.y servicios del Sr. D. Antonio González Yebra^,¿Ministro' del Consejo-¿Real, lia venidoM’. en concederle, plaza' en la pámara? y .en atención. .tambieíi ájai avanzada edad, achaques y&gt; buenos se'irvicjos de E)*: Franicisco Su</t>
  </si>
  <si>
    <t>González, Agustín</t>
  </si>
  <si>
    <t>Agustín González</t>
  </si>
  <si>
    <t>as de Cárdenas, D. Nicolás Arniaud y D. Juan Manuel de Alcega, y á Alféreces á los Portaestandartes D. Agustín González y D. Santiago Mugerza, y al Cadete D. Josef Severo Cabral. El Rey se ha dignado promover á Coronel del Batallón de nueva creación de Milicias de Olancho, en el Reyno de Goatemala, á D</t>
  </si>
  <si>
    <t>González, Alonso</t>
  </si>
  <si>
    <t>Alonso González</t>
  </si>
  <si>
    <t>Córdoba al Sargento primero D. Miguel Chamizo ; y en el de Jaén al de la propia clase de granaderos D. Alonso González; y Tenen-r cia en el segundo batallón de Voluntarios de Aragón al Subteniente Don Macario Higuera., El Rey se ha servido conceder en el Regimiento de infantería de Málaga Tenencia</t>
  </si>
  <si>
    <t>González, Bartolomé</t>
  </si>
  <si>
    <t>Bartolomé González</t>
  </si>
  <si>
    <t>fBartolomé Gonza - Hijo de Manuel, nat. de Carmena, Reyno)</t>
  </si>
  <si>
    <t>González, Bernardo</t>
  </si>
  <si>
    <t>Bernardo González</t>
  </si>
  <si>
    <t>, y algunas otras adealas voluntarias. Los aspirantes á dicho Magisterio dirigirán sus memoriales á D. Bernardo González, Escribano de Ayuntamiento de la misma villa. Lecciones de geografía astronómica, natural y política, escritas por el Doctor D. Isidoro de Antillon, Catedrático de Astronomía, Geo</t>
  </si>
  <si>
    <t>aderos en los de León, Orense y Alcázar de S. Juan á los. Capitanes de fusileros D. Isidoro Casado, Don Bernardo González y D. Pedro Tabarra , este graduado de Teniente Coronel; Compañías de fusileros en los de Ecijay Monterey á los Tenientes de granaderos D. Francisco Pretel y D. Josef María Yañez; !a T</t>
  </si>
  <si>
    <t>González, Diego</t>
  </si>
  <si>
    <t>Diego González</t>
  </si>
  <si>
    <t>j'Diego González...... Hijo de Alonso, natural deJEcija: murió enl</t>
  </si>
  <si>
    <t>González, Diego Benigno</t>
  </si>
  <si>
    <t>Diego Benigno González</t>
  </si>
  <si>
    <t>, tasada en 47,306 rs. Quien quisiere hacer postura, acuda á la escribanía propietaria de número de Don Diego Benigno González. Por el juzgado del Corregidor de la ciudad de Avila, y escribanía del número de ella de D. Gabriel del Castillo y Mercado, se está subastando uno de los quatro oficios de Notaría</t>
  </si>
  <si>
    <t>es, del Consejo de S. M., primer Teniente Corregidor de esta villa, por la escribanía del número de D. Diego Benigno González ha mandado sacar á pública subasta , por término de 30 dias, una casa sita en la calle Mayor , que hace esquina y vuelve á la de la Amargura, núm. 20, manz. 193, que ha sido y es</t>
  </si>
  <si>
    <t>uda ai citado Sr. D. Manuel Vicente de Torres, por la referida escribanía propietaria del número de D. Diego Benigno González. Por el juzgado del Sr. D. Torquato Antonio Collado, del Consejo de S. M., Teniente Corregidor de esta villa, y escribanía del número de D. Gervasio Fernandez Izquierdo, se está s</t>
  </si>
  <si>
    <t>vende,á voluntad de sus dueños. Quien quisiere hacer postura, acuda por la escribanía numeraria de D. Diego Benigno González. Quien quisiere vender un oficio de Procurador del Consejo ó de Villa, acudirá á la calle del Carmen, fábrica de cristales de D. Dionisio Prat, donde darán razón. Se desea saber s</t>
  </si>
  <si>
    <t>o Collado, del Consejo de S. M., Teniente Corregidor de esta villa, por la escribanía dél número de D. Diego Benigno González, á legitimar sus créditos y usar de su derecho; prevenidos que pasado dicho término, sin mas citación ni emplazamiento, se procederá á lo que corresponda, substanciando lo que ocu</t>
  </si>
  <si>
    <t>González, Domingo</t>
  </si>
  <si>
    <t>Domingo González</t>
  </si>
  <si>
    <t>de Febrero de 97...................... 803. id. id. Domingo González.</t>
  </si>
  <si>
    <t>González, Francisco</t>
  </si>
  <si>
    <t>Francisco González</t>
  </si>
  <si>
    <t>dante veterano de la tercera división de Milicias de la costá del Norte del Reyno de Nueva-España á D. Francisco González, Capitán del Regimiento de infantería de la Corona fixo delmismo Reyno. En la extracción de la Real lotería execntada el lunes io del corriente, salieron los números 75 , 74I, 71,</t>
  </si>
  <si>
    <t>e fuéron sostenidos por la tropa del Regimiento de infantería de Navarra, que al mando del Teniente D. Francisco González concurrió á aquel parage, y desde las alturas hizo tan vivo fuego sobre el : enemigo, que le obligó á desistir de su empresa, y retirarse quando ya tenia casi rendidas 3 de aquell</t>
  </si>
  <si>
    <t>sco Arteaga; el de supernumerario al Brigadier Don Vicente Iglesias; el de Brigadier ai Subrigadier D. Francisco González; el de Subrigadier al Cadete D. Josef Trelles; el de Cadete de número al supernumerario...D. Fernando Ayala;y el de supernumerario al Guardia D. Juan Josef Ripperdá. ....En el Reg</t>
  </si>
  <si>
    <t>González, Juan</t>
  </si>
  <si>
    <t>Juan González</t>
  </si>
  <si>
    <t>n el Regimiento de infantería de América á Ayudante ai Teniente de granaderos, graduado de Capitán, D. Juan González: en el de la Reyna á Teniente al Subteniente D. Juan López;y en ei de León á Subteniente de bandera ai Sargento primero de granaderos D. Vicente Esquivel. El Rey se ha servido pro</t>
  </si>
  <si>
    <t>; á Subteniente de granaderos al de fusileros D. Antonio Mora; y á Subteniente de bandera al Cadete D. Juan González. En el Regimiento de infantería Provincial de las Tres Villas, en NuevaEspaña,se ha servido el Rey promover á Capitán al Teniente de granaderos D. Manuel del Moral; á Teniente de</t>
  </si>
  <si>
    <t>los Subtenientes de granaderos D. Sebastian Pizarro y D. Joaquín González Teran, y al de fusileros Don Juan González; á Subtenientes de granaderos á los de fusileros D. Juan Bautista Saviñon yD. Josef Elorga; y á Subtenientes de bandera los Cadetes D. Miguel Estanislao Soler y D. Juan Zeiada y e</t>
  </si>
  <si>
    <t>González, Juan Antonio</t>
  </si>
  <si>
    <t>Juan Antonio González</t>
  </si>
  <si>
    <t>neficio de la Parroquia de Santa María Magdalena de la ciudad de Jaén, vacante por fallecimiento de D. Juan Antonio González, á D. Ignacio Salido y Velasco, Prior Párroco de dicha Iglesia, con retención de su Curato. El Rey se ha servido conferir en el Regimiento de infantería de Ñapóles Compañía ai Ayu</t>
  </si>
  <si>
    <t>González, Manuel</t>
  </si>
  <si>
    <t>Manuel González</t>
  </si>
  <si>
    <t>de Roa, Diócesi de Osma, vacante por promoción de Don Manuel Ramírez á otra de aquella Catedral, á D. Manuel González , Cura Párroco de la villa de Olmedillo, en la propia Diócesi: para otra de la Colegial de Antequera, Diócesi de Málaga, vacante por fallecimiento de D. Juan Sebastian de la Vega,</t>
  </si>
  <si>
    <t>imiento al Capitán segundo del quarto Don Joaquín Velarde; y Capitán segundo del quinto al Tendente D. Manuel González. En los Regimientos de caballería de línea se ha servido el Rey conferir en el de Montesa Compañía al Ayudante, graduado de Capitán, Don Pedro Sotomayor; y empleo de Portaestandar</t>
  </si>
  <si>
    <t>a Ración vacante en la Metropolitana de Santiago de Cuba por ascenso de D. Josef Nicolás Veranes, á D. Manuel González ; y para la Media-Ración que este dexa á D. Toribio del Castillo, Pro-Sochantre de ella: para otra Ración vacante en la propia Iglesia por translación de D. Josef Gabriel Ayvar á</t>
  </si>
  <si>
    <t>González, Nicolás</t>
  </si>
  <si>
    <t>Nicolás González</t>
  </si>
  <si>
    <t>Id. id. Nicolás González. Hijo de Juan y de Francisca Alvarez,</t>
  </si>
  <si>
    <t>González, Pedro</t>
  </si>
  <si>
    <t>Pedro González</t>
  </si>
  <si>
    <t>Voluntarios de Valencia se ha servido el Rey conceder Subtenencias de bandera á D. Ignacio Morales, D. Pedro González, D. Manuel Sacristán y D. Nicolás Pastor, el primero Cadete, y los demas Sargentos primeros de los mismos Cuerpos.</t>
  </si>
  <si>
    <t>González, Ramón</t>
  </si>
  <si>
    <t>Ramón González</t>
  </si>
  <si>
    <t>nientes de granaderos en los de Pontevedra, Santiago y Ecija á los de fusileros D. Manuel Llórente, D. Ramón González, y Don Miguel Ruiz Jurado; y á Subtenientes de bandera en los de Ecija, Sevilla,</t>
  </si>
  <si>
    <t>GonzálezÁramburu, Manuel</t>
  </si>
  <si>
    <t>Manuel GonzálezÁramburu</t>
  </si>
  <si>
    <t>z; y empleos de Alférez á D. f rancisco Horcasitas, D. Pedro Martínez Unamuzaga, Don' Pedro Cañedo, D. Manuel GonzálezÁramburu, D. Juan Manuel Lozano, D. Ventura del Castaño, D. Mariano Cruceta, D..SantiagoRizo, D. Eugenio Ibarrcia, D. Josef Osorio, y-'D. Martin Arambunn En el de los Valles de Acari y Cha</t>
  </si>
  <si>
    <t>Gorao, Manuel</t>
  </si>
  <si>
    <t>Manuel Gorao</t>
  </si>
  <si>
    <t>ra el. Magisterio de Capilla del Convento de 3a Encarnación de esta villa, vacante por promoción de Don Manuel Gorao .á una Canongía de la Catedral de Tarazona, á D., Ignacio Ducasi, Capellán de altar, del mismo Convento: para una Ración ó Coínensalía de la Catedral, de Tortosa, vacante por prom</t>
  </si>
  <si>
    <t>Gordillo, Manuel</t>
  </si>
  <si>
    <t>Manuel Gordillo</t>
  </si>
  <si>
    <t>én ha promovido S. M. á Teniente en el primer Batallón de Vof luntarios dé Barcelona al Subteniente D. Manuel Gordillo. También ha nombrado S* M. para un Oficio de Regidor de ía clase de Nobles de la ciudad de Alicante, Reyno de Valencia, con retención de lá bandolera que obtiene en la Compañía Es</t>
  </si>
  <si>
    <t>Gore, Capitán</t>
  </si>
  <si>
    <t>Capitán Gore</t>
  </si>
  <si>
    <t>e We— llesley en el empleo de Gobernador general. Se embarcará en la fragata Medusa, mandada por el Capitán Gore. Según el nuevo sistema militar, que propondrá Mr. Pitt al Parlamento , se aumentará el exército de línea con 15® hombres de tropas Inglesas ; y las extrangeras pagadas por el Gob</t>
  </si>
  <si>
    <t>Gosmao, Capitán</t>
  </si>
  <si>
    <t>Capitán Gosmao</t>
  </si>
  <si>
    <t>tos. Las noticias que he tenido de los dos navios que faltan á la esquadra ^Española son estas: „E1 Capitán Gosmao, Comandante del navio de S. M. I.</t>
  </si>
  <si>
    <t>Gosselin</t>
  </si>
  <si>
    <t>El mismo dia visitó la Biblioteca Imperial el Santo Padre, donde fué recibido por Mr. Gosselin, Conservador de la Biblioteca, quien dirigió un discurso á S. S. El Santo Padre le manifestó la satisfacción con que había oido el discurso , y luego principió á recorrer las sala</t>
  </si>
  <si>
    <t>Gottesheim, General</t>
  </si>
  <si>
    <t>General Gottesheim</t>
  </si>
  <si>
    <t>han encontrado del lado de Knibis; pero no se han cometido hostilidades.__ Las tropas dei mando dei General Gottesheim han ocupado á Stuttgardt, Tubingen y algunas otras ciudades inmediatas, y parte de la vanguardia Austríaca se ha adelantado hasta PfoTzheim en el Electorado de Badén. París 3 de O</t>
  </si>
  <si>
    <t>Gouvion</t>
  </si>
  <si>
    <t>Ministro Plenipotenciario en Dinamarca; á Mr. Hedouville, General de División; á Mr. Ferina, id.; á Mr. Gouvion, Inspector general de la Gendarmería; á Mr, Dambarere, Inspector de Ingenieros; á Mr. DoulcetPontecoulant, Prefecto del Dyle; á Mr. Colchen, Prefecto del Mosela; á Mr. Cauiaincour</t>
  </si>
  <si>
    <t>Gouvion-Saint-Cyr, Teniente General</t>
  </si>
  <si>
    <t>Teniente General Gouvion-Saint-Cyr</t>
  </si>
  <si>
    <t>ótesis estaba seguro de que el ala derecha que había dexado para observar á Venecia, mandada por el Teniente General Gouvion-Saint-Cyr, en la posición que ocupaba, no permitiría á los enemigos que peuetrasen impunemente por aquella parte: en la segunda hipoteds había hecho ocupar por varios Regimientos de caballe</t>
  </si>
  <si>
    <t>Grabinski, Coronel</t>
  </si>
  <si>
    <t>Coronel Grabinski</t>
  </si>
  <si>
    <t>gefe , que habiendo advertido á mitad del camino que la división de Regnier se replegaba, ordenó al Coronel Grabinski de tomar al enemigo por la retaguardia: este cuerpo embistió al instante con el mayor denuedo, y obligó al enemigo á retirarse á Castel-Fra'nco con pérdida de 150 prisioneros, inclus</t>
  </si>
  <si>
    <t>Graciano, Antonio</t>
  </si>
  <si>
    <t>Antonio Graciano</t>
  </si>
  <si>
    <t>ón de Voluntarios de Barbastro D Mariano Villaespesa y Oquendo, y al Sargento primero de granaderos D. Antonio Graciano: en el de Aragón Ayudantía al Teniente de granaderos , graduado de Capitán, D. Francisco Escaso: y er» el primer batallón de Voluntarios de Aragón Tenencia al Subteniente D. Juan</t>
  </si>
  <si>
    <t>Grambel, Francisco</t>
  </si>
  <si>
    <t>Francisco Grambel</t>
  </si>
  <si>
    <t>uan Estevez,y de fusileros á D. Tomas Carreri,D. Juan Anglés, Don Pascual Toledo, D. Manuel Carpió, D. Francisco Grambel,D. Josef Cordero, D. Ramón Oviedo y D. Juan Cornejo; Subtenencia de granaderos á D. Miguel San Román, y de fusileros á D. Julián Antezana, D. Evaristo Ximenez , D. Mariano Estevez</t>
  </si>
  <si>
    <t>Gran Juez</t>
  </si>
  <si>
    <t>. ITALIA. Milán 4 de Julio, En execucion de las órdenes del Emperador y Rey, el Gran Juez, Ministro dé la Justicia, Mr. Luosi, ha formado tres comisiones: la primera para la composición de ün proyecto dé código penal j y sobre el modo de instruir los procesos criminales, según p</t>
  </si>
  <si>
    <t>Grandallana, Teniente General</t>
  </si>
  <si>
    <t>Teniente General Grandallana</t>
  </si>
  <si>
    <t>Ferrol para reunir baxo de mi pabellón la esquadra de S. M. I. y la de S.M. Católica mandada’por el Teniente General Grandallana___ Luché dos dias conrra los vientos frescos de N. E. y una mar gruesa que contrariaron mi navegación, de manera que me fue preciso entrar en Vigo para desembarcar mis heridos, al</t>
  </si>
  <si>
    <t>Gras, Juan</t>
  </si>
  <si>
    <t>Juan Gras</t>
  </si>
  <si>
    <t>dem » , , y 66; 12» Juan Gras..................Isidro........... Teresa Monral. . Montblanc, , Idem , , ¿ y 66. i 2* Vicente Masdeu. .... Jayme. ... Úrsula. ....».*. Oriol, , ,,,, Tarragon</t>
  </si>
  <si>
    <t>Gratien, General</t>
  </si>
  <si>
    <t>General Gratien</t>
  </si>
  <si>
    <t>tendrá su quartel general en Groninga ; la 2.a el General Guerin-Etoquigny, en Utrecht ; la 3.a el General Gratien, en el Helder; la 4.a el General Baccop , en el Brille; y la 5.a el General Monnet, en Flesinga. Un decreto del Pensionario prohíbe á los Oficiales subalternos, así del exército c</t>
  </si>
  <si>
    <t>Grau, Andrés</t>
  </si>
  <si>
    <t>Andrés Grau</t>
  </si>
  <si>
    <t>Santos Juanes de la Parroquia de Rusafá, extramuros de la ciudad de Valencia, vacante por muerte de D. Andrés Grau, á Don Vicente Palau. S. M. se ha servido promover en el Regimiento de infantería de Valencia á Sargento mayor al Capitán, graduado de Teniente Coronel, Don Luis María Andriani; y</t>
  </si>
  <si>
    <t>Gravasini, General</t>
  </si>
  <si>
    <t>General Gravasini</t>
  </si>
  <si>
    <t>e las tropas que forman dicho cordon, ha llegado 8 dias nace á Leibach; é inmediatamente destacó al General Gravasini á las costas del Adriático para tomar el mando de los batallones que se destinarán á la Istria y al Tirol. Se ha dado orden de relevar cada 2 meses las tropas del cordon , en aten</t>
  </si>
  <si>
    <t>Graves, Almirante</t>
  </si>
  <si>
    <t>Almirante Graves</t>
  </si>
  <si>
    <t>t?, Almirante Lord, Gardner: 5 en la co^ta de Irlanda, Almi-, rante Drury : 7 delante de Rochefort, Almirante Graves : 9 delante del Ferrol, Almirante Calder; y 9 delante de Cádiz, Almirante Collingwood. No se hacen mas que conjeturas sobre el destino de las esquadras combinadas. Se habla del Br</t>
  </si>
  <si>
    <t>Gravina, Almirante</t>
  </si>
  <si>
    <t>Almirante Gravina</t>
  </si>
  <si>
    <t>pienso que no le resten mas que 12.__ No puedo elogiar bastante el talento y la noble conducta del Almirante Gravina: todos los navios Españoles se han portado con indecible valor; pero apenas comprehendo el acontecimiento de los dos navios que nos faltan. Sin embargo V. E. concibe qne 2 navios</t>
  </si>
  <si>
    <t>Gravina, General</t>
  </si>
  <si>
    <t>General Gravina</t>
  </si>
  <si>
    <t>se Ies habían juntado.__ Elogia Villeneuve á varios Oficiales de su esquadra, y particularmente, al General Gravina por su actividad, su zélo y-buena armonía; y en el momento que escribía, el dia 17, dice: „Estoy haciendo aguada; he encontrado la colonia abundantemente provista de víveres. El G</t>
  </si>
  <si>
    <t>apresados 15 de dichos buques entre las 2 fragatas y el navio Argonauta, donde lleva su insignia el General Gravina , qué por sil superior andar se incorporo desde luego con las fragatas. Este convoy, ricamente cardado de azúcares, café, algodón y otros efectos coloniales, habia salido en la no</t>
  </si>
  <si>
    <t>l enemigo, estrechando las distancias á medio cable. El navio Argonauta, donde tiene su insignia el General Gravina, se puso el primero de la línea, y'por sus águas formaron los otros. 5 navios; Españoles, siguiendo á estos los.Franceses por este orden : Argonauta , Terrible, España, América, S</t>
  </si>
  <si>
    <t>e han desmontado varias piezas de esta, y causado otras averías que exigen indispensable reparo. Él General Gravina dice que está muy satisfecho de la conducta y valor de los Comandantes, Oficíales y equipages de los navios que baxo su mando han concurrido á esta acción ; y añade que el buen ór</t>
  </si>
  <si>
    <t>tamos 21 Láxeles enemigos.__ Inmediatamente formé la esquadra en línea de batalia muras á babor. El General Gravina hizo á la esquadra Española la señal de ponerse á la cabeza de la línea, y él mismo se situó en la de la esquadra combinada. El tiempo estaba sumamente neblinoso, nosotros goberná</t>
  </si>
  <si>
    <t>a se salvó el honor* Yo se que por el último correo y con recha del 18 había dado cuenta á V. E. el General Gravina como el Almirante Villeneuf le había manifestado que estaba resuelto á dar la vela al siguiente dia, y que deseaba saber si la Armada Española estaba en disposición de verilicario</t>
  </si>
  <si>
    <t>o, resultando de este movimiento qué quedase á retaguardia la esquadra de observación del mando del General Gravina. A esto se siguió La señal hedía por el Almirante Francés de que ciñese el viento el navio de la cabeza, y la de"que todos siguiesen sus aguas, lo que obligó á que arribase la Arm</t>
  </si>
  <si>
    <t>Greathead</t>
  </si>
  <si>
    <t>nuya su malignidad. Han llegado algunos Médicos de Malta para asistir á los profesores de la plaza. Mr. Greathead, el inventor de la lancha de saluda ha recibido del Rey de Prusia uñ medallón de oro en señal de la aprobación que ha merecido á S. M., la que le envió en 1803, de orden suya, á S</t>
  </si>
  <si>
    <t>Greathead del Emperador de Rusia</t>
  </si>
  <si>
    <t>por el menor de mis hermanos, lo habéis h. ch t por mí. (S. Mateo, cap. xxr.)Igualmente ha recibido Mr. Greathead del Emperador de Rusia una sortija ae diamantes de grandísimo valor, por la laucha que ha enviado á Cronstadt por orden de S. M. Hace el mayor honor á estos Soberanos el ínteres que toman en preservar l</t>
  </si>
  <si>
    <t>Gregario Isaac</t>
  </si>
  <si>
    <t>e Retó,rica de D. Francisco $a~~hez:, l. lepa¡';tc~ón, letriU~: ~Il~n~ió r juicio de las poesías de D. Gregario Isaac' 'Oia% "dé 'Goveo; de las' d'e' DJ .Ma~uel Rincon. y de otras obras. Se hallará súettO~; y'có'n 101 aateriores'.á' S Í'••L~ir~.a'·li' brería de Alonso, frente á las gradas de S. Fe</t>
  </si>
  <si>
    <t>Gregorio, Papa</t>
  </si>
  <si>
    <t>Papa Gregorio</t>
  </si>
  <si>
    <t>nación hecha A la Iglesia Segobricense por Zeyt Abuzeyt, Rey moro de Valencia, inedita. = Carta del Papa Gregorio ix al Arzobispo de Toledo, exhortándole á que socorra con algunas limosnas la pobreza del Obispo de Segorve D. Guillermo, medita. = Otra á S. Fernando, Rey de Castilla, recomendán</t>
  </si>
  <si>
    <t>ura para Obispo de Segorve y Albarracin\ hecha;por el Cabildo en el año 1273 , inédita. r= Bula del Papa Gregorio xnr, sobre la división de las Iglesias de Segorve y f Albarracin , inedita. == Carta del Sr. D, Juan Bautista Perez al Cabildo de: Segorve-, dándole cuenta de sus bulas y poderes</t>
  </si>
  <si>
    <t>Grenville y Mr, Lord</t>
  </si>
  <si>
    <t>Lord Grenville y Mr</t>
  </si>
  <si>
    <t>erno, y el otro por los acreedores, quienes examinarán la justicia de las reclamaciones. El 25 , el Lord Grenville y Mr. Fox presentaron la petición de los Católicos Irlandeses en ámbas Cámaras/habiéndose Mr. ■ Pitt excusado presentarla en la de los Comunes. Se pide en esta solicitud la entera y ab</t>
  </si>
  <si>
    <t>Grenville, Lord</t>
  </si>
  <si>
    <t>Lord Grenville</t>
  </si>
  <si>
    <t>e las disposiciones adoptadas hasta ahora eran ridiculas y absurdas, y que no tendrían buen efecto. Lord Grenville habló en estos términos: ,,Apoyo con todas mis fuerzas la propuesta de Lord Eiliot. No hay ningún pasage en el discurso propuesto en que yo no convenga sinceramente; bien entendid</t>
  </si>
  <si>
    <t>periencia de esta amarga verdad dirija nuestros consejos-----En quanto á la guerra con España opinó Lord Grenville con Lord Elliot, que era menester hiciese la Inglaterra todos los sacrificios para sostener el honor y los derechos de la Corona Británica; pero convino en que no podía pronunciar</t>
  </si>
  <si>
    <t>emplea en la guerra sino la décima quarta parte de la población capaz de tomar las armas.” Contestó Lord Grenville al discurso deXord Hawkesbury, indignándose al oirle afirmar que á la Corona pertenecía el dirigir el sistema militar del Reyno, y que no tocaba á la Cámara el mezclarse en dispos</t>
  </si>
  <si>
    <t>374 Lord Grenville, que el lunes próximo presentará una petición de los Católicos de Irlanda: que por ahora se abstendrá de qualquiera observación que pueda motivar la discusión de este objeto; cont</t>
  </si>
  <si>
    <t>os, como los que disfrutan los Protestantes. Leída la súplica en la Cámara de los Pares, propuso el Lord Grenville que se aceptase y pusiese sobre la tabla: lo que se adoptó sin oposición algüna. El Lord Aukland dixo, que un asunto tan importante como el de la emancipación total de los Católic</t>
  </si>
  <si>
    <t>objeto de ámbos es derribar á Mr. Pitt dei Ministerio; diferenciase solo en sus opiniones y miras. Lord Grenville ve con complacencia las relaciones confidenciales de S. M. con la Rusia, y es de opinión que no debe entablarse ninguna negociación con la Francia , sin consultar con las Potencia</t>
  </si>
  <si>
    <t>urth en los dias 7 y 8 de Junio. . , ,G &amp; A Ñ B R E T A Ñ A, Londres Jy de Mayo. El día 11 presentó Lord Grenville en la Cámara, de los Pares la petición de los católicos Irlandeses, con cuyo motivo hizo un largo y eloqüente discurso, que duró dos horas. „Se acusa á los católicos, dixo, de ser c</t>
  </si>
  <si>
    <t>nte en Dublin una junta de Obispos Católicos Romanos, con el objeto de escribir cartas de gracias á Lord Grenville y á Mr. Fox, por haber apoyado la petición de los Católicos Romanos en el Parlamento, igualmente que á Mr. Pitt y á los Obispos Anglicanos, por el modo leal y franco con que se han</t>
  </si>
  <si>
    <t>th (Addington). En el Ministerio 'de la Guerra ha sucedido el Lord Castlereagh. Estos1 dias últimos Lord Grenville ha tenido una larga audiencia de S. M. En conseqiiencía de un pliego del Almirante Sir John Orde, de fecha de io de Abril, á bordo del navio Gloria en el mar, y llevado á la Jamay</t>
  </si>
  <si>
    <t>Grey</t>
  </si>
  <si>
    <t>s que se han hecho estos dias. PARLAMENTO IMPERIAL. Cantara de los Comunes. Junta del 4 de Febrero. Mr. Grey preguntó al Canciller del Echiquier, si se hallaba ya en estado de comunicar á la Cámara los documentos que le faltaban, entre los que ha publicada el Gobierno relativos á los neg</t>
  </si>
  <si>
    <t>claro y auténtico. Mr. Fox contestó al Canciller del Echiquier, y habló en los mismos términos que Mr. Grey___ La discusión no tuvo ningún resultado-----Después se formó la Cámara en junta para tratar de los gastos del exército, y decidió que se empleasen 135® hombres en las guarnicione</t>
  </si>
  <si>
    <t>propuso ei Canciller del Echiquier lo que en la Cámara de los Pares habia propuesto Lord Mulgrave. —Mr. Grey se opuso á los raciocinios de Mr. Pitt, y no tuvo la mas mínima dificultad en manifestar á los que ei espíritu de partido y de odio no ciega enteramente, que era un medio muy part</t>
  </si>
  <si>
    <t>nda, que piden al Parlamento justicia de la opresión, baxo la qual gimen. En la misma junta anunció Mr. Grey, que el lúnes haría igualmente una propuesta relativamente al informe de los Comisarios sobre la información de la administración de la Marina. JDel 2 de Abril. El paquebote de la</t>
  </si>
  <si>
    <t>idor, se distingue por las expresiones enérgicas con que está concebida. En la misma junta denunció Mr. Grey un artículo inserto en el diario titulado el Oráculo , en que se dice que Lord Melville ha sido juzgado sin ninguna forma de proceso, y es víctima de las preocupaciones-del espíri</t>
  </si>
  <si>
    <t>a esquadrá1 respetable á las aguas de Cádiz para atacar la combinada si intenta salir otra vez. ' ' Mr. Grey interpeló ayer publicamente en la Cámara de los Comunes al primer Ministro, y le preguntó si la Cámara podia esperar algunas comunicaciones sobre el estado de las negociaciones co</t>
  </si>
  <si>
    <t>los libros, y con arreglo al método de Pestalozzi. . ; GRAN BRETAÑA. Londres 20 de Junio. Ayer hizo Mr. Grey en la Cámara de los Comunes la propuesta que había anunciado en la junta del día 12 , dirigida á pedir á los Ministros las</t>
  </si>
  <si>
    <t>las negociaciones actualmente-pendientes entre S. M. y otras rotencias. Lord Castlereagh replica á Mr. Grey. Dice que la deuda publica, aumentada en 30 millones de libras esterlinas, no es mas que un aumenta puramente nominal. Observa que el exército se ha aumentado: que hay 170 navios</t>
  </si>
  <si>
    <t>proposiciones de la Francia.....” Después de otros discursos en pro y en contra de la propuesta de Mr. Grey, se adoptó la resolución presentada por el Canciller del Echiquier. HOLANDA. ' * Haya 4 de Julio. Se asegura generalmente, y todo parece anunciar que el campamento de Zeist se lev</t>
  </si>
  <si>
    <t>Griego de Valaquia, Arzobispo</t>
  </si>
  <si>
    <t>Arzobispo Griego de Valaquia</t>
  </si>
  <si>
    <t>dias hace que ha zarpado una división compuesta de 2 navios de línea1, 3 fragatas y 4 corbetas. El Arzobispo Griego de Valaquia dirigió, hace algún tiempo, á todos los habitantes de la Turquía europea que profesan la religión Griega, una carta pastoral, escrita con la mayor vehemencia y energía, en la qual</t>
  </si>
  <si>
    <t>Griego de Widuiii, Obispo</t>
  </si>
  <si>
    <t>Obispo Griego de Widuiii</t>
  </si>
  <si>
    <t>oridad de la Puerta, y los habitantes han vuelto á sus hogares, Baswan-Oglow ha mandado degollar al Obispo Griego de Widuiii, á quien habia tratado siempre con mucha benevolencia. Se ignoran absolutamente los motivos ó pretextos que haya tenido para una orden tan rigurosa, la qual lo ha indispuesto con</t>
  </si>
  <si>
    <t>Gsrdner, Lord</t>
  </si>
  <si>
    <t>Lord Gsrdner</t>
  </si>
  <si>
    <t>5 63 los pliegos remitidos al Almirantazgo por Lord Gsrdner. Parece que algunos navios Franceses se adelantaron hasta la punta de S. Miguel, y luego volvieron á sus puestos sin medirse con nuestras fuerzas. Se cree que todo no ha sido mas</t>
  </si>
  <si>
    <t>Guardíet, Ignacio</t>
  </si>
  <si>
    <t>Ignacio Guardíet</t>
  </si>
  <si>
    <t>1044 to Berna!, y al Sargento primero D. Ignacio Guardíet; y los empleos de segundos Ayudantes de los Batallones primero de Kar.iel ma y Voluntarios de Barbastro á ios Tenientes D. Antonio Roca y D. Juan Josef Lonstau. El Rey se lia serv</t>
  </si>
  <si>
    <t>Gubitz</t>
  </si>
  <si>
    <t>gundo de los principios de Retórica y Poética, por D. Francisco Sánchez; una noticia concerniente á Mr. Gubitz sobre la perfección que ha dado al arte de grabar en madera; un opúsculo intitulado los niños bienhechores, y el reconocimiento; y noticias concernientes á Goethe, y la Chanciller</t>
  </si>
  <si>
    <t>Gudin, General</t>
  </si>
  <si>
    <t>General Gudin</t>
  </si>
  <si>
    <t>a consigo tá'división de Frianty los dragones de la división.del. General Bourcier. La división del General Gudin debía ponerse ,-.m¿rx?ha::muy de.'mañana pará'^jcolsburg,• a fia dé* contener el cuerpo enemigo que hubiese podido rodear la derecha. . .El Emperador, con su .fiel compañero de guerr</t>
  </si>
  <si>
    <t>Gueraty, Pedro</t>
  </si>
  <si>
    <t>Pedro Gueraty</t>
  </si>
  <si>
    <t>ileros D. Tobías Buman y D. Federico Behr: á Teniente en el de Courten al Subteniente de granaderos D. Pedro Gueraty; y á Subteniente de granaderos en el mismo al de fusileros D. Josef Ignacio Wiila. El Rey se ha servido conceder en el Regimiento de infantería de Hibernia Ayudantía al Teniente D</t>
  </si>
  <si>
    <t>Guerin-Etoquigny, General</t>
  </si>
  <si>
    <t>General Guerin-Etoquigny</t>
  </si>
  <si>
    <t>1.a la mandará el Teniente General Bonhomme, que tendrá su quartel general en Groninga ; la 2.a el General Guerin-Etoquigny, en Utrecht ; la 3.a el General Gratien, en el Helder; la 4.a el General Baccop , en el Brille; y la 5.a el General Monnet, en Flesinga. Un decreto del Pensionario prohíbe á los O</t>
  </si>
  <si>
    <t>Guerra, Pedro</t>
  </si>
  <si>
    <t>Pedro Guerra</t>
  </si>
  <si>
    <t>de Milicias disciplinadas de caballería de la propia isla ha promovido el Rey á Capitán al Teniente D. Pedro Guerra; á Teniente al Alférez de carabineros D. Gregorio Cebolledo; á Alférez de carabineros á D. Antonio Estéban; y á Alféreces al Sargento primero D. Josef Miguel Pagan y al Cadete D.</t>
  </si>
  <si>
    <t>Guerrero, Luis María</t>
  </si>
  <si>
    <t>Luis María Guerrero</t>
  </si>
  <si>
    <t>á D. Joaquin de la Fuente y Oquendo, Alcalde del Crimen mas antiguo de ella; y para esta resulta á D. Luis María Guerrero, con la antigüedad, desde el nombramiento de la plaza de Alcaide de la Quadra de la Audiencia de Sevilla que obtiene. También se ha servido nombrar para eí Corregimiento de Letras</t>
  </si>
  <si>
    <t>ombrar para la plaza de Alcalde de la Quadra de la Audiencia de Sevilla^, ¡vacante porpjromocion de D. Luis María Guerrero átQtra de Alcalde de,1 Gr/men, de la Chancillería de Granada , á, D. Francisco Fernandez del Pifio,, Alcalde del Crimen de la Audiencia de Galicia.:, ’ •/. ; Condescendiendo ,con</t>
  </si>
  <si>
    <t>Gugger, Francisco</t>
  </si>
  <si>
    <t>Francisco Gugger</t>
  </si>
  <si>
    <t>e en el mismo á D¿ Bartolomé1 Moretiny, Subteniente de granaderos; y estas resultas al de fusileros Don Francisco Gugger: Teniente y Subteniente de granaderos en el vacante de Courten á los de fusileros D. Josef Yost y,D. Ludovico Jacinto Quartery^ y Capitán ségundo en ei de Traxler al Teniente de g</t>
  </si>
  <si>
    <t>Guillelmi, Antonio (coronel)</t>
  </si>
  <si>
    <t>Coronel Antonio Guillelmi</t>
  </si>
  <si>
    <t>de la Orden de Calatrava, al Coronel D. Antonio Busi, Gobernador de Ocaña: este empleo al Teniente Coronel Don Antonio Guillelmi, Sargento Mayor de ia Línea del Campo de Gibraltar; y esta Sargentía mayor al Teniente Coronel D. Josef de Velasco , Sargento Mayor del Regimiento de infantería de América. El Rey</t>
  </si>
  <si>
    <t>Guillelmo Xaramillo</t>
  </si>
  <si>
    <t>se tuvo el un. décimo .examen público del estudio de gramática y ortografía castellana que regenta D. Guillelmo Xaramillo, presidiéndole el Sr. D. Sebastian de Torres y Portocarrero, del Consejo Real; el Catedrático, Examinadores y varios de los concurrentes preguntaron á los alumnos acerca de todas</t>
  </si>
  <si>
    <t>cimo curso del lenguage general y Español, establecido en la calle de Relatores, num. 9, á cargo de D. Guillelmo Xaramillo, á las 5 de la tarde, y se concluirá en 16 de Junio del año próximo. Se dividirá la enseñanza en dos partes principales *. en la i.a se tratará de los principios, definición, ensa</t>
  </si>
  <si>
    <t>Guillen</t>
  </si>
  <si>
    <t>cario de la parroquia de la Catedral de Badajoz;y para laPréstamela dé la villa de VillandelSaz; de D. Guillen, en la misma ?Diócesi^ va¿* oanterpoúfallecimiento de D. Eugenio Lorenzo, á JE). Quihtin de&gt; Subrranas, con retención del Beneficio de Solorio que obtiene en el Obispad d0; d© Gvi</t>
  </si>
  <si>
    <t>Guillen, Fernando</t>
  </si>
  <si>
    <t>Fernando Guillen</t>
  </si>
  <si>
    <t>D. Angel Alvarez de Sotomayor: á Tenientes de granaderos y fusileros del de Guadix al de esta clase D. Fernando Guillen, y Subtenientes D. Torquato Bonilla y D.Juan de Oñate : á Subtenientes de granaderos de los de Monterey y Cuenca áloá de fusileros D. Nicolás Sarmiento y D. Juan Antonio Escalante</t>
  </si>
  <si>
    <t>Guillen, Ramón</t>
  </si>
  <si>
    <t>Ramón Guillen</t>
  </si>
  <si>
    <t>Ramón Guillen...... Hijo de Josef, natural de Alicante: murió!</t>
  </si>
  <si>
    <t>Guillermo</t>
  </si>
  <si>
    <t>zobispo de Toledo, exhortándole á que socorra con algunas limosnas la pobreza del Obispo de Segorve D. Guillermo, medita. = Otra á S. Fernando, Rey de Castilla, recomendándole la restaura</t>
  </si>
  <si>
    <t>Guillermo Casanova</t>
  </si>
  <si>
    <t>a perspectiva, en todo conformes con la obra de Matemáticas de la Real Academia de S. Fernando, por D. Guillermo Casanova, Arquitecto y Director de Perspectiva que fué en la misma. Se hallará en la librería de Arribas, calle de las Carretas. Compendio de gramática castellana, dispuesto en diálogo par</t>
  </si>
  <si>
    <t>Guillermo de Bariera, Duque</t>
  </si>
  <si>
    <t>Duque Guillermo de Bariera</t>
  </si>
  <si>
    <t>e Boteros, núm. 16, manz. 114; y está tasada en 73,860 rs. Por la Cámara de Justicia de S. A. S. el Duque Guillermo de Bariera se cita á D. Alejandro Fernando Carlos Josef Daniel Soechting, nacido en el año de 1749, que se halla al servicio de S. M. el Rey de España, y según las últimas noticias suyas de</t>
  </si>
  <si>
    <t>Guillermo de Baviera, Duque</t>
  </si>
  <si>
    <t>Duque Guillermo de Baviera</t>
  </si>
  <si>
    <t>id al referido D. Silvestre Abad, quienes darán mas señas. Por la Cámara de Justicia de S. A. S. el Duque Guillermo de Baviera se cita á D. Alexandro Fernando Carlos Josef Daniel Soechting, nacido en el año de 1749, que se halla al servicio de S. M. el Rey de España, y según las últimas noticias suyas de</t>
  </si>
  <si>
    <t>eñalado para su remate el dia 12 del próximo mes de Julio. Por la Cámara de Justicia de S. A. S. el Duque Guillermo de Baviera se cita á D. Alcxandro Fernando Carlos Josef Daniel Soechllng, nacido en el año de 1749, que se halla al servicio de S. M. el Rey de España, y según las últimas noticias suyas de</t>
  </si>
  <si>
    <t>Guillermo de Brunswick, Príncipe</t>
  </si>
  <si>
    <t>Príncipe Guillermo de Brunswick</t>
  </si>
  <si>
    <t>n el objeto de hacer una visita al Duque reynante. Por su fallecimiento hereda el Ducado de Oefe el Príncipe Guillermo de Brunswick, General de los exércitos Prusianos.. ALEMANIA. Yíena 77 de Octubre. Ha llegado un correo con la noticia de estar ya el Emperador de las Rusias en Pulaw, en la GaBiízia occidental</t>
  </si>
  <si>
    <t>Guillermo Marurir</t>
  </si>
  <si>
    <t>lba; á Alférez: al;Portaguión D. Pedro de la Erran Linares, y á Portaguiones á D. Manuel Vidal, y á D. Guillermo Marurir en el de Queretaro á Capitán al Teniente D. Tomas Beña; á Teniente al Alférez: D. . Francisco Xavier Quintana; á Alférez al Portaguión D. Manuel Peñuñuri , y á Portaguiones á D. Ben</t>
  </si>
  <si>
    <t>Guillermo Rocabruna</t>
  </si>
  <si>
    <t>Hospitalero de la Metropolitana de Tarragona, vacante por fdicc i miento de D. Josef Vállalonga, á D. Guillermo Rocabruna, Racionero de ellat para la de Arcediano de Terrantona en la Catedral de Lérida, vacante por renuncia de D. Gonzalo del Rio y Carrillo, á D. Francisco López de Sigüenza, Capellán</t>
  </si>
  <si>
    <t>Guillermo Teniente Coronel, Príncipe</t>
  </si>
  <si>
    <t>Príncipe Guillermo Teniente Coronel</t>
  </si>
  <si>
    <t>es de artillería para Varsovia y para Stettin---- El Principe Henrique ha sido nombrado Coronel, el Príncipe Guillermo Teniente Coronel, y ei Príncipe Garlos de Mecklemburgo, hermano de la Reyna, Mayor. Estando comiendo 4 dias hace el Duque de Brunswick y el Mariscal de Mollendorff en casa de Mr. de Hardemberg, re</t>
  </si>
  <si>
    <t>Guillermo Xaramiilo</t>
  </si>
  <si>
    <t>de en las iibrerías de esta Corte. Lecciones de gramática castellana, dispuestas por el Catedrático D. Guillermo Xaramiilo: un tomo en 8.° Se hallará en la librería de Coronel. Gonzalo de Córdoba, ó la Conquista de Granada, escrita en francés por el Caballero Florian; publícala en español D. Juan Lópe</t>
  </si>
  <si>
    <t>Guillermo, Príncipe</t>
  </si>
  <si>
    <t>Príncipe Guillermo</t>
  </si>
  <si>
    <t>ana, nueva Celedonia, de Palaós y tierra de Van Diemem; Isla de Watiu, tierra de Nutka, entrada del Príncipe Guillermo, de Onozasca, Norton, é islas de Sandwich. Véndense los quadernos suelto», como hasta el presente, á 8 rs. cada uno sin iluminar, y á 20 los iluminados, y la impresión suelta se d</t>
  </si>
  <si>
    <t>n el motivo de haber dado á luz una Princesa con toda felicidad S. A. R. Amalia Mariana, esposa del Príncipe Guillermo, hermano del Rey. En este verano se aumentarán considerablemente las fortificaciones de Dantzick, y se extenderán desde la orilla derecha del Vístula hasta la del mar Báltico. Tam</t>
  </si>
  <si>
    <t>eunirán á esta muchedumbre de soldados 60® conscriptos. En Munich está disponiéndose el palacio del Príncipe Guillermo para alojamiento del Emperador de Alemania y del Archiduque Fernando. El Archiduque Carlos salid de Viena el 15 del corriente para Italia;y durante su ausencia queda encargado del</t>
  </si>
  <si>
    <t>Guillotin</t>
  </si>
  <si>
    <t>á los Prefectos, Arzobispos y Obispos, que se hallaban en París. Por ausencia del Ministro presidió Mr. Guillotin, Presidente de la junta, dando principio por un discurso en que recordó rápidamente la introducción de la vacuna en Francia, y la protección particular que había dispensado el Gob</t>
  </si>
  <si>
    <t>Guineau</t>
  </si>
  <si>
    <t>el Papa la Iglesia de S. Germán, donde fué arengado en latín por el Cura Párroco, y en francés por Mr. Guineau, Administrador de la Parroquia. En el discurso de Mr. Guineau se notan las frases siguientes: ,,Santísimo Padre, esta Parroquia fué una de las cunas de la Orden de S. Benito, que</t>
  </si>
  <si>
    <t>Guiral, Jacinto</t>
  </si>
  <si>
    <t>Jacinto Guiral</t>
  </si>
  <si>
    <t>FICIALES DE LA ARMADA Y GUARDIAS MARINAS. Muertos. Teniente de Navio............................... D. Jacinto Guiral. Alférez de Fragata.......... .................... D. Diego del Castillo. Idem y primer Piloto.................... . D. Aniceto Perez. ^ ,. ,, . JD. Manuel Briones. Guardias Marin</t>
  </si>
  <si>
    <t>Guirao, Blas</t>
  </si>
  <si>
    <t>Blas Guirao</t>
  </si>
  <si>
    <t>aza, y D. Josef Benito Florez; y á los segundos de á 16 pesos D. Martin Blanco, D. Henrique Moro, y D. Blas Guirao. Se previene á todas Jas personas á quienes conviniere el aviso, que los Señores F. R. Pcyer y compañía, del comercio de Dresde en el Electorado de Saxonia, no reconocen, ni recon</t>
  </si>
  <si>
    <t>Guruzeta, Marcos</t>
  </si>
  <si>
    <t>Marcos Guruzeta</t>
  </si>
  <si>
    <t>: D. Agustín Monzon id. : D. Juan Donesteve id.: D. Ramón Amaya id.: D. Francisco Calderón, herido: D. Marcos Guruzeta id.: D. Joaquin Jorganes id.: D. Luis Moreno id.: D. Rafael de Luna id. Tenientes de Fragata. D. Rafael Bobadilla, muerto; D. Martin Urias id.: D. Pedro Moriano id.: D. Josef Roso</t>
  </si>
  <si>
    <t>Gustavo Bíron de Curlandia, Príncipe</t>
  </si>
  <si>
    <t>Príncipe Gustavo Bíron de Curlandia</t>
  </si>
  <si>
    <t>rmann y Rivaud, quienes tuvieron la honra de comer con el Rey en Corvelitz. Han llegado á Berlin el Príncipe Gustavo Bíron de Curlandia, Consejero . de Estado y Chambelán del Emperador de Rusia ¿ y 1 Mr* Gersdorff, Teniente General al servicio del mismo Soberano: el primero viene de Lon-dres, y el segundo de Copen</t>
  </si>
  <si>
    <t>Gutierre Vaca de Guzman</t>
  </si>
  <si>
    <t>dia 29 de Diciembre, próximo pasado, falleció en esta Corte ¿ los 69 años y 6 meses de edad el Sr. D. Gutierre Vaca de Guzman, Ministro del Supremo Consejo de Castilla y del de la Santa general Inquisición: sirvió á S. M. por espacio de 26 años en los empleos de Alcalde del Crimen y Oidor de la Real Chan</t>
  </si>
  <si>
    <t>Gutierre, Pedro</t>
  </si>
  <si>
    <t>Pedro Gutierre</t>
  </si>
  <si>
    <t>s que han sufrido la epidemia, mediante la construcción de 30® aparatos, que ha dirigido el Químico D. Pedro Gutierre* Bueno , para lograr con ellos el mismo rebultado que se consigue con- los modelos que han venido de Paris.,</t>
  </si>
  <si>
    <t>Gutiérrez Blanco, Ramón</t>
  </si>
  <si>
    <t>Ramón Gutiérrez Blanco</t>
  </si>
  <si>
    <t>la Catedral: para otra de la Catedral de Orense , vacante por fallecimiento de D» Pedro Martines, á D. Ramón Gutiérrez Blanco , Cura Rector de la Feligresía de Santiago de Gresando, y su anexo S. Jorge de Cristinil, en la Diócesis de Lugo: para otra de la</t>
  </si>
  <si>
    <t>Gutiérrez Bueno, Pedro</t>
  </si>
  <si>
    <t>Pedro Gutiérrez Bueno</t>
  </si>
  <si>
    <t>. Descripción de los Reales baños de Arnedillo, y análisis de sus aguas, por el profesor de Química D. Pedro Gutiérrez Bueno. Esta obra es útilísima para todos los profesores del arte de curar, pues en ella encontrarán las substancias que están en disolución en dichas aguas, para proceder con mas inteli</t>
  </si>
  <si>
    <t>Gutiérrez de Hermosilla, Manuel</t>
  </si>
  <si>
    <t>Manuel Gutiérrez de Hermosilla</t>
  </si>
  <si>
    <t>to de D. Salvador Antonio Roca, al Arcediano D. Pedro Diaz Escandon: para el Arcedianato al Chantre Don Manuel Gutiérrez de Hermosilla: para la Chantría al Maestrescuela Don Joan Josef Moreno: para la Maestrescolia á D. Juan Gómez Villaseñor; y para la Tesorería, que este dexa, á D. Agustín Josef Mariano del Rio</t>
  </si>
  <si>
    <t>Gutiérrez de la Lama, Francisco</t>
  </si>
  <si>
    <t>Francisco Gutiérrez de la Lama</t>
  </si>
  <si>
    <t>Josef de Ulibarri; y nombrar Alféreces y Portaguiones de este mismo Cuerpo á D. Domingo de Torres, D. Francisco Gutiérrez de la Lama, D. Tuan Manuel Cabello, D. Manuel de la Torre, D. Ignacio Olarte, y D. Diego de Abarca, vecinos de aquella demarcación. Los sugetos que tengan equipages ó efectos de qualquiera c</t>
  </si>
  <si>
    <t>Gutiérrez de Ru, Alexo</t>
  </si>
  <si>
    <t>Alexo Gutiérrez de Ru</t>
  </si>
  <si>
    <t>l de Córdoba D. Josef María Carvajal: Compañías en el de Sevilla al Teniente , graduado de Capitán, D. Alexo Gutiérrez de Ru ba Icava: en el de Toledo al Ayudante, con grado de Capitán, D. Luis Quintero; y en el de la Princesa al Teniente de granaderos, graduado de Capitán, D. Rafael de la Puente; y Sub</t>
  </si>
  <si>
    <t>Gutiérrez del Piélago, Pedro</t>
  </si>
  <si>
    <t>Pedro Gutiérrez del Piélago</t>
  </si>
  <si>
    <t>etano Palomo: para una Canongía dé la Colegial de Cervatos , en la de Burgos, vacante por muerte de Don Pedro Gutiérrez del Piélago , á D. Francisco- Antonio Alonso , Cura Beneficiado de ia Parroquial del lugar de Aradiilos ,_en el Obispado de Santander : para una Capellanía dotada con juros compuestos de Medi</t>
  </si>
  <si>
    <t>Gutiérrez Plaza, Ramón</t>
  </si>
  <si>
    <t>Ramón Gutiérrez Plaza</t>
  </si>
  <si>
    <t>n: para igual Beneficio de la Parroquia de Horcajada, en la Diócesi de Avila, vacante por muerte de D. Ramón Gutiérrez Plaza, á D. Ignacio Brochero; y para el de Cardeñosá, en la propia Diócesi, vacante por fallecimiento de D. Juan Fernandez de la Fuente, á D. Agustín Iglesias y Cervantes, Capellán cura</t>
  </si>
  <si>
    <t>Gutiérrez Santander, Pedro</t>
  </si>
  <si>
    <t>Pedro Gutiérrez Santander</t>
  </si>
  <si>
    <t>o, para que si á alguno le acomodase, dirija su pretensión, en el término de 30 dias, por Laredo, á D. Pedro Gutiérrez Santander, Alcalde mayor de dicho valle. ; Segunda edición del Prontuario de Vales Reales, en el que se demuestra con la mayor claridad el valor diario de cada uno, con arreglo á las 3 crea</t>
  </si>
  <si>
    <t>Gutiérrez Vigií de Quiñones, Francisco</t>
  </si>
  <si>
    <t>Francisco Gutiérrez Vigií de Quiñones</t>
  </si>
  <si>
    <t>de aposento, se ha señalado el dia 5 de este mes, á las doce de su mañana, en la audiencia del Sr. D. Francisco Gutiérrez Vigií de Quiñones, del Consejo de S. M., Alcalde de su Real Casa y Corte, por la escribanía de provincia de D. Carlos Rodríguez de Moya; advirtiendo que no se verificará ei remate, ni admitirá post</t>
  </si>
  <si>
    <t>Gutiérrez Vigil de Quiñones, Francisco</t>
  </si>
  <si>
    <t>Francisco Gutiérrez Vigil de Quiñones</t>
  </si>
  <si>
    <t>cho Sr. Alcaide, y escribanía de provincia de D. Juan Antonio Díaz Noríega. Por providencia del Sr. D. Francisco Gutiérrez Vigil de Quiñones, del Consejo de S. M., y Alcalde en su Real Casa y Corte, se subastan dos casas unidas, sitas en esta Corte, la una en la calle del Espejo, y la otra vuelve á la plazuela de este</t>
  </si>
  <si>
    <t>4 del corriente. A conseqviencia de las Reales resoluciones de S. M., y providencia dada por el Sr. D. Francisco Gutiérrez Vigil de Quiñones, del Consejo de S. M. ,y Alcalde en su Real Casa y Corte, ante IX Carlos Rodríguez de Moya, Escribano de Provincia, se saca á pública subasta una casa sita en la corredera de S. P</t>
  </si>
  <si>
    <t>Gutiérrez Vigil, Francisco</t>
  </si>
  <si>
    <t>Francisco Gutiérrez Vigil</t>
  </si>
  <si>
    <t>D. Josef de Godoy. ,, S. M. ha venido en nombrar para el Obispado de Astorga, vacante por muerte de D. Francisco Gutiérrez Vigil,áD. Vicente Martínez y Ximenez, Magistral de la Iglesia de Cartagena; y para el Medio-Beneficio simple servidero de Sta. María del Mercado de la villa de Alburquerque., vacante po</t>
  </si>
  <si>
    <t>ego Fernandez de Córdoba, Marqués que fué de Guadalcaztir', aeudiná deducirle én foniña anté él Sr. D. Francisco Gutiérrez Vigil de-Quiñones, del Consejo dé S. M., Alcalde eii su Real Casa y Corte , y escribanía de provincia de D. Carlos Rodríguez de Moya, dentro de 20 días contados desde i.° de Enero de 1806,</t>
  </si>
  <si>
    <t>Gutiérrez Vigil, Francisco Isidoro</t>
  </si>
  <si>
    <t>Francisco Isidoro Gutiérrez Vigil</t>
  </si>
  <si>
    <t>104 6 Obispo de Astorga D. Francisco Isidoro Gutiérrez Vigil , Prelado doméstico de S. S. y asistente á su sacro Solio Pontificio. Fue Colegial en el mayor de S. Ildefonso de Alcalá, Canónigo Magistral de las Iglesias Catedrales de Sigüenza</t>
  </si>
  <si>
    <t>Gutiérrez, Antonio</t>
  </si>
  <si>
    <t>Antonio Gutiérrez</t>
  </si>
  <si>
    <t>el Obispado de Avila, por promoción de D. Antonio Prieto á una Canongía de la Catedral de Cuenca, á D. Antonio Gutiérrez; y para el Medio Préstamo de Santa Cecilia de Medellin, en el de Plasencia, vacante por muerte de D. Antonio Miguel, á D. Juan de Sarasa. S. M. se ha dignado nombrar en el Regimie</t>
  </si>
  <si>
    <t>fallecimiento de D. Andrés Celie, con la carga de alternar con el Párroco en la misa conventual, á D. Antonio Gutiérrez, con dimisión del de el lugar de Codorniz ,que obtiene en la misma Diócesis. El Rey se ha servido conferir Compañías en los Regimientos de infantería de Hibernia y Voluntarios de</t>
  </si>
  <si>
    <t>ón y Cavanillas:, para el Beneficio del lugar de Codorniz, en Ja de Avila, vacante por promoción de D. Antonio Gutiérrez al de Candeleda, en la misma Diócesi, á D. Antonio María de Oxinaga, Cura del lugar de Lejona, en la de Calahorra; y,para el Medio-Préstamo de ValYerde, en el Arzobispado de Toled</t>
  </si>
  <si>
    <t>Gutiérrez, Joaquín</t>
  </si>
  <si>
    <t>Joaquín Gutiérrez</t>
  </si>
  <si>
    <t>Manuel Eduardo Gorostiza; Subtenencias de granaderos en los de Badajoz y Sevilla á los Subtenientes D. Joaquín Gutiérrez y D. Fernando Zurita; y á Subteniente de bandera en el de Ciudad-Real á D. Ambrosio Acevedo y Muñoz. Ordenanza del Real Cuerpo de Ingenieros Cosmógrafos de Esú^o, y del Observatorio d</t>
  </si>
  <si>
    <t>Gutiérrez, Marcos</t>
  </si>
  <si>
    <t>Marcos Gutiérrez</t>
  </si>
  <si>
    <t>n d-1 tomo 21° , ’ Práctica! criminal; de:España: tomo 2.0: dale á luz D. josef Marcos Gutiérrez, autor del Febrero Reformado,. y apptado para complemento de esta obra, que carecía de tratado criminal. Se traen en él varios juicios criminales particulares, á saber; el eclesiástico,</t>
  </si>
  <si>
    <t>Guytoií</t>
  </si>
  <si>
    <t>0 á 100 hombres, y con una artillería miserable. Las ventajas que ha proporcionado al género humano Mr. Guytoií con su método de las fumigaciones de ácido muriático, cortando por su medio los efectos délas ñebres contagiosas, han sido recompensadas, por ahora, con el nombramiento de Oficial</t>
  </si>
  <si>
    <t>Guyton</t>
  </si>
  <si>
    <t>e puedan ser de alguna utilidad. Vim tendrá algún mérito en está comunicación; pero me persuado que Mr. Guyton tendrá eñ ello la satisfacción que mas puede lisonjearle.” Ratisbona 2$ de Marzo. El Ministro Directorial Barón de Albini ha comunicado hoy á la Dieta una carta escrita por S. A.</t>
  </si>
  <si>
    <t>Guyton-Morveau</t>
  </si>
  <si>
    <t>te, anuncia un nuevo hecho que confirma la eficacia de las fumigaciones ácidas , según él método de Mr. Guyton-Morveau; dice: ,,Un Capitán de Dunkerque, que ha venido de Sto. Domingo, habiendo usado de las fumigaciones ácidas, ha preservado á toda su tripulación de la enfermedad terrible, que ha q</t>
  </si>
  <si>
    <t>Guzman, Juan Antonio</t>
  </si>
  <si>
    <t>Juan Antonio Guzman</t>
  </si>
  <si>
    <t>imiento de D. Vicente Arroyo, á D. Cayetano Josef de Roo; y para la Media-Ración que dexa en ella á D. Juan Antonio Guzman, Cura en aquella Diócesi. ' £n los Regimientos de Milicias de Lima se ha servido'igualmente 5. M. conceder Compañía de granaderos en el de infantería de Aragón de Jauja á D. Pedro</t>
  </si>
  <si>
    <t>Gwydir, Lord</t>
  </si>
  <si>
    <t>Lord Gwydir</t>
  </si>
  <si>
    <t>e felicitación; bien que insistió en la necesidad de sostener el honor y los derechos de la Corona. Lord Gwydir apoyó la propuesta. Lord Carlisle habló en esta forma: ,, Lejos de mí el pensamiento de turbar la armonía que debe reynar entre los miembros de esta Cámara. En ocasión tan importa</t>
  </si>
  <si>
    <t>Haevaéd, Juan</t>
  </si>
  <si>
    <t>Juan Haevaéd</t>
  </si>
  <si>
    <t>omponen un exército considerable. A principios de este mes falleció en Breda el ciudadano Juan Haevaéd de edad de 1.08 años. Na ció el 24 de Junio de 1697» y así ha vivido en los siglos xyii, xviii y xix. Hasta el último momento de su vida</t>
  </si>
  <si>
    <t>Haggot de Durham</t>
  </si>
  <si>
    <t>cheros el echar la leche en vasos de cobre, baxo la pena de confiscación y de 300 pesetas de multa. Mr. Haggot de Durham, de la provincia de Yorck en Inglaterra, ha probado con varios hechos que la harina amasada con agua do salvado da un 5.° de pan mas que quando se amasa con agua común, y el salva</t>
  </si>
  <si>
    <t>Haller</t>
  </si>
  <si>
    <t>definitivamente adoptado. Algunos profesores tienen ya sus nombramientos; en este número se halla á.Mr. Haller, nieto del gran Haller. A exemplo de su abuelo, preferirá sin duda á las plazas ventajosas que le ofrecen en el extrangero, la felicidad mas dulce de sacrificar sus talentos en se</t>
  </si>
  <si>
    <t>Halloway, Almirante</t>
  </si>
  <si>
    <t>Almirante Halloway</t>
  </si>
  <si>
    <t>ericano detenido por la balandra Boimetta;, por sospeó chas de llevar á bordo géneros Franceses. El Almirante Halloway mandó que inmediatamente se visitase el buque, desencargados de esta visita vieron luego que el timonero baxaba á la bodega con una vela encendida: siguiéronle al punto, sorpreHén</t>
  </si>
  <si>
    <t>Hamelin</t>
  </si>
  <si>
    <t>rto de Eecamp, con destino á Dieppe, una división de la esquadrilla mandada por el Capitán de Navio Mr. Hamelin, compuesta de 2 corbetas, 6 chalupas cañoneras, 10 barcas cañoneras y 8 peniches. A Jas 7 y 55 minutos Ja acometieron los Ingleses cpn una tragata, 2 corbetas y un cúter. El fuego</t>
  </si>
  <si>
    <t>Hamibton, General</t>
  </si>
  <si>
    <t>General Hamibton</t>
  </si>
  <si>
    <t>oyecto de abolir la esclavitud de los negros. Pronto se dará principio á la venta de los bienes del General Hamibton, que ha dexado muchas deudas. ITALIA. Milán 18 de Enero. En la Gazeta de hoy se ha publicado lo siguiente: ,,La diputación de nuestra República fue presentada el 30 del pasado á S</t>
  </si>
  <si>
    <t>Hamilton, General</t>
  </si>
  <si>
    <t>General Hamilton</t>
  </si>
  <si>
    <t>ón de Presidente de los EstadosUnidos, y ya están alerta los partidos políticos. Si el desventurado General Hamilton viviera todavía, Jefferson tendría un temible competidor; pero el desafio, en que desgraciadamente murió, ha producido el efecto de quitar del medio á dos competidores que tenían</t>
  </si>
  <si>
    <t>Hammond</t>
  </si>
  <si>
    <t>ara Berlín Lord Plarrowby, nombrado Embaxador extraordinario cerca d^ aquella C.orte:. le acompañan Mr. Hammond, Subsecretario de Estado en el Despacho de negocios extrangeros, y Mr. Mon;.tagne , Secretario suyo particular. ..'Sabemos con grande inquietud que el convoy de las islas de Sotav</t>
  </si>
  <si>
    <t>puerto con una,gran comitiva; y se ha puesto en camino inmediatamente para Hamburgo,, acompañado de Mr. Hammond, Vicesecretario de Estado. JJdnnóver. de Noviembre, 5 Gorfe muy valida la voz de haberse ajustado el 31 de Octubre un convenio , en virtud del qüal quedará provisionalmente ocupad</t>
  </si>
  <si>
    <t>Hankin</t>
  </si>
  <si>
    <t>ales en el éxito de las armas Británicas, como se anunció en la Gazeta anterior. Los argumentos ¿el Dr. Hankin sobre los peligros que tienen que temer las Potencias por parte de la Francia, están rebatidos; han sido refutados mil veces, y no se hallan reproducidos con oportunidad ni arte ,</t>
  </si>
  <si>
    <t>nester sacrificar ventajas mas sólidas. Baxo el pretexto de defender los intereses de la Europa, el Dr. Hankin no piensa en efecto sino en los de Inglaterra. Algunas veces afecta un desinterés desmedido, aun quando presenta armas contra sí. Tal es este pasage, en donde, después de examinar</t>
  </si>
  <si>
    <t>Harcourt, Coronel</t>
  </si>
  <si>
    <t>Coronel Harcourt</t>
  </si>
  <si>
    <t>n ha opuesto á nuestras armas una larga resistencia en la provincia de Cuttok, ha sido entregado al Coronel Harcourt por uno de sus mas íntimos amigos seducido con la promesa de una recompensa de mil rupias, que se le han pagado exactamente por el servicio que nos ha hecho. Desprécianse los tray</t>
  </si>
  <si>
    <t>Harding</t>
  </si>
  <si>
    <t>ofrecida por Mr. de Lalande para la mejor obra de astronomía, se ha adjudicado, por el Instituto, á Mr. Harding, que descubrió un nuevo planeta, el $ de Setiembre último, en Lilienthal, cerca de Bremen. Este hábil Astrónomo ha pasado á Gottíngen para dirigir el observatorio, que se ha hecho</t>
  </si>
  <si>
    <t>Hardwíck, Lord</t>
  </si>
  <si>
    <t>Lord Hardwíck</t>
  </si>
  <si>
    <t>a el bilí, que es el objeto de la propuesta, porque conoce su necesidad; y que ademas confia en que Lord Hardwíck no abusará del poder que le conceda dicho bilí......Por grandes que sean la virtud y la prudencia, la vigilancia y la capacidad de un hombre á quien se confia un poder arbitrario,</t>
  </si>
  <si>
    <t>Harrington, Lord</t>
  </si>
  <si>
    <t>Lord Harrington</t>
  </si>
  <si>
    <t>to para la execucion de esta providencia.,.'. ,,r _ r . . , . / En con seque nci a de la órderi del Lord Harrington para que los yolun-r tarios de la capital hagan su. servicio militar., se han nombrado Comisarios generales para verificar su número y equipages. ; t- . Extracto del Traveller. Ma</t>
  </si>
  <si>
    <t>Harrowby, Lord</t>
  </si>
  <si>
    <t>Lord Harrowby</t>
  </si>
  <si>
    <t>enta. Hace 203 dias que se dice habrá muy pronto algunas mudanzas en el Ministerio. Aseguran que el Lord Harrowby se retirará con motivo de sus achaques , y se le dará una pensión en atención á sus servicios,y que su sucesor será Mr. Canning. Qué verdad tengan estas voces, el tiempo lo dirá.</t>
  </si>
  <si>
    <t>trepas mandadas por. Muss-Agá. . GRAN BRETAÑA. Londres jg de Enero. Lord Mulgrave, que reemplaza á Lord Harrowby en el Ministerio de</t>
  </si>
  <si>
    <t>do tan miserable, se ha hecho en un instante tan formidable? Ciertamente no lo entiendo.’* Contestó Lord Harrowby, Ministro que acaba de ser de Negocios extrangeros, que el Lord Carlisie no habia comprehendido ios Oradores que votaron y apoyáron el discurso; que no habian hablado del rompimie</t>
  </si>
  <si>
    <t>Prusiano por conveniente y atinada esta operación.^ ’ • {j hizktadt, en Holstein &gt; de Noviembre, El Lord Harrowby, Embaxador extraordinario del Rey de Inglaterra cerca de S. M. el Rey de Prusia , ha llegado hoy en una fragata , y ha desembarcado en este puerto con una,gran comitiva; y se ha p</t>
  </si>
  <si>
    <t>Hartsinck, Almirante</t>
  </si>
  <si>
    <t>Almirante Hartsinck</t>
  </si>
  <si>
    <t>Teniente de Marina Steífens ,¡que mandaba una cañonera de la ñotilla Bátava, á las órdenes del Vice-Almirante Hartsinck, ha recibido hoy sobre el cadahalso ia pena á que se le había sentenciado por haber abandonado su buque, y retirádose á tierra huyendo dei peligro. Después de haber sido degradado</t>
  </si>
  <si>
    <t>neral de la India oriental. Las cartas de Bombay anuncian que la esquadra Holandesa mandada po*r el Almirante Hartsinck, y que se compone de 4 á 5 navios de línea y de varias fragatas, estaba cruzando á principios de Agosto en los mares de Oriente. Sé ha publicado una proclama, permitiendo la impor</t>
  </si>
  <si>
    <t>Hartsink, Almirante</t>
  </si>
  <si>
    <t>Almirante Hartsink</t>
  </si>
  <si>
    <t>nadas á Batavia y á otras posesiones Ho* landesas del Asia. Las últimas noticias recibidas del Vice-Almirante Hartsink y de su esquadra son muy satisfactorias. :&gt; , Ley den $ de Abril. Escriben de Berlín, con fecha de 30 de Marzo, que el Barón deWintzingerode, General Ruso y Ayudante general del Empera</t>
  </si>
  <si>
    <t>Harvcy</t>
  </si>
  <si>
    <t>scurso del Rey á este efecto. El Times de ayer anuncia la noticia importante y aciaga que sigue: y&gt; Mr. Harvcy, Capitán que fué del paquebot Leicester , llegó antes de ayer de Scilly ( islas So rlingas) á Fahnouth. Salió de la Barbada á bojdo del na</t>
  </si>
  <si>
    <t>Harvey</t>
  </si>
  <si>
    <t>l café de Lloyd se ha fixado’ el extracto que sigue de una carta que se ha recibido por el correo: „Mr. Harvey ha llegado á Falmouth el lunes pasado, procedente de las islas de Barlovento, á bordo del William, que había salido con el convoy,del que se había separado mas de un mes ántes. El</t>
  </si>
  <si>
    <t>La esquadra Francesa se apoderó igualmente del William y de otro buque de las islas de Barlovento. Mr. Harvey no puede decir nada de la suerte del convoy y del Calcuta, por haberse separado de ellos á las 9 de la noche, que todavía duraba el combate. El lunes pasado ha salido de las Sorli</t>
  </si>
  <si>
    <t>Has</t>
  </si>
  <si>
    <t>titución del dinero; y una acción criminal el castigo del reo. Lo mismo se observo en el proceso de Mr. Has* tings. Reduzco pues lo que tengo que decir á tres cargos principales: 1.° violación de la ley, á cuya formación contribuyó el mismo Lord Melville: 2.0 parte que ha tenido en el b</t>
  </si>
  <si>
    <t>Haufferberg, General</t>
  </si>
  <si>
    <t>General Haufferberg</t>
  </si>
  <si>
    <t>cerca de 20© hombres, que es parte del exército del Tiro!, se halla ahora enBregentz mandado por el General Haufferberg, que tiene por subalternos á los Generales Rohan y de Aspremont. Esté cüerpo ha comenzado ya á hacer algos 2® hombres de la vanguardia se han encaminado hacia Ravengsburgo en Suab</t>
  </si>
  <si>
    <t>Hawkesbury, Lord</t>
  </si>
  <si>
    <t>Lord Hawkesbury</t>
  </si>
  <si>
    <t>o la neutralidad de la España había estado reconocida por tanto tiempo, como lo estaba de hecho por Lord Hawkesbury; y quando por espacio de un año entero no ha mirado la Inglaterra como una infracción de la neutralidad ,el tratado de los subsidios que era bien conocido, no podía la Corte de Es</t>
  </si>
  <si>
    <t>S. Ildefonso. Igualmente querría se nos dixese, si desde el 21 de Enero hasta el 29 de Noviembre , Lord Hawkesbury, ó su sucesor, han dado á nuestro Ministro en Madrid instrucciones relativas á las contestaciones que existían entre ámbos Gobiernos. Si efectivamente se han dado, conviene que á</t>
  </si>
  <si>
    <t>e nuestro sistema militar, y proveer a los medios de mejorarlo. Lord Carlisie opinó del mismo modo. Lord Hawkesbury dixo que habia sobre las armas 400© hombres, sin contar los voluntarios: ,,Se ha calculado, añadió, que una quarta parte de la población está en estado de tomar las armas, quando</t>
  </si>
  <si>
    <t>licitud al Parlamento (lo que él no aprobaba), deseaba que se examinase y decidiese prontamente. El Lord Hawkesbury declaró, que si efectivamente se 'exáminaba este negocio, se opondría, quando fuese ocasión, con todas sus fuerzas á toda propuesta dirigida á apoyar la petición. El Lord Grenville r</t>
  </si>
  <si>
    <t>ue es imposible que su plan tenga ti efecto que espera ; y se sabe ; que á pesar de haber declarado Lord Hawkesbury que hay en el dia en Inglaterra 81® hombres sobre las armas, apénas hay 43® soldados de línea, contando la Irlanda, y que todos los proyectos de Mr. Pitt han producido, á todo mas</t>
  </si>
  <si>
    <t>ño sobre los pesos duros de España, que el Banco pone en circulación, ha acuñado 858,24a en un año. Lord Hawkesbury ha reemplazado á Lord Melville durante algunos días, ó por mejor decir, solo le ha sucedido en las Gazetas. El Baronet Sir Carlos Middleton sucede á Lord Melville, como primer Lor</t>
  </si>
  <si>
    <t>—.Concluyó proponiendo que la Cámara se reuniese en junta para deliberar sobre la petición. . c . r Lord Hawkesbury fué de distinta opinión, pues sostuvo que el objeto de la petición era derribar una ley fundamental del Estado; y que jamas las circunstancias habían sido ménofr favorables á la/e</t>
  </si>
  <si>
    <t>Hchrique Fauson</t>
  </si>
  <si>
    <t>S. Justo* núm. 4 : enValencia D. PedroFaurie:en Murcia los.Sres. Valeñce. y sobrinos: en Cartagena D. Hchrique Fauson y . compa-, nía: en Alicante D. L.; Jrouchaud; en, G ranada-D. Juan Manuel García de Tejada y compañía; en,Córdoba D. Ventura Aule: en Sevilla D. Domingo y Justo Torrijos; y en Cádi</t>
  </si>
  <si>
    <t>Heceta, General</t>
  </si>
  <si>
    <t>General Heceta</t>
  </si>
  <si>
    <t>poniendo su convoy á sotavento, lo defendían, y proporcionaban tomase el fondeadero de la plaza. El General Heceta dispusb que del de Algeciras saliesen todas las fuerzas que habia en numero de 2 5 barcos, y se dirigiesen á sostener la división apostada, y así se verificó á pesar del fuego de</t>
  </si>
  <si>
    <t>Hedouville</t>
  </si>
  <si>
    <t>e, Embaxador cerca del Gobierno Bátavo; á Mr. Daguesseau, Ministro Plenipotenciario en Dinamarca; á Mr. Hedouville, General de División; á Mr. Ferina, id.; á Mr. Gouvion, Inspector general de la Gendarmería; á Mr, Dambarere, Inspector de Ingenieros; á Mr. DoulcetPontecoulant, Prefecto del Dyle</t>
  </si>
  <si>
    <t>s Oficiales, no-ha baxado todavía la resolución. Los granaderos llevarán cascos en lugar de gorras. Mr. Hedouville, Ministro de Francia cerca del Elector Archi-Canciller del Imperio Germánico, llegó á Ratisbona el 2 del corriente; fue presentado por Mr. Bacher á varios;Ministros, y después con</t>
  </si>
  <si>
    <t>Hedouville, General</t>
  </si>
  <si>
    <t>General Hedouville</t>
  </si>
  <si>
    <t>a recibir á SS.AA. II. y SS., adonde igualmente y para el mismo efecto se había trasladado S. E. el General Hedouville, Embajador extraordinario de S. M. el Emperador de los Franceses y Rey de ItaliaSS. A A. acompañadas, de un desracamento de 2 qo hombres dé Guardias, de Honor.de Milán, Bolonia, B</t>
  </si>
  <si>
    <t>Henri</t>
  </si>
  <si>
    <t>ano de Monleon en la Sta. Iglesia de Salamanca , vacante por muerte de D. Nicolás Sebastian Laso, á D. Henri— que Felipe de Potier, Director espiritual del Real Colegio de Niños Desamparados de Madrid. Genova jG de Marzo. Acabamos de saber por cartas de Corfú la próxima llegada de un cue</t>
  </si>
  <si>
    <t>Henrique, Príncipe</t>
  </si>
  <si>
    <t>Príncipe Henrique</t>
  </si>
  <si>
    <t>momento en el palacio de recreo de la Princesa de Holstein* Beck, y luego se trasladó al coche del Príncipe Henrique, y efectuó su entrada en esta capital, con salvas de la artillería, que al intento se habia colocado en los jardines. En la carrera estaba ten</t>
  </si>
  <si>
    <t>Heraclio, Príncipe</t>
  </si>
  <si>
    <t>Príncipe Heraclio</t>
  </si>
  <si>
    <t>o. El Príncipe Zizianow ha puesto presos á 60 de los sugetos principales de Teflis, y dos hijos del Príncipe Heraclio se han visto precisados á huir á la Persia. RUSIA. Arcdngelo jo de Julio. El 11 del corriente, dias de S. M. el Emperador, se efectuó la solemne traslación de la cruz que Pedro el</t>
  </si>
  <si>
    <t>Heredia, Vicente</t>
  </si>
  <si>
    <t>Vicente Heredia</t>
  </si>
  <si>
    <t>naderos, con grado de Capitán, D. Salvador Molina ; y á Subteniente de' bandera al Sargento primero D. Vicente Heredia: en el de Burgos á Capitanes á los graduados D. Josef García y D. Josef María Olona , Ayudantes del mismo Cuerpo ; y á Subteniente de bandera en el de Aragón al Cadete D. Nicolás</t>
  </si>
  <si>
    <t>Hereditario de Baviera, Príncipe</t>
  </si>
  <si>
    <t>Príncipe Hereditario de Baviera</t>
  </si>
  <si>
    <t>ar al Blíncipe los expedientes y consultas que1 le competen. Hace algunos dias que se halla aquí el Príncipe Hereditario de Baviera,. acompañado del Conde de Reuss y otras personas. El sábado fué este Príncipe á visitar á nuestro Virey, quien le recibió con todos los honores que le son debidos, y agasajó á las</t>
  </si>
  <si>
    <t>Herencia, Tomás</t>
  </si>
  <si>
    <t>Tomás Herencia</t>
  </si>
  <si>
    <t>ino Aragón, D. Juan de Dios Camborda, Don Josef Bobadilla, D. Silverio Mogrovejo, D. Paulino Roxas, D. Tomas Herencia, D. Josef Perez del Portillo, D. Simón Aguirre y D. Manuel Oreilana; el empleo de Alférez de granaderos á D. Casimiro Contreras; y sencillos á D. Miguel Riquelme, D. Josef Mendez,</t>
  </si>
  <si>
    <t>Herencia, Vicente</t>
  </si>
  <si>
    <t>Vicente Herencia</t>
  </si>
  <si>
    <t>y sencillas á D. Bernardo Manrique, D. Francisco Alcántara, D. Nicolás Gódiel, D. Manuel Orihuela, D. Vicente Herencia, D.Vicente Portugal,D. Miguel Carrasco y D. Martin Vargas; Ayudantías á D. Jorge Santos García y D. Melchor Olaquibel; Tenencia de granaderos á D. Melchor Ramos;y sencillas á D. L</t>
  </si>
  <si>
    <t>Hermenegildo Barreda</t>
  </si>
  <si>
    <t>n extraordinario de Artillería de la plaza de Jaca á D. Pedro Benito Fernandez. El Capitán de Navio D. Hermenegildo Barreda, Comandante militar de Marina de la Provincia de Gijon, ha dado cuenta de que en la tarde del dia 19 de Mayo se presentaron á la vista del puerto de Rivadese11a una balandra y otr</t>
  </si>
  <si>
    <t>Hermenegildo Delgado</t>
  </si>
  <si>
    <t>squadron en el Regimiento de Milicias urbanas de dragones de Quispicanchi, en el Reyno del Perú , á D. Hermenegildo Delgado, Sargento mayor del mismo cuerpo ; Compañía al Teniente D. Francisco Xavier Arriílaga; Ayudantía al Teniente D. Pedro Santos; Tenencia de granaderos al Alférez D. Lorenzo de Salas</t>
  </si>
  <si>
    <t>Hermosilia del de Toledo, Pedro</t>
  </si>
  <si>
    <t>Pedro Hermosilia del de Toledo</t>
  </si>
  <si>
    <t>uerpo de Ingenieros del Exército á los de igual clase de los Regimientos de infantería que siguen : D. Pedro Hermosilia del de Toledo, D. Diego Tolosa del del Príncipe ; D. Joaqui» Luzuriaga del de Órdenes Militares ; D. Juan Manuel Carmona del de Murcia; al Teniente dei Regimiento provincial de Santiago D. Ramó</t>
  </si>
  <si>
    <t>Hernández de Alva, Juan Manuel</t>
  </si>
  <si>
    <t>Juan Manuel Hernández de Alva</t>
  </si>
  <si>
    <t>ima de Cánones de la Universidad de. Chile ; y para plaza de Oidor de la Audiencia de Guadalaxara á Don Juan Manuel Hernández de Alva. El Mercurio de España de 3 1 de Agosto, niim. 16, se hallará en el despacho de la Imprenta Real; en el Real Sitio de S. Ildefonso en la tienda del Rubio, y en Cádiz en casa de D.</t>
  </si>
  <si>
    <t>Hernández Prieto, Gregorio</t>
  </si>
  <si>
    <t>Gregorio Hernández Prieto</t>
  </si>
  <si>
    <t>Quevedo; Tenencia de granaderos á D. Nicolás Romero y Fuster, y de fusileros á D. Luis de Heredia, D. Gregorio Hernández Prieto, D. Manuel Bermejo, D. Francisco Bravo, D. Hilario Chavez, D. Josef Pe</t>
  </si>
  <si>
    <t>Hernández Toribio, Juan</t>
  </si>
  <si>
    <t>Juan Hernández Toribio</t>
  </si>
  <si>
    <t>Juan Hernández To- Hijo de Simón , nat. de Barca-rota en Extre 1</t>
  </si>
  <si>
    <t>Hernández Vicente, Manuel</t>
  </si>
  <si>
    <t>Manuel Hernández Vicente</t>
  </si>
  <si>
    <t>l de Santa María la Mayor de la villa de Ledesma, en la de,Salamanca, yacante.por: fallecimiento de D, Manuel Hernández Vicente,á D. Demetrio Pedro Díaz: para el de Quintaniíla de Bon, en la d§ Burgos , vacante por pro'mocion de. D. Vicente Simón de la Puente á Canon gía de aquella Iglesia Metropolitana ,</t>
  </si>
  <si>
    <t>Hernández Vigil, Vicente</t>
  </si>
  <si>
    <t>Vicente Hernández Vigil</t>
  </si>
  <si>
    <t>D. Gregorio López, á quien se las confirió en 23 de Octubre de 1800, y no llegó á tomar posesión, á D. Vicente Hernández Vigil. Don Luis Proust, Catedrático de Química en esta Corte, dará principio á las lecciones de esta ciencia el martes 3 de Diciembre próximo, y las continuará los martes, juéves y sába</t>
  </si>
  <si>
    <t>Hernández, Francisco</t>
  </si>
  <si>
    <t>Francisco Hernández</t>
  </si>
  <si>
    <t>as, 3 sueldos y 4 dineros, correspondientes en propiedad á Den Antonio Collar yEspada,de las quales D. Francisco Hernández percibe el usufructo miéntras viva, con cuya carga las dexó su muger Doña Alfonsa Espada, se halla hecha postura por el mismo D. Francisco Hernández, vecino de dicha ciudad, en 24</t>
  </si>
  <si>
    <t>Hernández, Joaquín</t>
  </si>
  <si>
    <t>Joaquín Hernández</t>
  </si>
  <si>
    <t>en el Regimiento de infantería de Za4 mora Subtenencia de bandera al Sargento primero de granaderos D. Joaquín Hernández. En el Real Cuerpo de Ingenieros de exército ha promovido S. M. á Director Subinspector al Brigadier el Coronel D. Pedro de Cortes: á Coronel el graduado de tal el Teniente Corone</t>
  </si>
  <si>
    <t>Hernández, Manuel</t>
  </si>
  <si>
    <t>Manuel Hernández</t>
  </si>
  <si>
    <t>o Barellas y D. Balvino Cortés; y Subtenencias en el mismo Cuerpo al Sargento primero de granaderos D. Manuel Hernández, á los Cadetes D. Josef Melendez y D. Josef Bausa , este de la Compañía fixa del Peñón, y al Soldado distinguido del de Reales Guardias Waloras D. Pedro Thibeau: en los de la Coro</t>
  </si>
  <si>
    <t>Hernández, Pedro</t>
  </si>
  <si>
    <t>Pedro Hernández</t>
  </si>
  <si>
    <t>s de la inoculación de la vacina, ó vacuna, traducido del francés por él Dr. D. Pedro Hernández, Médico del Real Colegio de esta Corte, y del Hospital de los Italianos &amp;c. Esta obrita&gt; que sin dificultad puede decirse la única en su clase, adornada de 4'estampas finas, perfectamente</t>
  </si>
  <si>
    <t>Hernando Cárabes, Antonio</t>
  </si>
  <si>
    <t>Antonio Hernando Cárabes</t>
  </si>
  <si>
    <t>oaquín de Garay Artabe, Don Lucas Cano, D. Juan Cano, D. Matías Angulo, y el octavo se sorteo entre D. Antonio Hernando Cárabes, D. Miguel Arguelles Cifuentes y Don Manuel de Iduate, y recayó en este. Don Josef Joaquin Cano renunció el premio á que se habla hecho acreedor, y se dió á todos certificaciones</t>
  </si>
  <si>
    <t>Hernando de Acuña</t>
  </si>
  <si>
    <t>as librerías de Sancha, calle del Lobo, y de Yuste, calle de Atocha. Varias poesías, compuestas por D. Hernando de Acuña: segunda edición: un tomo en 8.° Se hallará en Ja librería de Sancha, calle del Lobo. Dos estampas en pliego de marca mayor, la una es el plano de las obras del puerto, con las di</t>
  </si>
  <si>
    <t>Hernando, Antonio</t>
  </si>
  <si>
    <t>Antonio Hernando</t>
  </si>
  <si>
    <t>r de Guardamiro, en la Diócesi de Salamanca* vacante por fallecimiento de D. Narciso de S. Pablo, i D. Antonio Hernando. Para una de las plazas actualmente vacantes en et Consejo Real ha nombrado también S. M. al Sr. D. Francisco Xavier Duran, Ministro de la Sala de Alcaldes de Casa y Corte. Asimis</t>
  </si>
  <si>
    <t>Hernando, Pedro</t>
  </si>
  <si>
    <t>Pedro Hernando</t>
  </si>
  <si>
    <t>orasteros de este año se ha puesto como vacante el Gobierno de Almadén;y se advierte que la obtiene D. Pedro Hernando, como en los años anteriores. Antonii Eximen i Presbyteri Valentini de studiis Philosophicis et Mathematrcis instituendis ad virum clarissimum suique amicissimum Joannem Andressiu</t>
  </si>
  <si>
    <t>Herranz, Sebastián</t>
  </si>
  <si>
    <t>Sebastián Herranz</t>
  </si>
  <si>
    <t>n Josef Catalan de Ocon , residente en Zaragoza , 400 ; Antonio Ib2rrola y Vicente Valdellou, 200 ; D. Sebastian Herranz, Vicario eclesiástico , y D. Tadeo Hurtado, como patronos de dos obras pías, el primero 120, y el segundo 195. De orden del Corregidor se entregó al Tesorero otra limosna de 782;</t>
  </si>
  <si>
    <t>Herrera y Buedo, Domingo</t>
  </si>
  <si>
    <t>Domingo Herrera y Buedo</t>
  </si>
  <si>
    <t>del Manzano de la villa de Poveda de la Obispalía, en la Diócesi de Cuenca, vacante por ascenso de D. Domingo Herrera y Buedo áí Beneficio de Móstoles, en el Arzobispado de Toledo, para el Beneficio de la villa de Belmonte, en el Obispado de Córdoba, y para la Prestamera de la Mitacion de Culebrilla, en</t>
  </si>
  <si>
    <t>Herrera, Domingo</t>
  </si>
  <si>
    <t>Domingo Herrera</t>
  </si>
  <si>
    <t>nombramiento hecho por S. M. en D. Juan Antonio de Irusta, por decreto de 25 de Noviembre ultimo, á D. Domingo Herrera, Teniente de Cura de la Parroquia de S. Justo y Pastor de Madrid, con igual carga de residenüia personal; y para el Préstamo de Lora nc a , en la Diócesi de Cuenca* vacante por pr</t>
  </si>
  <si>
    <t>Herrero Prieto, Matías</t>
  </si>
  <si>
    <t>Matías Herrero Prieto</t>
  </si>
  <si>
    <t>rnador político y militar de Bilbao, de quien ha de ser Asesor nato, ha nombrado para este empleo á D. Matías Herrero Prieto, con los sueldos y emolumentos que tenia dicho Corregidor. Igualmente ha nombrado S. M. para la Vara de Alcalde mayor de la ciudad de Valladolid á D. Ramón Macía de Lleopart: para</t>
  </si>
  <si>
    <t>do. El Rey se ba servido conceder honores de Alcalde del Crimen de la Chancilléría de Vallado lid á D. Matías Herrero Prieto, Alcalde mayor del :Señorío de Vizcaya. En América. El Rey se ha dignado Conceder Subtenencia de bandera en el Batallón de infantería de Castilla, fixo de Campeche, á D. IgnacioRo</t>
  </si>
  <si>
    <t>Hervás, Lorenzo</t>
  </si>
  <si>
    <t>Lorenzo Hervás</t>
  </si>
  <si>
    <t>o, se vende en la librería de Villareal, calle de las Carretas, ¿ 110 rs. en papel. Carta del Abate D. Lorenzo Hervás al Exento. Sr. D. Antonio Ponce de León, Duque de MontemarScc., sobre el tratado del hombre en sociedad, con la qual se da nn á su historia de la vida del hombre. En esta obrita s</t>
  </si>
  <si>
    <t>cidas, y numeración, división y clases de estas según la diversidad de sus idiomas y dialectos, por D. Lorenzo Hervás, Bibliotecario de nuestro Santísimo Padre Pió vn: tomo 6.° Continuando el autor la materia del precedente sobre las naciones Europeas primitivas, con particularidad de España, tra</t>
  </si>
  <si>
    <t>Herz</t>
  </si>
  <si>
    <t>quien le sucederá en el eminente empleo de Capitán Baxá. DINAMARCA. Copenhague 8 de Enero de 180$. Mr. Herz acaba de fundar una biblioteca en la ciudad de Corsoer para la comodidad de los viageros que esten allí detenidos por los vientos contrarios. Los que saben que el pueblo de Corsoe</t>
  </si>
  <si>
    <t>Hezeta, General</t>
  </si>
  <si>
    <t>General Hezeta</t>
  </si>
  <si>
    <t>eparar al dia siguiente el costado de la corbeta, que recibió tres balazos baxo íajínea de agua. El General Hezeta recomienda el valor de los Oficiales y demas individuos que tuviéron parte en esta acción , y hace particular elogio del .acierto .con que la dirigió el Gefe de Esquadra D. Nicolá</t>
  </si>
  <si>
    <t>Hidalgo Amores, Benito</t>
  </si>
  <si>
    <t>Benito Hidalgo Amores</t>
  </si>
  <si>
    <t>de Córdoba, vacante por ascenso ae D. Salvador Ximenez Padilla á Canónigo de la Iglesia de Málaga á D. Benito Hidalgo Amores, Cura de la Parroquia de la villa de Yalenzuela en el-mismo Obispado: para una Ración de la Iglesia de Tuy, vacante por promoción de D. Bernardo Sánchez á Canónigo de la propia Ig</t>
  </si>
  <si>
    <t>Hidalgo, Juan Francisco</t>
  </si>
  <si>
    <t>Juan Francisco Hidalgo</t>
  </si>
  <si>
    <t>erido en la misma Iglesia: para la Canongía vacante en la Catedral de Granada, por fallecimiento de D. Juan Francisco Hidalgo, á D. Agustin Diez de Lara, Canónigo de la Colegiata del Sacromonte de dicha ciudad: para la Canongía de la Iglesia de Vailadolid, vacante por muerte de D. Pedro Ramón de Villa, á</t>
  </si>
  <si>
    <t>Higidio Mariaca</t>
  </si>
  <si>
    <t>á Don Eugenio de Castro, y de fusileros á D. Pedro Bustinza, D. Vicente Béjar, D. Manuel Céspedes, D. Higidio Mariaca, D. Paulino Deza, D. Eugenio Dueñas , D. Pedro Cegarra , D. Mariano García Romani; y Subtenencias de bandera á f). Simón Aguirre y D. Gregorio Santander. En el Batallón de nueva c</t>
  </si>
  <si>
    <t>Higinio Antonio Lorente</t>
  </si>
  <si>
    <t>mentos de química, escritos en francés por el ciudadano J. A. Chaptal, traducidos al castellano por D. Higinio Antonio Lorente : segunda edición, adicionada y corregida por la tercera y última hecha en su original francés: 3 tomos en 4.* Se hallará en la librería de Calleja, calle de Majaderitos angosta.</t>
  </si>
  <si>
    <t>Hilario Chavez</t>
  </si>
  <si>
    <t>usileros á D. Luis de Heredia, D. Gregorio Hernández Prieto, D. Manuel Bermejo, D. Francisco Bravo, D. Hilario Chavez, D. Josef Pe</t>
  </si>
  <si>
    <t>Hilarión de Quintana</t>
  </si>
  <si>
    <t>vido el Rey promover á Capitán al Teniente de granaderos D. Gabriel Gascón ; á Ayudante al Teniente D. Hilarión de Quintana; á Teniente de granaderos al de fusileros D. Josef Gascón; á Tenientes á los Subtenientes de granaderos D. Sebastian Pizarro y D. Joaquín González Teran, y al de fusileros Don Jua</t>
  </si>
  <si>
    <t>Hilarión Gaspar</t>
  </si>
  <si>
    <t>Concepción de Chile á Teniente al Subteniente D. Juan de Luna, y á Subteniente al Sargento primero D. Hilarión Gaspar; y á Teniente en el Cuerpo de dragones de la frontera del mismo Reyno al Alférez D. Nicolás Toledo. El.dia 2 de Setiembre próximo, á las 4 de la tarde, se dará principio al curso</t>
  </si>
  <si>
    <t>Hill</t>
  </si>
  <si>
    <t>envía nuevamente Embaxadores* al Imperio Alemán, Mr* Stuarídeber residir como tal en Stuttgárd , y Mr. Hill está nombrado Ministro cerca de la Dieta Germánica y del Círculo de Eran— conia. Los porjuicios que ha. sufrido,hasta el dia. el comercio, de la. ciudad</t>
  </si>
  <si>
    <t>Hiller</t>
  </si>
  <si>
    <t>s se prohíbe con mucha severidad. Angsburgo 2 de Febrero. El quartel general del Comandante en gefe Mr. Hiller se halla en Inspruck, y el del General de Chasteller, que manda el cordon de las fronteras del Tirol, se ha transferido á Roveredo. S~e procede con la mayor severidad, y se examin</t>
  </si>
  <si>
    <t>Hillinger, General</t>
  </si>
  <si>
    <t>General Hillinger</t>
  </si>
  <si>
    <t>s de S. Leonardo* envió á uno de sus Ayudantes de Campo á requerirla rindiese las armas.’El Oficial General Hillinger, que la mandaba, no viendo que hubiese tropas delante dé él, dio muestras de pelear. El Regimiento 22 de infantería ligera, mandado por su Coronel Goguet, recibió orden de pasar i</t>
  </si>
  <si>
    <t>Hipólito Martín Sánchez</t>
  </si>
  <si>
    <t>Algumola, D. Francisco del Castillo y Melgar, Don Fernando de Contreras, D. Tomas Bernardo López, y D. Hipólito Martin Sánchez. # S. M. se ha servido promover á Subtenientes de bandera en los Regimientos de infantería de Saboya y de Córdoba á los Sargentos primeros D. Sebastian Vecina y D. Jacinto Montero</t>
  </si>
  <si>
    <t>Hipólito Ruiz</t>
  </si>
  <si>
    <t>Orea. Memoria sobre las virtudes y usos de la planta llamada en América bejuco de la estrella, por D. Hipólito Ruiz, Botánico de S. M. en la expedición del Perú. Este escrito, que mereció la aprobación de la Real Academia Médica de Madrid, para incorporarle en el segundo tomo de sus Piernonas,</t>
  </si>
  <si>
    <t>legítima calaguala, y otras raíces que con el mismo nombre nos vienen de la América Meridional, por D. Hipólito Ruiz, Botánico ele S. M. en la expedición del Perú. Las diversas raíces criptógamas qué halló el autor á su regreso de América en el comercio de Cádiz, baxo el nombre de calaguala , la</t>
  </si>
  <si>
    <t>Hipólito Ruíz</t>
  </si>
  <si>
    <t>544 Memoria sobre las virtudes y usos de la raíz de la planta llamada yallhoy, en el Perú, por D. Hipólito Ruíz, Botánico de S. M. La eficacia y singular virtud contra las disenterias, descubierta pocos años hace en la corteza de la raíz del yallhoy, y la falta de correspondencia de los rem</t>
  </si>
  <si>
    <t>Hnget, Pedro</t>
  </si>
  <si>
    <t>Pedro Hnget</t>
  </si>
  <si>
    <t>Zanlora......... . D. Josef Ligero. En Zaragoza....... D. Tomás de la Madrid. ¿í/z Zeuta......... . D. Pedro Hnget, comisionado subalternó del de Cádiz* El Rey nuestro Señor, á consulta del Consejo pleno, se ha servido resolver que desde el día 13 dei presente cese y quede exonerada la adminis</t>
  </si>
  <si>
    <t>Hohenzollern, General</t>
  </si>
  <si>
    <t>General Hohenzollern</t>
  </si>
  <si>
    <t>onde de Kollordrath, el Príncipe de Rohan, gravemente herido; el Príncipe Fernando de Coburgo, y el General Hohenzollern. Este último quedo sin embargo comprehendido en la capitulación del General Werneck. HOLANDA. Haya 30 de Octubre. Desde el momento que se supieron aquí las victorias conseguidas p</t>
  </si>
  <si>
    <t>Holandés Hartsinck, Almirante</t>
  </si>
  <si>
    <t>Almirante Holandés Hartsinck</t>
  </si>
  <si>
    <t>y un cúter para reunírsele, ó para ir á la bahía de Bengala. Al mismo tiempo se hallaba en Java el Almirante Holandés Hartsinck con 203 navios de guerra ; los que después de haber perdido en Batavia, de resultas de enfermedades, la mitad de sus tripulaciones, habían tenido que reemplazarlas con Malayos----</t>
  </si>
  <si>
    <t>Holland, Lord</t>
  </si>
  <si>
    <t>Lord Holland</t>
  </si>
  <si>
    <t>que se hace á Lord Melville, no está bien en Mr. Fox hablar como hace, quando se sabe que su padre Lord Holland, que se retiró del Ministerio en 1755 , ha disfrutado hasta 1782 , durante 17 años, 15© libras esterlinas anuales de intereses de los fondos públicos, que tenia en sus manos como</t>
  </si>
  <si>
    <t>vacunados gratuitamente los hijos de los pobres. GRAN BRETAÑA. 5 Londres ig de Julio, El 4 de Julio Lord Holland hizo en la Cámara de los Pares la propuesta que había anunciado sobre las relaciones de comercio establecidas entre los Esfádos-Unidos de América, y nuestras colonias de las India</t>
  </si>
  <si>
    <t>de todos los Estados, con los quales tiene algunas relaciones ae comercio. lord Stanhope opinó como Lord Holland: representó á la América Septentrional como un pais agrícola, cuyas producciones eran indispensables á la existencia de nuestras colonias. „ No existimos (dixo) mas que por nuestr</t>
  </si>
  <si>
    <t>Hollando, Lord</t>
  </si>
  <si>
    <t>Lord Hollando</t>
  </si>
  <si>
    <t>recho déla casa de Brunswick á la corona de Inglaterra. ' ^ Lord Sidmoutn habló contra lá petición. Lord Hollando, resumiendo las objeciones hechas contra la propuesta» insistió sobre la necesidad dé aficionar los católicos á nuestra constitución» haciéndoles disfrutar dé* Stis ventajas. - Lo</t>
  </si>
  <si>
    <t>Home Popham</t>
  </si>
  <si>
    <t>se ha reunido á la expedición con 4 navios de línea. Hoy se ha hecho á la vela para Constantinopla Sir Home Popham á bordo del Diadema de 64: lleva 50o® libras esterlinas en pesos fuertes. HOLANDA. Haya $ de Agosto. El día 6 del corriente se levantó el campamento que había cerca de Beverwyk, y</t>
  </si>
  <si>
    <t>Homero y de Virgilio</t>
  </si>
  <si>
    <t>experimentado ya en ciertos casos con buen éxito. El célebre Voss, traductor de Homero y de Virgilio, autor de Luisa, poeta sobresaliente en lo lírico y en lo pastoril, y versificador el mas acreditado de Alemania, se ausentará de Jena para ir á Heidelberg, en donde cobrará 1$ florines</t>
  </si>
  <si>
    <t>Horacio Sebastiani, General</t>
  </si>
  <si>
    <t>General Horacio Sebastiani</t>
  </si>
  <si>
    <t>superiores de la plaza. Memmingen á 14 de Octubre. = Firmado. = El General de división Saligny: el General Horacio Sebastiani ; Mr* Fitteau, Coronel del tercer Regimiento de dragones; el Conde deSpangen, Mayor General; Wouwermans, Coronel; el Barón de Lauer, Mayor éIngeniero &amp;c. Traducción de una proclam</t>
  </si>
  <si>
    <t>Horcasitas, Miguel</t>
  </si>
  <si>
    <t>Miguel Horcasitas</t>
  </si>
  <si>
    <t>ástegui ; en Geometría1 elemental D. Josef Demblans: en la elemental y práctica D. Antonio Salazar, D. Miguel Horcasitas y D. Pedro Giroud; en Cosmografía y Geografía D. Juan Villapol, y en Trigonometría plana y esférica, Cosmografía, Geografía y Navegación D. Pedro Villar y D. Lorenzo Sagra. Todos los</t>
  </si>
  <si>
    <t>Hóría, Francisco</t>
  </si>
  <si>
    <t>Francisco Hóría</t>
  </si>
  <si>
    <t>rvido nombrar para la Dignidad Real de Dean de la'Ca^ tedral de Vique, vacante por fallecimiento de D. Francisco Hóría, á Dóh Josef de Rocafiguera *. para un Beneficio de la Colegial de la Ciudad -áe Alcaóiz, Diócesis de Zaragoza , vacante .por muerte de D. Luis Minaur-, á D. Ignacio Pardo. El Rey</t>
  </si>
  <si>
    <t>Horta, Francisco</t>
  </si>
  <si>
    <t>Francisco Horta</t>
  </si>
  <si>
    <t>. Manuel Simón. El Rey se ha servido conferir el Gobierno de la plaza de Ceuta al Mariscal de Campo D. Francisco Horta, Director Subinspector del Real Cuerpo de Ingenieros. En América. El Rey se ha servido conferir el empleo de Capitán en el Batallón de Milicias disciplinadas de blancos de Valenci</t>
  </si>
  <si>
    <t>Hospodar, Príncipe</t>
  </si>
  <si>
    <t>Príncipe Hospodar</t>
  </si>
  <si>
    <t>de Servia sea un Principado, á manera de los de Moldavia y Valaquia, y que al intento se nombre un Príncipe Hospodar,elegido entre los Cristianos Griegos. Recuerdan al mismo tiempo los Diputados las promesas que se hicieron á la primera diputación. El Gran Señor ha consultado al Divan, y de 10 d</t>
  </si>
  <si>
    <t>Hüéi, Pablo</t>
  </si>
  <si>
    <t>Pablo Hüéi</t>
  </si>
  <si>
    <t>villa de Hellin, en el Obispado de Cartagena, vacante por fállecimiento de D. Gregorio Valcárcel, á D. Pablo Hüéi‘tos: para el Beneficio simple servidero de . Santa María de la Cuesta del lugar, de Vezdeinarbah , Diócesi de Zamora, vacante por muerte de Don Francisco Alfageme, á D. Isidro Rod</t>
  </si>
  <si>
    <t>Huergo, Manuel</t>
  </si>
  <si>
    <t>Manuel Huergo</t>
  </si>
  <si>
    <t>cado id.: D. Ramón Echague id.: D. Pedro Nuñez, herido: D. Josef Losada id.: D. Pedro Brigloer id.: D. Manuel Huergo, contuso: D. Simón Londoño id.: D. Pedro Rato, herido. Alféreces de Fragata. D. Benito Bermudez de Castro, muerto: D. Juan Balsola, herido: D. Nicolás del Rio id.: D. Josef de la</t>
  </si>
  <si>
    <t>Hugo de Lupia y Bages</t>
  </si>
  <si>
    <t>ión á sepultura éderiá'tica.rrlV. Constituciones ordenadas en el año 140S por el Obispo do Valencia D. Hugo de Lupia y Bages con su Cabildo, acerca de los Oficios Divinos, ineditas. = V. Sínodo de Sto. Tomas de Villanueva , Arzobispo de Valencia, celebrado á 12 de Junio de 1)4.8 , y de cuya existencia s</t>
  </si>
  <si>
    <t>Huguet, Pablo</t>
  </si>
  <si>
    <t>Pablo Huguet</t>
  </si>
  <si>
    <t>Infante á Ayudante al Teniente D. Carlos de Victoria: en el de Algarbe á Alférez ai Portaestandarte D. Pablo Huguet; y á Portaestandartes en los deFarnesio y Santiago á los Sargentos primeros Don Juan Díaz y D. Juan Portaz. En los de caballería ligera igualmente se ha servido S. M. promover: en</t>
  </si>
  <si>
    <t>Huguet, Pedro</t>
  </si>
  <si>
    <t>Pedro Huguet</t>
  </si>
  <si>
    <t>... D. Vicente Perez de Tejada. En Zaragoza........ D. Tomas de la Madrid. En Zeuta.................D. Pedro Huguet, comisionado subalterno del de Cádiz. El dia 18 de Abril próximo venidero se executará públicamente la quema de todos los Vales correspondientes á la renovación de i.° de Enero, q</t>
  </si>
  <si>
    <t>Hunoíd</t>
  </si>
  <si>
    <t>de Hohenstein. ALEMANIA. Hamburgo de Julio. El Dr. Faust publicará muy en breve, de acuerdo con el Dr. Hunoíd, de Cassel, una obra, en la qual promete demostrar que todos los instru^ inentos de cirugía, excepto la lanceta de vacunar, deben humedecerse con aceyte ai momento de usarlos en l</t>
  </si>
  <si>
    <t>Hunter, Capitán</t>
  </si>
  <si>
    <t>Capitán Hunter</t>
  </si>
  <si>
    <t>lo que al punto se executó. Pero por desgracia el navio de línea el Venerable de 74, mandado por el Capitán Hunter, d’ó contra una roca. La noche era obscura, y el viento muy recio, de modo que ántes de amanecer se había hecho pedazos, á pesar de los auxilios que se le dieron. Casi toda la tri</t>
  </si>
  <si>
    <t>Hurtado de Mendoza, Juan Francisco</t>
  </si>
  <si>
    <t>Juan Francisco Hurtado de Mendoza</t>
  </si>
  <si>
    <t>el lugar de Majadahonda, perteneciente á la Capellanía que en la villa de Soto de los Cameros fundó D. Juan Francisco Hurtado de Mendoza,.la qual linda, entre oriente, mediodía y poniente el monte con el camino de la .villa de Romanillos á Madrid ; entre mediodía y poniente el monte y palacio de Romanillos y el- ca</t>
  </si>
  <si>
    <t>Hurtado, Joaquín</t>
  </si>
  <si>
    <t>Joaquín Hurtado</t>
  </si>
  <si>
    <t>s id.: D. Pedro Saez;Baranda id.: D. Aniceto Diaz Pimienta id.: D. Francisca Rúa id. Primer Piloto. D. Joaquin Hurtado, contuso. También ha dado parte al Sr. Generalísimo el Gefe de Esqnadra Don Baltasar Cisneros, desde Algeciras en 31 de Octubre, de las principales ocurrido de metralla en una pie</t>
  </si>
  <si>
    <t>Hurtado, Tadeo</t>
  </si>
  <si>
    <t>Tadeo Hurtado</t>
  </si>
  <si>
    <t>, 400 ; Antonio Ib2rrola y Vicente Valdellou, 200 ; D. Sebastian Herranz, Vicario eclesiástico , y D. Tadeo Hurtado, como patronos de dos obras pías, el primero 120, y el segundo 195. De orden del Corregidor se entregó al Tesorero otra limosna de 782; y el Escribano numerario y de Ayuntamiento</t>
  </si>
  <si>
    <t>Husson</t>
  </si>
  <si>
    <t>ón particular que había dispensado el Gobierno á tan útil descubrimiento. Del estado presentado por Mr. Husson, Medico del hospital de la vacunación, y Secretario de la Sociedad,resulta que 67 Prefectos han contestado á la circular del Ministro: que los Arzobispos y Obispos han dado prueba</t>
  </si>
  <si>
    <t>Ibáñez de Segovia, Gaspar</t>
  </si>
  <si>
    <t>Gaspar Ibáñez de Segovia</t>
  </si>
  <si>
    <t>arias noticias antiguas, que conservan los escritores Hebreos, Fenicios y Arabes, por el Excmo. Sr. D. Gaspar Ibañez de Segovia, Marques de Corpa y de Mondejar. Esta obra, hasta ahora inédita, no necesita mas recomendación que llevar al frente el nombre de su autor, bien conocido y estimado de los literato</t>
  </si>
  <si>
    <t>Ibáñez Ramos, Joaquín</t>
  </si>
  <si>
    <t>Joaquín Ibáñez Ramos</t>
  </si>
  <si>
    <t>Presidencial del Rey no de Guatemala, de nueva creación, con las funciones dé Auditor de Guerra, á D. Joaquin Ibañez Ramos, Abogado de sus Reales Consejos. Finalmente ha concedido S. M. honores de Ministro del Supremo Consejo de Indias á D. Luis de Chaves y Mendoza, Regente de su Real Audiencia de Cub</t>
  </si>
  <si>
    <t>Ibargiien, Ramón</t>
  </si>
  <si>
    <t>Ramón Ibargiien</t>
  </si>
  <si>
    <t>ia de S. Lorenzo de la ciudad de Murcia, vacante por fallecimiento de D/Miguel Antonio de Ribera, á D. Ramón Ibargiien: para igual Beneficio de la Parroquia de Horcajada, en la Diócesi de Avila, vacante por muerte de D. Ramón Gutiérrez Plaza, á D. Ignacio Brochero; y para el de Cardeñosá, en la pr</t>
  </si>
  <si>
    <t>Ibarra, Joaquín</t>
  </si>
  <si>
    <t>Joaquín Ibarra</t>
  </si>
  <si>
    <t>co de Santa María, del orden de S. Gerónimo: un tomo en 4.0 Se hallará en la librería de la hija de D. Joaquín Ibarra, calle de la Gorguera. Estampa de S. Josef, en 4.0, adorando al Niño Jesús. = Otra de nuestra Señora del Pilar, según se venera en la Real Iglesia de Monserrat, hospital de la Cor</t>
  </si>
  <si>
    <t>Ibarra, Vicente</t>
  </si>
  <si>
    <t>Vicente Ibarra</t>
  </si>
  <si>
    <t>a de S. Juan del Hospital de la ciudad de Valencia, se manda á D Josef Subirats, Mosen Josef Soler, D. Vicente Ibarra, Dr. D. Pedro Juan Climent y D. Juan Valentín de la Cruz que comparezcan ante su Señoría á deducir el derecho que Ies competa en razón del .turno, colación y posesión de los respe</t>
  </si>
  <si>
    <t>Ifarrowby, Lord</t>
  </si>
  <si>
    <t>Lord Ifarrowby</t>
  </si>
  <si>
    <t>uel Gabinete deben de haber hecho la mayor impresión las noticias de da Silesia y-de la Moravia. El Lord Ifarrowby, Embaxador extraordinario de Inglaterra, no ha desempeñado todavía su comisión de ajustar un tratado de subsidios con la Corte de Berlín. Las relaciones é informes que se han reci</t>
  </si>
  <si>
    <t>Iglesia y Pérez, Bernardo</t>
  </si>
  <si>
    <t>Bernardo Iglesia y Pérez</t>
  </si>
  <si>
    <t>rsonas que sepan de su residencia, se sirvan noticiarla, bien sea al nominado Felipe, ó en Madrid á D. Bernardo Iglesia y Perez, empleado en la Real Tesorería de Correos. Memorial literario, ó Biblioteca periódica de ciencias y.artes, núm. n, perteneciente al dia 20 de Abril. Contiene el principio.de una c</t>
  </si>
  <si>
    <t>Iglesias y Cervantes, Agustín</t>
  </si>
  <si>
    <t>Agustín Iglesias y Cervantes</t>
  </si>
  <si>
    <t>de Cardeñosá, en la propia Diócesi, vacante por fallecimiento de D. Juan Fernandez de la Fuente, á D. Agustín Iglesias y Cervantes, Capellán curado del lugar de Nava-Éscurial. El Rey se ha servido nombrar para la Dignidad de Arcediano titular de la Catedral de Teruel, en lugar y por muerte de D. Joaquín de Es</t>
  </si>
  <si>
    <t>Iglesias, Antonio</t>
  </si>
  <si>
    <t>Antonio Iglesias</t>
  </si>
  <si>
    <t>Id. id. Antonio Iglesias.... Hijo de Estéban y de Angela Rodríguez,</t>
  </si>
  <si>
    <t>Iglesias, Vicente</t>
  </si>
  <si>
    <t>Vicente Iglesias</t>
  </si>
  <si>
    <t>a; el de Exento de número al supernumerario D. Francisco Arteaga; el de supernumerario al Brigadier Don Vicente Iglesias; el de Brigadier ai Subrigadier D. Francisco González; el de Subrigadier al Cadete D. Josef Trelles; el de Cadete de número al supernumerario...D. Fernando Ayala;y el de supernume</t>
  </si>
  <si>
    <t>ha promovido el Rey á Alférez al Exento D. Gerónimo de Roxas; á Exento ae número al supernumerario D. Vicente Iglesias; á Supernumerarios al Brigadier Don josef Lasala, y Cadete D. Josef Pacheco; á Brigadier al Subrigadier D. Pedro de Torres; á Subrigadier al Cadete D. Agustín Irumberri; á Cadetes</t>
  </si>
  <si>
    <t>IGmberger</t>
  </si>
  <si>
    <t>do y modo particular de templar los fortes-pianos con mucha facilidad y prontitud, obrita hecha por.Mr. IGmberger, maestro del dicho instrumento, y de la Serenísima Princesa Amalia de Prusia. EN LA IMPRENTA REAL.</t>
  </si>
  <si>
    <t>Ignacia de Eiízondo</t>
  </si>
  <si>
    <t>mandado sacar al pregón, por término de 30 dias, 5 casas correspondientes al patronato fundado por Doña Ignacia de Eiízondo, las quales existen en aquella plaza, y se han tasad* en esta forma: una de 4 cuerpos, en 925,054!-rs. en venta y 28© en renta: otra de 3 cuerpos, en 254,189! rs. en venta y 10© e</t>
  </si>
  <si>
    <t>IgnacioRoca</t>
  </si>
  <si>
    <t>gnado Conceder Subtenencia de bandera en el Batallón de infantería de Castilla, fixo de Campeche, á D. IgnacioRoca , Cadete del mismo Cuerpo. En el Regimiento de infantería de la Corona, fixo del Reyno de Nueva•España, se ha servido el Rey promover á 'Capitán al Teniente de granaderos D. Patri</t>
  </si>
  <si>
    <t>Ignapio Pomeneph, Manuel</t>
  </si>
  <si>
    <t>Manuel Ignapio Pomeneph</t>
  </si>
  <si>
    <t>ientes dp granaderos de los de León, Monterey y Lorca á los de fusileros D.Santos Alvarez Bobadiüa, D, Manuel Ignapio Pomeneph y D. Josef Munuera:. á Teniente 4e fusileros d$i de 'Soria al agrega^ ?n esta clase .D. Santiago Jayme : a Subtenientes de granaderos de ios de Monte: re y y Segó vía á los de fusiler</t>
  </si>
  <si>
    <t>III, Carlos</t>
  </si>
  <si>
    <t>Carlos III</t>
  </si>
  <si>
    <t>Josef Franco y Gregorio, Caballero de la Real y distinguida Orden: Española de Carlos III, y el segundo de los individuos que componen este ilustre Ayuntamiento , y de otros muchos Caballeros de esta, ciudad ,</t>
  </si>
  <si>
    <t>Cotejo puntual</t>
  </si>
  <si>
    <t>Iíutusow, General</t>
  </si>
  <si>
    <t>General Iíutusow</t>
  </si>
  <si>
    <t>a ía noticia de que han llegado áMoravIa las dos primeras cotanas del exército Ruso mandadas por el General Iíutusow. Con arreglo á las órdenes últimas no pasarán por Bohemia, sino que irán en derechura ai Austria, y de aquí á Bavíera, para reforzar el exército del Príncipe Fernando , si es que</t>
  </si>
  <si>
    <t>Ilartsink, Almirante</t>
  </si>
  <si>
    <t>Almirante Ilartsink</t>
  </si>
  <si>
    <t>ntraAlmirante St. Decker por delito de insubordinación. Abandone? sin licencia la esquadra del Vice-Almirante Ilartsink, quando se hallaba en el Cabo, y vino á Holanda para quejarse de un. agravio que pretendía haberle</t>
  </si>
  <si>
    <t>Ildefonso de Acósta</t>
  </si>
  <si>
    <t>do promover á Teniente en el Batallón de Milicias disciplinadas de Metida de Yucatán ai Subteniente D. Ildefonso de Acósta, Sargento primero de granaderos del mismo Cuerpo. También se ha dignado S. M. nombrar para la plaza de Fiscal de lo civil de la Audiencia de Guatemala, vacante por fallecimiento d</t>
  </si>
  <si>
    <t>Ildefonso de Alcalá</t>
  </si>
  <si>
    <t>e S. S. y asistente á su sacro Solio Pontificio. Fue Colegial en el mayor de S. Ildefonso de Alcalá, Canónigo Magistral de las Iglesias Catedrales de Sigüenza y Córdoba, y Dignidad de Prior en esta última, en laque obtuvo varias veces el empleo de Gobernador del Obispado en sede vacante y</t>
  </si>
  <si>
    <t>Ildefonso Pozo</t>
  </si>
  <si>
    <t>s en Aritmética D. Ignacio Fl'orez , D. Genaro Chaple , D. Jósef María Bermudez,D[. Francisco Goel, D. Ildefonso Pozo; y D. Joaquín Verástegui ; en Geometría1 elemental D. Josef Demblans: en la elemental y práctica D. Antonio Salazar, D. Miguel Horcasitas y D. Pedro Giroud; en Cosmografía y Geogr</t>
  </si>
  <si>
    <t>Ildefonso Rifá</t>
  </si>
  <si>
    <t>ón Rivadulla ;álos Subtenientes de los de infantería de Córdoba, Sevilla y América D- Josef Montes, D. Ildefonso Rifá y D. Pedro Bringas; al Subteniente de granaderos del provincial de Avila D. Mariano Zorraquin; al Subteniente del de infantería de Voluntarios de la Corona Don Josef Aguirre, y Tenien</t>
  </si>
  <si>
    <t>Ileim</t>
  </si>
  <si>
    <t>vo de la lluvia de guisantes que hubo el día 8 de Julio en Landshut, en la Silesia, ha publicado el Dr. Ileim, de Berlín, la nota siguiente: „El Consejero privado de Jetschke me ha remitido una porción de dicha semilla. Al verla he creído que eran granitos de simiente; pero habiéndolos pu</t>
  </si>
  <si>
    <t>Imperial Digueri y Coronel, Vicente</t>
  </si>
  <si>
    <t>Vicente Imperial Digueri y Coronel</t>
  </si>
  <si>
    <t>ércitos al Mariscal de Campo D. Josef Caamaño; y promover á Brigadier de infantería de los mismos á D. Vicente Imperial Digueri y Coronel agre-" gado al Real Cuerpo de Ingenieros, . S. M. ha promovido á Teniente de la Brigada, dé carabinero? Reales aí Alférez de la misma D, Paulina Vicente, S. M. se ha servido confe</t>
  </si>
  <si>
    <t>Imré, Jorge</t>
  </si>
  <si>
    <t>Jorge Imré</t>
  </si>
  <si>
    <t>D. Josef de 1# Torre, y eñ Madrid á í&gt;. Agustín Manuel de la Torre, calle de las Carretas, mun. 36. D. Jorge Imré,,Maquinista, tiene su taller establecido de nuevo en la calle de Santa María del Arco, tumi. 2, junto al quartel de Reales Guardias Walonas. En dicha fabrica se hace toda suerte d</t>
  </si>
  <si>
    <t>Ines Bastida</t>
  </si>
  <si>
    <t>Vales Reales de á 300 pesos de la creación de Mayo, núms. 458,321 y 494,549, renovados á nombre de Doña Ines Bastida, sin mas firma ni endoso. La persona que los hubiere hallado, ó en cuyo poder parasen, se servirá entregarlos, ó avisar a D. Santiago de Larramendi, en la red de S. Luis, tienda i</t>
  </si>
  <si>
    <t>Ines de Castro</t>
  </si>
  <si>
    <t>de excitar y fomentar el patriotismo en una Monarquía, á 3 rs. á la rústica.=Verdadera historia de Doña Ines de Castro: un tomo en 8.®, á 3 rs. á la rústica. = Desengaño de malos desengañadores, defensa del Poema de la Religión: papel en 8.°, á real y medio.=Discurso sobre quanto contribuye á la f</t>
  </si>
  <si>
    <t>Infante Francisco de Paula Antonio María</t>
  </si>
  <si>
    <t>la Corte de gala en el Real Sitio de Aranjuez con motivo del cumpleaños del Sr. Infante Don Francisco de Paula Antonio María, hijo tercero del Rey. S. M. se ha servido conferir en el Regimiento de infantería de Extremadura la Sargentía mayor al Capitán de granaderos , graduado de Teniente Coronel, D. Josef Ra</t>
  </si>
  <si>
    <t>Ingles Clinton, General</t>
  </si>
  <si>
    <t>General Ingles Clinton</t>
  </si>
  <si>
    <t>el Príncipe Dolgoroucki» Teniente General que está al servicio de la Rusia.__ También ha llegado el General Ingles Clinton. ' El Emperador de Alemania ha concedido al General Ruso Conde de Kutusow la Gran-Cruz de la Orden de María Teresa, en premio del valor que ha mostrado en el combate de Direnstein</t>
  </si>
  <si>
    <t>Ingles Poller, Coronel</t>
  </si>
  <si>
    <t>Coronel Ingles Poller</t>
  </si>
  <si>
    <t>el mismo que estuvo en París en calidad de Agente diplomático de Paulo 1, el Americano Smith, y el Coronel Ingles Poller están detenidos en el Archipiélago, y peligrosamente enfermos. Mr. Stratton y el Barón de Bielcfeld, apénas han llegado á Bujukdere devuelta de su viage al Asia menor, han enfermado</t>
  </si>
  <si>
    <t>Ingles, Almirante</t>
  </si>
  <si>
    <t>Almirante Ingles</t>
  </si>
  <si>
    <t>da á sufrir la tiranía Brittáníca, y que aunquando la Inglaterra nos reconociese, un decreto de un .Almirante Ingles que declarase en estado de bloqueo las costas de la Francia bastaría para arruinar nuestro comercio; nuestra gloria quiere que hagamos parte del gran pueblo-----Apé-r ñas el Senad</t>
  </si>
  <si>
    <t>, y cayeron en medio de los enemigos----- En vano el 23 y el 24 empleé mis esfuerzos para forzar al Almirante Ingles á un nuevo combate, porque él empleó todos los suyos para evitarlo----- El 26, perdiéndole de vista, me dirigí al Ferrol para reunir baxo de mi pabellón la esquadra de S. M. I. y</t>
  </si>
  <si>
    <t>Ingles, General</t>
  </si>
  <si>
    <t>General Ingles</t>
  </si>
  <si>
    <t>a, se presentó delante de Roseau., en .la'©oifimica,ae«hcu— yo puerto entró con bandera Inglesa. El General Ingles;f*revo8t creyó que era la esquadra del Conmodoro Johnston , que estaba &lt;esperan^o*,.y' envió al Capitán del puerto á cumplimentarle al navio id fdage&amp;tuoso. "El Capitán no conocía</t>
  </si>
  <si>
    <t>la expedición de Sir James Craig, se hallaban todavía en Malta á principios de Noviembre, y que el General Ingles ignoraba su destino posterior. No obstante se ha puesto un embargo sobre los buques Aüstriacos con destino al Mediterráneo con el objeto de emplearlos en transportar las tropas Ru</t>
  </si>
  <si>
    <t>Ingrand, Juan</t>
  </si>
  <si>
    <t>Juan Ingrand</t>
  </si>
  <si>
    <t>e Tejada y compañía: en Córdoba D. Ventura AuJe: en Sevilla D. Domingo y Justo Torrijos; y en Cádiz D. Juan Ingrand. j* Joan. Laurentli Berti Fr. Erem. Aug., libror. 37 de Thcologicis disciplinis accurata, synopsis á Fr. Hieronymo Maria Buzio, ejusd. Ordinis, concinnata: secunda editio hispana:</t>
  </si>
  <si>
    <t>Iniesta, Alonso</t>
  </si>
  <si>
    <t>Alonso Iniesta</t>
  </si>
  <si>
    <t>D. Ramón Aoiz de Zuza: en el de Algarve Compañía al Teniente del de Montesa, graduado de Capitán’, D. Alonso Iniesta: empleos de Alférez en los del Infante y España á ios Portaestandartes D. Josef Tasier y D. Miguel María Campero; y empleos de Portaestandarte en los del Rey y Reyna á los Cadetes</t>
  </si>
  <si>
    <t>Iñigo Órtés de Velasco</t>
  </si>
  <si>
    <t>n, D. Juan Cevallos, y el Cadete de Reales Guardias Walonas D* Antonio Gilman: el Seminarista mayor D. Iñigo Órtés de Velasco, los Gefes de sala D. Josef Ortés de Velasco, D. Francisco Barraycua, D. Alonso Alvarado y D. Sebastian Gorvea; los Gefes de trozo D. Manuel Fernandez, D. Josef Fernandez y D. Jos</t>
  </si>
  <si>
    <t>Iñigo Ortes de Velasco</t>
  </si>
  <si>
    <t>rain* D« Ignacio -Empatan, D. Juan Cevallos,.y X). Fernando .Adán de Yarza ; el ,Seminarista nuyo.r Don Iñigo Ortes de Velasco ; los Gefcs. de sala. D. Jo.sef Ortes de Velasco, Don Francisco Barraycua, D. Alonso .AIvarado, y D. Sebastian. Gorvea? los Gefes de trozo D. Pedro Tavira, D. Ramón de Zuloaga, D¿</t>
  </si>
  <si>
    <t>Inocencio Vejarano, Pedro</t>
  </si>
  <si>
    <t>Pedro Inocencio Vejarano</t>
  </si>
  <si>
    <t>los Propios con facultad del Consejo: 100 anuales que ofrece el limo. Sr. Obispo de dicha Diócesis D. Pedro Inocencio Vejarano.;, y ademas casa de balde. El que quisiere pretender acuda en el término de 40 días, por medio de memorial, ante los Alcaldes y Cura Párroco, patronos. Se previene que ha de ser M</t>
  </si>
  <si>
    <t>ra, de una elevación proporcionada y con alguna magnificencia. El dia 14 del corriente el limo. Sr. D. Pedro Inocencio Vejarano, Obispo y Señor de Sigiienza y de aquella Diócesi, tuvo el honor y la mas completa satisfacción de bendecir y consagrar el nuevo campo santo, precediendo una plática sobre tan úti</t>
  </si>
  <si>
    <t>Insaurriega-Chavarria, Andrés</t>
  </si>
  <si>
    <t>Andrés Insaurriega-Chavarria</t>
  </si>
  <si>
    <t>nez, natural de Palencia, Obisp. del mis­ Id. ido Andrés Insaurriega- mo nombre: mur. en 12 de JuL de 1801. 132 4. Chavarria........... f^Hijode Ramón y de Bruna Lozano, na­ tural de la ciudad de Burgos: murió en</t>
  </si>
  <si>
    <t>Ipsilaatí, Príncipe</t>
  </si>
  <si>
    <t>Príncipe Ipsilaatí</t>
  </si>
  <si>
    <t>dades epidémicas. , ; Hace poco tiempo que Mr..de Carro, Médico establec.idc) en Viena,. propuso al Príncipe Ipsilaatí, Hospodar de Valaquia,la ¡nbculacion deU,</t>
  </si>
  <si>
    <t>Ipsilanti, Príncipe</t>
  </si>
  <si>
    <t>Príncipe Ipsilanti</t>
  </si>
  <si>
    <t>e la Puerta está muy inclinada á acceder i dicha petición; y se confirma con la ida de un correo al Príncipe Ipsilanti,Hospodar de Valaquia, con orden de que forme un estado exacto de las rentas y gastos de la provincia de Servia, y lo remita quanto ántes á la Puerta, informando quanto se le ofrez</t>
  </si>
  <si>
    <t>e ia nación Húngara tomaría sobre sí una porción de las cédulas de banco que hay en circulación. El Príncipe Ipsilanti, Hospodar de Valaquia, ha disminuido de tal forma las contribuciones de sus súbditos, que el labrador que pagaba doce pesos fuertes al año, no pagará en adelante mas que cinco. El</t>
  </si>
  <si>
    <t>llegado á Moldavia ha ido de orden de su Corte á Bucharest, y ha tenido varias conferencias con el Príncipe Ipsilanti. Dicen que se le h^ prevenido en las instrucciones de su Corte que no haga en Jassi cosa alguna sin que preceda la anuencia de aquel Príncipe. Está muy descontenta la nobleza Vala</t>
  </si>
  <si>
    <t>Iraciburu, Pedro</t>
  </si>
  <si>
    <t>Pedro Iraciburu</t>
  </si>
  <si>
    <t>o, Don Simón Geldres, D. Manuel Calvo, D. Antonio Arguero, D. Mariano Bustamante, D» Manuel García, D. Pedro Iraciburu, D. Juan Valenzuela, Don Silvestre de Arpe y D. Juan de Dios Fonce; empleo de Alférez de carabi</t>
  </si>
  <si>
    <t>Ireland</t>
  </si>
  <si>
    <t>los medios de preservar la salud y la seguridad de un estado de los peligros á que están expuestas. Mr. Ireland, que algunos años hace pretendió haber descubierto algunos manuscritos de Shakespeare, y engañó á tantos inteligentes publicando los documentos que él mismo había forjado, ha impr</t>
  </si>
  <si>
    <t>Irumberri, Agustín</t>
  </si>
  <si>
    <t>Agustín Irumberri</t>
  </si>
  <si>
    <t>, y Cadete D. Josef Pacheco; á Brigadier al Subrigadier D. Pedro de Torres; á Subrigadier al Cadete D. Agustín Irumberri; á Cadetes de número á los supernumerarios D. Juan Josef y D. Manuel Ripperdá, y á Supernumerario al Guardia D. Juan Montes. El Rey se ha servido nombrar para la Vara de Alcaide m</t>
  </si>
  <si>
    <t>Isaac Díaz de Goveo, Gregorio</t>
  </si>
  <si>
    <t>Gregorio Isaac Díaz de Goveo</t>
  </si>
  <si>
    <t>lle de las Carretas, y en el puesto del Diario, plazuela de Santo Domingo. Mis Amores, ó Poesías de D. Gregorio Isaac Díaz de Goveo, por A. D. L. M. Letrillas, romances, odas, églogas &amp;c. son el contenido de este libro, que es verdaderamente la vida histórica de este joven apasionado y sensible. Se hallará en</t>
  </si>
  <si>
    <t>Isabel Colbran</t>
  </si>
  <si>
    <t>medido á Jos cosecheros de vino de Granada: varias noticias pertenecientes á la profesora de música Doña Isabel Colbran, pensionada por la Reyna nuestra Señora en su viage á París, y en su regreso á esta Corte: análisis de los cuentqs jocosos de D. Pablo Jerica y Carta: del viage á Seienópqlis: una</t>
  </si>
  <si>
    <t>Isabel de Borbon</t>
  </si>
  <si>
    <t>. Meditaciones cristianas para un retiro espiritual f su autora su Alteza Real la Serenísima Señora Doña Isabel de Borbon, Infanta de España, Princesa de Parma, y Archiduquesa de Austria, primera esposa de Josef 11, Emperador de Alemania: sexta impresión en castellano, á 4 rs. en pasta.=Meditaciones</t>
  </si>
  <si>
    <t>Isidro</t>
  </si>
  <si>
    <t>Islas de Canarias á D. Josef Diaz Bermudo; y para el Corregimiento de Letras de la villa de Utiel á D. Isidro de. Alcalá. En América. S. M. se ha dignado conceder en el Regimiento de Milicias urbanas de dragones de Azangaro, en el Reyno del Perú, el empleo de Coronel á D. Pedro Benavente; la</t>
  </si>
  <si>
    <t>Isidro Diego</t>
  </si>
  <si>
    <t>udante al Teniente D. Justo Racax , y á Subtenientes á los Cadetes D. Rafael, de Ja Peña Zorrilla y D. Isidro Diego: en el primero de Voluntarios de Cataluña á Teniente al Subteniente D. Antonio Ferrer; y á Subteniente de bandera en el de Voluntarios de Campcmaycr al Cadete D. Manuel Sara vía d</t>
  </si>
  <si>
    <t>Isidro Franco</t>
  </si>
  <si>
    <t>da uno á D. Simón Sánchez, D. Eustasio López y D. Miguel Perez; y los tres segundos de á 35 pesos á D. Isidro Franco,, D. Felipe Alvaro y D. Pedro González; quedando con la mas lisonjera satisfacción de haber advertido al propio tiempo el despejo y notables adelantamientos de algunos jóvenes, y</t>
  </si>
  <si>
    <t>Isidro García Plaza</t>
  </si>
  <si>
    <t>Sres. viuda de Escolar y Noriega 6 hijo. En Granada......... D. Francisco Unzaga. En Gruadalaxara. D. Isidro García Plaza. En Jaén................ . D. Pedro y D. Juan Esponera. En León..................D. Pedro Gil de Tejada. En Málaga.......... . D. Juan Ximeno. En Mahon..............Doña Catalina</t>
  </si>
  <si>
    <t>es. viuda de EsCoIar y Noriegá é hijo. ' Eli Cf'ranada........ D. Francisco Unzaga. En-Quadalaxara. D. Isidro García Plaza. En Jaén............... D. Pedro y D. Juan Esponera. En León......... ...... D. Pedro Gil de Tejada. En Malaga.......... D. Juan Ximeno. En Mahon............ Doña Caialina Germán</t>
  </si>
  <si>
    <t>Isidro Josef del Rio</t>
  </si>
  <si>
    <t>D. Pedro Juan de Batista: para la Tesorería á D. Juan Josef Martínez; y para la Canongía de este á D. Isidro Josef del Rio, Cura del Sagrario de la misma Iglesia. También se ha dignado S. M. nombrar para una Ración vacante en la Metropolitana de Santiago de Cuba por ascenso de D. Josef Nicolás Veranes</t>
  </si>
  <si>
    <t>Isidro Merino</t>
  </si>
  <si>
    <t>tpraí de .Valencia,.,de 22 añps. Grabado,de\pi^aílad vPremio único.- Medalla de oi;o de una onza, á D. Isidro Merino,, ñatüral ,-dé'Adrados ,• de* 24 -años. Premio .extraordinario á D. Félix Sagau y Dai-inau, natural de Barcelona, de 19 años. Perspectiva. Premio único. Medalladé pro de una onza</t>
  </si>
  <si>
    <t>Isidro Miranda</t>
  </si>
  <si>
    <t>ro, D. Pedro Vicira Escovedo, D. Melchor de Salas Vaidés, D. Narciso Roseiió, Don Pablo Salgüeyro., D. Isidro Miranda, D. Mariano Sánchez, D. Angel Santa María Perez, D. Santiago Montesinos, D. Nicolás Perales y D. Esteban Perales ; y de Portaguiones á D. Juan Cáceres, D. Mariano Pinedo, Don Greg</t>
  </si>
  <si>
    <t>Isidro Momblanch</t>
  </si>
  <si>
    <t>ación de S. Juan Bautista, unido á otro de la de S. Martin, vacante por muerte de D. Juan Goncer, á D. Isidro Momblanch; y para el Beneficio titulado de Santa Catalina , vacante ea la Catedral de Gerona por fallecimiento de D. Jcsef Quera, á D. Salvador Pou. En la Compañía Española de Reales Guardi</t>
  </si>
  <si>
    <t>Isidro Puente</t>
  </si>
  <si>
    <t>arza, D. Ruperto Mier y D. Bernardino Pini; y á Subtenientes de bandera á D. Josef Joaquín Ramonet, D. Isidro Puente, D. Diego Abarca y D. Josef Anastasio Borbon, vecinos de la jurisdicción del mismo Regimiento.</t>
  </si>
  <si>
    <t>Isidro Quevedo</t>
  </si>
  <si>
    <t>dei Campo, D. Mariano Mallea, Don Josef Marcelino de Molina y D. Manuel Melchor Vargas; Ayudantía á D. Isidro Quevedo; Tenencia de granaderos á D. Nicolás Romero y Fuster, y de fusileros á D. Luis de Heredia, D. Gregorio Hernández Prieto, D. Manuel Bermejo, D. Francisco Bravo, D. Hilario Chavez,</t>
  </si>
  <si>
    <t>Isidro Rodríguez Armenteros</t>
  </si>
  <si>
    <t>sta del lugar, de Vezdeinarbah , Diócesi de Zamora, vacante por muerte de Don Francisco Alfageme, á D. Isidro Rodríguez Armenteros: para el Beneficio simple de la Parroquia de Gallegos, en el Obispado de Oviedo, vacante por renuncia de D. Miguel Boltri, á D. Nicolás Trelles, Capellán del Real hospital de aque</t>
  </si>
  <si>
    <t>Isidro Sicilia</t>
  </si>
  <si>
    <t>cedianato de la Metropolitana de Guatemala, vacante por fallecimiento de D. Juan de Dios Juarros, á D. Isidro Sicilia: para la Chantría á D. Antonio Carbonel: para la Maestrescolía á D. Antonio García:para la Tesorería á D. Blas Josef Clá; y para la Canongía que este dexa á D. Bernardo Martinez,</t>
  </si>
  <si>
    <t>Italianos</t>
  </si>
  <si>
    <t>de presidir: intérprete de todos los sentimientos que animan el corazón de los ciudadanos Italianos, presenta á V. M. en este voto el homenage mas sincero, y publicará con regocijo que, aceptándolo, ha consolidado V. M. la fuerza de los vínculos que unen la c</t>
  </si>
  <si>
    <t>Italinski</t>
  </si>
  <si>
    <t>has tropas lleguen á territorio Turco , no duda que encontrarán todos los auxilios que necesiten.__ Mr. Italinski ha participado después «que ya es muy crecido el número de tropas Rusas que hay en las islas Jónicas, de cuyas resultas no tendrán donde alojarse las que ahora van caminando, yen</t>
  </si>
  <si>
    <t>Italinski, Conde</t>
  </si>
  <si>
    <t>Conde Italinski</t>
  </si>
  <si>
    <t>so banquete, y salvas de artillería de todas las embarcaciones Francesas que hay en este puerto. Ei Conde Italinski , Embajador de Rusia, tuvo en estos dias pasados una larga conferencia con el Reiss-Eifendi, relativa al estado en que se hallan las islas Jónicas , y á hs tropas Rusas que hay al</t>
  </si>
  <si>
    <t>para todps^ los subditos de su Imperio.. El asunto se Eá ventilado.¡en repetidas, conferencias del Conde Italinski, Embaxador de Rusia-, con el Reis-Eífendi. La Puerta acababa de dar otra prueba,de su gran deseo de complacer á.iá Rusia, concediendo permiso, y consintiendo-no. soler que los súb</t>
  </si>
  <si>
    <t>ITarrowby, Lord</t>
  </si>
  <si>
    <t>Lord ITarrowby</t>
  </si>
  <si>
    <t>e todas las naciones de Europa.” Ayer el Rey y la Real familia se pusiéron en camino para Weymonth. Lord ITarrowby ha sido nombrado Canciller del Ducado de Lancáster en lugar del Duque de Buckinghamshire, que ha dado su dimisión. El Conde de Cambden, después de hacer dexacion de su empleo de S</t>
  </si>
  <si>
    <t>IV DS BORRON, CARLOS</t>
  </si>
  <si>
    <t>CARLOS IV DS BORRON</t>
  </si>
  <si>
    <t>ra, se lee en letras mayúsculas romanas, sacadas á cincel: para sepultura DE LOS CADAVERES REVNANDO D. CARLOS IV DS BORRON. l8of* —-Füé bendecido el domingo 9 del corriente por D. Alfonso Ruiz Otalo</t>
  </si>
  <si>
    <t>Ivrelich, General</t>
  </si>
  <si>
    <t>General Ivrelich</t>
  </si>
  <si>
    <t>. Dase por cierto que los Montenegrinos han prestado juramento de fidelidad á la Rusia en manos del General Ivrelich,su paisano,y empleado al servicio del Emperador Alexandro. Como los Montenegrinos habían reconocido siempre, ademas de la autoridad del Gran Señor, la supremacía de la República d</t>
  </si>
  <si>
    <t>Izquierdo Rodríguez de Lara, Miguel</t>
  </si>
  <si>
    <t>Miguel Izquierdo Rodríguez de Lara</t>
  </si>
  <si>
    <t>vacante por promoción de D. Diego Martin Romo á una Capellanía de Reyes Nuevos de aquella ciudad, á D. Miguel Izquierdo Rodríguez de Lara , con carga de residencia personal; y para otro igual Beneficio de</t>
  </si>
  <si>
    <t>Izquierdo, Antonio</t>
  </si>
  <si>
    <t>Antonio Izquierdo</t>
  </si>
  <si>
    <t>Carbón; y á Subteniente de bandera en el segundo de Voluntarios del mismo Reynó al Sargento primero D. Antonio Izquierdo. I I Rey se ha servido conceder Tenencias en los Regimientos de infantería de Murcia y Málaga á los Subtenientes D. Diego Ortiz de Saracho y D 'Vicente Moreno; y Subtenencias de b</t>
  </si>
  <si>
    <t>Izquierdo, Domingo</t>
  </si>
  <si>
    <t>Domingo Izquierdo</t>
  </si>
  <si>
    <t>e medios podrán adaptarse para precaverlas, que sean fáciles y de pronta execucion.__ £1 Kxcmo. Sr. D. Domingo Izquierdo, Capitán general de este Reyno y Socio honorario, deseando estimular á la cria de ganados en las pequeñas propiedades, ofrece un premio de 320 rs. al labrador áe la particular con</t>
  </si>
  <si>
    <t>Izquierdo, Francisco</t>
  </si>
  <si>
    <t>Francisco Izquierdo</t>
  </si>
  <si>
    <t>la misma: para el Beneficio simple servidero de la villa de Arjona, Diócesis de Jaén, por muerte de D. Francisco Izquierdo, y no haber acudido á recoger la Real presentacion'D. Josef de la Vega y Bolaño, áquien había nombrado en decreto de 21 de Octubre del año próximo pasado, á D. Francisco Alfonso N</t>
  </si>
  <si>
    <t>Izquierdo, Juan Antonio</t>
  </si>
  <si>
    <t>Juan Antonio Izquierdo</t>
  </si>
  <si>
    <t>eñores del Real y Supremo Consejo de Castilla, y en virtud de providencias del Sr. Alcalde de Corte D. Juan Antonio Izquierdo, se ha mandado sacar á pública subasta, por término de 30 dias, una casa sita en esta Corte en la plazuela del Angel, núm. 25, msnz. 234, tasada en 244,719 rs. Quien quisiere hace</t>
  </si>
  <si>
    <t>Izquierdo, Pedro</t>
  </si>
  <si>
    <t>Pedro Izquierdo</t>
  </si>
  <si>
    <t>nta María de la villa de Fal es, Diócesi de Pamplona, vacante por renuncia de D. Baltasar Zapata, á D. Pedro Izquierdo; y para el Beneficio simple de Iniesta en la Diócesi de Cuenca, vacante por muerte de D. Tomas O-Rían, á D. Manuel Corelía y Orduñá. Asimismo ha nombrado el Rey para una Canongía</t>
  </si>
  <si>
    <t>Jacchella, Gerónimo</t>
  </si>
  <si>
    <t>Gerónimo Jacchella</t>
  </si>
  <si>
    <t>ruña-los Sres. López Sagaztizabal é hijo: en Bilbao; Di Juán: Bautista de Larraondo; ,en 'Barcelona D. Gerónimo Jacchella, cálle de la Palma de S. Justo* núm. 4 : enValencia D. PedroFaurie:en Murcia los.Sres. Valeñce. y sobrinos: en Cartagena D. Hchrique Fauson y . compa-, nía: en Alicante D. L.; Jro</t>
  </si>
  <si>
    <t>Jacinto Ramón</t>
  </si>
  <si>
    <t>an considerado por indispensables» Esta máquina está aplicada á hilar algodón en la casa fabrica de D. Jacinto Ramón, cuyo patriotismo excede á todo elogio, por lo mucho que le debe la industria nacional; pues nunca ha perdonado gastos ni diligencias para proporcionar á la patria los mas útiles</t>
  </si>
  <si>
    <t>Jackson</t>
  </si>
  <si>
    <t>Luego que Mr. Wagstaíf llegó á Schwerin dio cuenta de lo ocurrido á los Magistrados , y escribió á Mr. Jackson, Ministro Ingles en Berlín, informándole de todo. Mientras los robaron hablaron muy poco los salteadores ; pero observaron que se explicaban en francés.El domingo regresó Mr. Wags</t>
  </si>
  <si>
    <t>y entrada en la ciudad. Ayer tuvo una conferencia muy- larga el Chambelán Ruso No vaos i ltzof? con Mr. Jackson, y, concluida que fuese puso en camino para restituí»-, se á Petersburgo. GRAN BRETAÑA. Londres 24 de Jtdio. La acción que ha habido entre nuestra esquadra y cruceros., y- una dív</t>
  </si>
  <si>
    <t>á la legión Hannoveriana : compónese de amos 10© hombres de todas armas, y la manda.el General Don. Mr. Jackson, hermano de nuestro JEmbaxador Berlín, ha llegado aquí con pliegos. Mañana partirá^para Berlín Lord Plarrowby, nombrado Embaxador extraordinario cerca d^ aquella C.orte:. le acomp</t>
  </si>
  <si>
    <t>Jacobo Alemán</t>
  </si>
  <si>
    <t>D. Josef de la Serna id.: Don Diego del Castillo id.: D. Gerónimo Obregon id. Teniente de Brulote. D. Jacobo Alemán, herido. Contramaestre de Esquadra. D. Miguel García, muerto. Guardias Marinas. DvGerónimo Salas , muerto: D. Josef María Pardo id.: D. Josef Maymó, herido : D. Manuel Briones id.</t>
  </si>
  <si>
    <t>Jacobo Bertamán</t>
  </si>
  <si>
    <t>Jacobo Bertamán... Hijo del mismo, natural de Lucan en BobeO , ,</t>
  </si>
  <si>
    <t>Jacobo Bueller</t>
  </si>
  <si>
    <t>l mismo: en el de Traxier á Capitán segundo al Teniente D. Benito Weyman; á Teniente al Subteniente D. Jacobo Bueller; á Ayudante al Teniente D. Francisco Peyer: en el ele Reding á Capitán segundo al Teniente de granaderos D. Antonio Mabillard. En el Real Cuerpo de Artillería se ha servid© S. M*</t>
  </si>
  <si>
    <t>Jacobo Escario y Carrasco</t>
  </si>
  <si>
    <t>ión y adelantamientos, á los caballeros Cadetes de la Compañía establecida en el Alcázar de Segovia Don Jacobo Escario y Carrasco, D. Tomas Orive y Viana, D. Luis Tarber— né y Pavía, D. Josef Herrera Dávila y Albear, D. Francisco de Paula Uclés de Herrera y Ramírez, D. Diego Entrena y Mosquera, D. Manuel Cav</t>
  </si>
  <si>
    <t>Jacobo Ibáñez</t>
  </si>
  <si>
    <t>uan Antonio Franjo y Ruiseco: para otra Canongía de la misma Catedral, vacante por fallecimiento de D. Jacobo Ibañez, á D. Manuel Corao: para el Oficio regular de Enfermero mayor del Real Monasterio de Sta. María de Ripoll, vacante por promoción de D. Fr. Fausto de Prat y de Moret á la Dignidad</t>
  </si>
  <si>
    <t>apilla: para el Beneficio servidero del lugar de Aspariegos, en la de Zamora, vacante por muerte de D. Jacobo Ibañez, á D. Vicente García del Riego, con la obligación que tiene anexa de ayudar al Párroco en lo que no sea la administración de Sacramentos; y para el Beneficio de Candeleda, en la A</t>
  </si>
  <si>
    <t>Jacobó Kayser</t>
  </si>
  <si>
    <t>Subtenencia de fusileros al Cadete D. Nicolás Riche,: en ei.de Traxler grado de Capitán al Ayudante D. Jacobó Kayser; Tenencias á los Subtenientes D. Jorge; Traxler » D. Francisco Scheer y D.Juan Good, el primero de granaderos ; y Subtenencia al Cadete D. Juan Bautista Ebneter: en el de Betschar</t>
  </si>
  <si>
    <t>Jacobo Kayser</t>
  </si>
  <si>
    <t>ranaderos D. Josef Fariola: á Capitanes segundos en el de Traxler al Ayudante, graduado de Capitán, D. Jacobo Kayser, y al Teniente D.Juan Beroldinger: y á Subtenientes de granaderos á los de fusileros D. Tobías Buman y D. Federico Behr: á Teniente en el de Courten al Subteniente de granaderos D</t>
  </si>
  <si>
    <t>Jacobo Lobera</t>
  </si>
  <si>
    <t>Id. id. Jacobo Lobera..... Hijo de Francisco y de Juana Bermu-</t>
  </si>
  <si>
    <t>Jacobo Manuel Manrique</t>
  </si>
  <si>
    <t>9 rs. Quien quisiera hacer postura ¿ella, acuda ai juzgado de dicho Señar y esci^Kpiía numeraria de D. Jacobo Manuel Manrique, dentro del citado término. • -Quien quisiere hacer postura á u-nia casa, sita en el lugar de Vallécas , calle de los Pajeros, comprehensiva de 6804 pies, superficiales de fondo,</t>
  </si>
  <si>
    <t>Sr. Teniente de Corregidor de esta villa D. Manuel Vicente de Torres, ante el Escribano del número D. Jacobo Manuel Manrique, ha señalado el dia 25 del corriente, á la hora de audiencia, para el remate de dos casas: la una intitulada del Platero, á los pies de la Parroquial de Santa María, núm. 1, manz.</t>
  </si>
  <si>
    <t>Jacobo Rrugger</t>
  </si>
  <si>
    <t>ente de bandera á D. Cárlos Josef Mulier : en el de Reding á Teniente de granaderos al de fusileros D. Jacobo Rrugger; y esta resulta al Subteniente de granaderos D. Francisco Schnuriger; y en el de Betschart á Teniente al Subteniente de granaderos D. Josef Hediger. En atención á los dilatados y</t>
  </si>
  <si>
    <t>Jacobo Vázquez García</t>
  </si>
  <si>
    <t>erez de los Caballeros á D. Francisco Delgado y Ayala: para la de la villa del Corral de Almaguer á D. Jacobo Vázquez García; y para la de la villa de los Santos á D. Rafael Abrtu y del Moral, todas tres en el territorio de la Orden de Santiago, y de primera clase ó entrada.. En América. En el Regimient</t>
  </si>
  <si>
    <t>Jácome Capistrano de Moya</t>
  </si>
  <si>
    <t>tigua Segobríga, dirigida al limo. Sr. Don Antonio de Palafox y Cróy, Obispo que fué de Cuenca, por D. Jácome Capistrano de Moya, Cura Párroco de la villa de. la Fuente de Pedro Naharro, del mismo Obispado: un tomo en quarto. Se hallará en la librería de Godos, gradas de S. Felipe , á 1 o rs. en rústica. Nu</t>
  </si>
  <si>
    <t>Jado Cagigal, Felipe</t>
  </si>
  <si>
    <t>Felipe Jado Cagigal</t>
  </si>
  <si>
    <t>lcalá Galiario, id., muerto en el Bahama: D. Francisco Uriarte y Borja, id., herido en el Trinidad: D. Felipe Jado Cagigal, id., herido en el S., Agustín: D. Cayetano Valaés, id., herido en el Neptuno: D. Josef de Vargas Varaez, id., herido en el S. Ildefonso. Capitanes de Navio. D. Francisco de Alced</t>
  </si>
  <si>
    <t>Jaén, Juan</t>
  </si>
  <si>
    <t>Juan Jaén</t>
  </si>
  <si>
    <t>D. Juan Bautista Urreta, D. Francisco Chavez, D. Manuel Almonte, D. Genaro Torres, D.Mariano Ponce, D. Juan Jaén, D. Fernando Rosel, D. Vicente Vivanco y D. Anselmo de Arce; j de Portaestandartes á D. Eusebio Goizueta, D. Manuel Muñiz, D. Matías Salazar y D. Vicente Rodriguez. En el Regimien</t>
  </si>
  <si>
    <t>Jalón, Antonio María</t>
  </si>
  <si>
    <t>Antonio María Jalón</t>
  </si>
  <si>
    <t>encias en los de la Corona y Vóluntarios de la Corona á los Subtenientes de granaderos Josef Laso y D. Antonio María Jalón. El'Rey se ha servido promover á Sargento mayor dei Regimiento de infantería Suizo de Ruttiman al Teniente Górónel D. Josef Chaqué, Capitán de granaderos del mismo; y á Teniente a</t>
  </si>
  <si>
    <t>James Cra</t>
  </si>
  <si>
    <t>aballería ligera,de 5 Regimientos de infantería Inglesa, y 3 de infantería Irlandesa. El General es Sir James Cra?g ,y tiene á sus órdenes el General Stewart, dos Generales de brigada, el Ayudante general Campbell,</t>
  </si>
  <si>
    <t>James Craig</t>
  </si>
  <si>
    <t>allería, artillería y de infantería con Sir David Baud, y se cree que esten destinados á reforzar á Sir James Craig. El Regimiento núm. 20 de dragones, y otros cuerpos que se embarcan en Portsmouth, tienen ya orden de ir al Mediterráneo. Dos Oficiales generales conducirán estas tropas, cuyo núm</t>
  </si>
  <si>
    <t>á Gibraltar en 22 dias de travesía , anuncia que los navios y tropas que componen la expedición de Sir James Craig, se hallaban todavía en Malta á principios de Noviembre, y que el General Ingles ignoraba su destino posterior. No obstante se ha puesto un embargo sobre los buques Aüstriacos con</t>
  </si>
  <si>
    <t>James CraigExtracte del Sun</t>
  </si>
  <si>
    <t>, cuyo número asciende ya á mas de io0 hombres. Serán considerables estas fuerzas reunidas á las de Sir James CraigExtracte del Sun. Escriben de Viena, con fecha de 7 del corriente, que continúan con grande actividad los preparativos hostiles. Dícese que el General Strauch ha ido á las fronteras para conducir</t>
  </si>
  <si>
    <t>Janer y Bertrán, Félix</t>
  </si>
  <si>
    <t>Félix Janer y Bertrán</t>
  </si>
  <si>
    <t>so los Bachilleres en Medicina D. Ignacio Porta y Farguell, natural de la villa de Castelltersol, y D. Félix Janer y Bertrán, natural de Villafranca del Panadés, la Academia por haberles consideradoiguales en mérito, acordó premiar á cada uno de los dos con la medalla de honor y una obra selecta de Medi</t>
  </si>
  <si>
    <t>Janssens</t>
  </si>
  <si>
    <t>rado, desde la edad de 16 años hasta 45 , han tomado las armas. El Gobernador y Comandante en gefe, Mr. Janssens, se ha acampado con 4© hombres en una colma, que domina la rada grande, á una legua de la ciudad. Todas sus fuerzas, contando con algunos Hotentotes y Malayos que sirven en el exé</t>
  </si>
  <si>
    <t>Japbert</t>
  </si>
  <si>
    <t>uellas relaciones consagradas por tantos siglos. &lt; 'y • ** Al cabo de algunos dias se ha remitido á Mr. Japbert la contestación, dictada por el Gr&amp;n Señor, y ,• aunque5 nd sabeiiios; á punto;ñxo su -conten nido-, tenemos por cierto’que1 va en los términos más honoríficos para S.,M. ‘el Emperad</t>
  </si>
  <si>
    <t>Jaralt, Cayetano</t>
  </si>
  <si>
    <t>Cayetano Jaralt</t>
  </si>
  <si>
    <t>de la mañana los lunes, juéves y sábados no festivos, y concurrirá ¿ ella el maquinista de la Junta D. Cayetano Jaralt, Académico de la Real de Ciencias naturales y artes de esta ciudad, para las explicaciones correspondientes en orden á estas máquinas y sus efectos, no solo ?á los artistas, sino</t>
  </si>
  <si>
    <t>Jares Maldonado, Francisco</t>
  </si>
  <si>
    <t>Francisco Jares Maldonado</t>
  </si>
  <si>
    <t>el Sr. D. Torquato An- tonio Collado, Teniente Corregidor de esta villa, y escribanía del número de Don Francisco Jares Maldonado. Variedades de ciencias, literatura y artes , núm. 6.®, qué corrésponde al tomo i.® del año 2.°, y 5.0 de toda la obra, y contiene los artículos siguientes: análisis química de un</t>
  </si>
  <si>
    <t>Torres, del Consejo de S. M., Teniente Corregidor de esta villa, y por la escribanía del número de D. Francisco Jares Maldonado, se.vende a pública subasta, y á voluntad de su dueño, una casa sita en la calle de Panaderos de .ésta Corte , entrando ppr la de la Luna á mano izquierda, híim. 14, manz. 481, qu</t>
  </si>
  <si>
    <t>Jaubert</t>
  </si>
  <si>
    <t>ntinopla, y en seguida de la Turquía. A los dos dias después de haber pasado esta nota, fue llamado Mr. Jaubert al palacio de recreo de Kiatana, ervdonde,á la sár zon se hallaba el Gran Señor paseándose en los jardines; adelantóse un sugeto de los de la comitiva, recibió la carta de las man</t>
  </si>
  <si>
    <t>como Rey de Italia, á fin de que lo comunique de oficio al Gran Señor. En carta que entregó á S. A. Mr. Jaubert en el jardín del palacio de Kiatana, contenía las expresiones mas afectuosas de amistad sincera del Emperador de los Franceses para el Sultán Selim, y le trata á la memoria el inter</t>
  </si>
  <si>
    <t>Jauhela, Gerónimo</t>
  </si>
  <si>
    <t>Gerónimo Jauhela</t>
  </si>
  <si>
    <t>Coruña los Sres. López Sagaztizabal é hijo: en Bilbao D. Juan Bautista de Larraondo*. en Barcelona D. Gerónimo Jauhela: en Valencia D. Pedro Faurie: en Murcia los Sres. Valence y sobrinos: en Cartagena D. Henrique Fauson y compañía: en Alicante D. L. Jrouchaud: en Granada D. Juan Manuel García de</t>
  </si>
  <si>
    <t>Jayme Abella</t>
  </si>
  <si>
    <t>nt; y para otro enría Parroquia de Alcoberj* ;Diópe$i$ 'de -Tarragona, vacante por fallecimiento de D. Jayme Abella, á.D. Josef Anr tonio González. ^ . - S. M. se ha servido conferir la Capitanía General del exército,, Reyno y costa de Granada, pon la Presidencia 4e aquella Real Chancilla</t>
  </si>
  <si>
    <t>Jayme Baquer</t>
  </si>
  <si>
    <t>dem , , , 1 66. 12. Jayme Baquer............Josef ..... Mariana Gilí.. . . Barcelona,,, Idem » , , y 66; 12» Juan Gras..................Isidro........... Teresa Monral. . Mon</t>
  </si>
  <si>
    <t>Jayme Branxar</t>
  </si>
  <si>
    <t>gial de S. Juan de las Abadesas, Diócesi de Vique, vacante por fallecimiento de D. Pedro Creuhet, á D. Jayme Branxar: para una Canongía de ia Colegiata dé Sta* Ana de la ciudad de Barcelona, vacante por promoción de D. Josef Espinos á otra de aquella Catedral, y por no haberla admitido D. Josef</t>
  </si>
  <si>
    <t>Jayme Cebrian</t>
  </si>
  <si>
    <t>la Fe, y esta inscripción tomada de los Proverbios: Doctrina sua noscetur vir. Murcia 3 de Agosto. Don Jayme Cebrian, Cirujano de la Real Inclusa y niños huérfanos; una de las fundaciones del Emo. Sr. Cardenal Beiluga , del Real Patronato de S. M. (que Dios guarde), ha envacunado en el mes de Ju</t>
  </si>
  <si>
    <t>Jayme Cotrina</t>
  </si>
  <si>
    <t>Catalina, de la Parroquial de la villa de Berga, Diócesis de Solsona, vacante por fallecimiento de D. Jayme Cotrina, á D. Ignacio Cardona. Jrin de los Exámenes generales de la Real Sociedad Aragonesa. Escuela de Matemáticas. Habiéndose dado fin á la enseñanza de todas las partes de-Matemática p</t>
  </si>
  <si>
    <t>Jayme Esparaver</t>
  </si>
  <si>
    <t>u Sumiller de Cortina: para una Ración de la Parroquial de la villa de Tolva, Diócesis de Lérida, á D. Jayme Esparaver: para una Capellanía de Reyes nuevos de dicha Catedral de^Toledo, vacante por fallecimiento de D. Ignacio Mellizo y Alvarez, a D. Pascual Díaz Ximenez, Teniente do Cura de la Igle</t>
  </si>
  <si>
    <t>Jayme Gursa</t>
  </si>
  <si>
    <t>esta clase de individuos en cumplir con exactitud las órdenes superiores____El inteligente profesor D. Jayme Gursa, á cuyo solo cargo ha estado la inoculación en la capital, y la enseñanza de los sugetósqué en el-día la ^practican fuera de ella, publicará ooortunamente una relación histórica d</t>
  </si>
  <si>
    <t>Jayme Lafont</t>
  </si>
  <si>
    <t>e de granaderos D. Pedro Schiafinati; y Subtenencias de bandera en el de Murcia al Sargento primero D. Jayme Lafont, y al Cadete D. Juan Cosculluela. S. M. se ha servido conceder en los Regimientos de Infantería de la Reyna y Corona Subtenencias á los Sargentos primeros D. Diego García y D. Gre</t>
  </si>
  <si>
    <t>Jayme María de Carvajal</t>
  </si>
  <si>
    <t>rgentía mayor del Regimiento de infantería de Aragón al Capitán de granaderos, graduado de Coronel, D. Jayme María de Carvajal; Tenencia en dicho Cuerpo al Subteniente de granaderos D. Andrés Vejerano; y en el de Burgos á los Subtenientes D. Josef Talens y D. Antonio Madera, este de granaderos; y Subtenen</t>
  </si>
  <si>
    <t>Jayme Moreno</t>
  </si>
  <si>
    <t>ha servido nombrar para elGóbiemo.Militar y Político de la ciudad de Motril, vacante por salida de D. Jayme Moreno, á Don Joséf Joaquín Vbues, Sargento Mayoj: del;Regigijento de, Milicias de Ronda: para el Corregimiento de la ciudad de Lorca á D. Juan Antonio Biingas: para el de la villa de Ré</t>
  </si>
  <si>
    <t>Jayme Moreno y la Corte</t>
  </si>
  <si>
    <t>é inspección de su Gobernador Mili-., tar y Políticü'de la expresada ciudadíde Málaga el Brigadier D. Jayme Moreno y la Corte ; po r lo.tanto , y siendo igualmente el deseo de los interesados finalizar lo mas próntp posible.', y con la mas buena fe.y legalidad esta dependencia, convidan, á las personas q</t>
  </si>
  <si>
    <t>Jayme Palku</t>
  </si>
  <si>
    <t>dro Mártir, unido con otros tres de S. Martinas..Juan Bautista y San Nicolás, vacante por muerte de D. Jayme Palku, á D. Ramón Codina. En el Regimiento de Reales Guardias de infantería Walona se ha servido el Rey promover á primer Ayudante mayor á D. Alexandro de Coupigni, Teniente del' mismo</t>
  </si>
  <si>
    <t>Jayme Pascual</t>
  </si>
  <si>
    <t>Setiembre del año próximo pasado falleció, á los 69 años de su edad, el Dr. D. Jayme Pascual, Canónigo Regular Premonstratense, en su monasterio de Sta. María de las Avellanas, en Cataluña, habiendo sido Abad de dicha Real casa, y últimamente su actual Prior. Un estudio profundo en</t>
  </si>
  <si>
    <t>Jayme Pasquets y Mas</t>
  </si>
  <si>
    <t>ral de Gerona, baxo la invocación de S. Ibo y S. Honorato, vacante por muerte de D. Juan Genovet, á D. Jayme Pasquets y Mas: para una Media-Ración patrimonial de la Catedral de Tarazona, vacante por promo-' cion de D. Pedro Ramos á otra entera, á D. Pedro Pablo Chueca, Cura de la Parroquial de Monteagu</t>
  </si>
  <si>
    <t>Jayme Pujol</t>
  </si>
  <si>
    <t>arragona ,, 66; 12» Jayme Pujol............ .. Miguel. ... Gracia Calsínera» Figueras,,,, Gerona , , y 66. 12» Narciso Navarro. ... Salvador... Josefa................... Aulesa,, , ,</t>
  </si>
  <si>
    <t>Jayme Stoffel</t>
  </si>
  <si>
    <t>el propio Cuerpo: en el de infantería Suizo de Ruttiman á Teniente. Coronel áD. Jayme Stoffel, Teniente Coronel graduado, y Sargento mayor. del mismo; y á Subteniente al Cadete D. Domingo Marcha} :en el de Whnpffen á Capitan segundo al Teniente D. Cárlos Seolar, y á Teniente al Subt</t>
  </si>
  <si>
    <t>Jayme Valls</t>
  </si>
  <si>
    <t>Gerona. , , 66. *2. Jayme Valls........... ... Francisco.. Maria Farell, , , , Muga,, , ,, Manresa, , , 66. 14. Tambor. Francisco Alonso. . . Patricio. .. -Francisc.Dominguez Cordova, . , Idem, , ,</t>
  </si>
  <si>
    <t>Jayme, Santiago</t>
  </si>
  <si>
    <t>Santiago Jayme</t>
  </si>
  <si>
    <t>napio Pomeneph y D. Josef Munuera:. á Teniente 4e fusileros d$i de 'Soria al agrega^ ?n esta clase .D. Santiago Jayme : a Subtenientes de granaderos de ios de Monte: re y y Segó vía á los de fusileros D. Josef Domínguez y D. Bernabé Lope? de. Castro; y ha nombrado Subtenientes de bandera de los,</t>
  </si>
  <si>
    <t>Jbañez, Vicente</t>
  </si>
  <si>
    <t>Vicente Jbañez</t>
  </si>
  <si>
    <t>D. Bart¿ lome Vilardelly al Cadete D. Andrés Vicedo; y en el de Gampomáyor Tenencia al Subteniente D, Vicente Jbañez; y Subtenencia de bandera ai Cadete JD. Manuel, de Mendoza González. El Rey se ha servido conceder Tenencias en les Regimientos de infantería de Extremadura y Voluntarios, de la C</t>
  </si>
  <si>
    <t>JBarbé-'-Miarbdis</t>
  </si>
  <si>
    <t>enio y iós Mariscales Masena, Jourdan y.Soult, para; Mr. de Caulaincourty Caballerizo mayor, y para Mr. JBarbé-'-Miarbdis, Ministro del tesoro público. Mr. Gerónimo Bonaparte se halla todavía en Genova. El Ministro de Hacienda y S. A. S. el Archí-Tesorero han sido llamados por ei Emperador ; lo que h</t>
  </si>
  <si>
    <t>Jcscf</t>
  </si>
  <si>
    <t>:*3'64 Reai.Consulado de la Coruña: su redactor D. Jcscf lucas Labrada, Secretarlo del rnismó cuerpo. En esta obra, impresa de orden de S. M. á costa de los fondos del Consulado, después de darse una idea rápida de las vicisitudes que h</t>
  </si>
  <si>
    <t>Jcsef de la Ballina</t>
  </si>
  <si>
    <t>otra casa sita en esta Corte. Quien quisiere tratar de compra ó permuta acuda á casa del Arquitecto D. Jcsef de la Ballina, plazuela de las Descalzas Reales, quien tiene los conocimientos y facultades del dueño necesarias para el efecto. Subscripción á la obra intitulada las Eruditas ilustradas del si</t>
  </si>
  <si>
    <t>Jcsef Quera</t>
  </si>
  <si>
    <t>ara el Beneficio titulado de Santa Catalina , vacante ea la Catedral de Gerona por fallecimiento de D. Jcsef Quera, á D. Salvador Pou. En la Compañía Española de Reales Guardias de Corps ha promovido el Rey á Alférez al Exento D. Francisco Manuel de Villena; á Exento de número al supernumerari</t>
  </si>
  <si>
    <t>Je Valbuena, Manuel</t>
  </si>
  <si>
    <t>Manuel Je Valbuena</t>
  </si>
  <si>
    <t>frente á las gradas de S. Felipe. Los Comentarios de Cayo Julio César, traducidos en castellano por D. Manuel Je Valbuena, Catedrático de Retórica de los Reales Estudios de esta Corte, y del número de la Real Academia Española: segunda impresión nuevamente corregida» Lleva el texto latino en mejor ca</t>
  </si>
  <si>
    <t>Jefferson</t>
  </si>
  <si>
    <t>ge Clinton de la plaza dé ¡Vice^ Presidente. ‘ , Luego que se les tomó el juramento constitucional, Mr. Jefferson entregó á las dos Cámaras una nota, en la qual manifiesta á sus conciudadanos el reconocimiento que le inspira este nuevo testimonio de aprecio; y asegura estar firmemente resuelto</t>
  </si>
  <si>
    <t>empo de guerra en lograr y conservar la dignidad é independencia de los Estados. Examinando después Mr. Jefferson la condición actual de los habitantes nacidos en el territorio de los Estados, los considera con la conmiseración que inspira su suerte; ,,la humanidad nos prescribe, dice el Preside</t>
  </si>
  <si>
    <t>Jefferson, General</t>
  </si>
  <si>
    <t>General Jefferson</t>
  </si>
  <si>
    <t>ue mató á su contrario. A pesar de este acontecimiento, que podrá ser favorable á la reelección del General Jefferson, no se desalientan sus enemigos, quienes no cesan de idear mil medios para desconceptuarle respecto del publico. Acaba de distribuirse con profusión un Catecismo político por preg</t>
  </si>
  <si>
    <t>Jeilachick, General</t>
  </si>
  <si>
    <t>General Jeilachick</t>
  </si>
  <si>
    <t>ales muchos enfermos y heridos Austríacos. El 17 de Noviembre se apoderó de Cíauzen y de Botzen. El General Jeilachick., que defendía el Voralberg, está cortado. El Mariscal Bernadotte ocupa á lglau. Sus patrullas han entrado-eu Bohemia. El General Wreden , Comandante de los Bávaros, ha tomado una</t>
  </si>
  <si>
    <t>Jellachich, General</t>
  </si>
  <si>
    <t>General Jellachich</t>
  </si>
  <si>
    <t>l la Capitulación enviada por el Mariscal Augereau del cuerpo del exército Austríaco mandado por el General Jellachich. EL Emperador hubiera preferido que se hubiesen quedado en Francia los prisioneros, aun quando esto hubiese ocasionado algunos dias mas de bloqueo, porque Ja experiencia ha probad</t>
  </si>
  <si>
    <t>Wollfskel al servicio de S. M. I. y R. el Emperador de Alemania, autorizado por el General Jellachich, Comandante en gefe del cuerpo del exército. Austríaco en el Voralberg, han convenido en • los artículos siguientes; i.° £1 cuerpo de exército, á las órdenes del Teniente General</t>
  </si>
  <si>
    <t>Jellachich, Teniente General</t>
  </si>
  <si>
    <t>Teniente General Jellachich</t>
  </si>
  <si>
    <t>oralberg, han convenido en • los artículos siguientes; i.° £1 cuerpo de exército, á las órdenes del Teniente General Jellachich, quedará prisionero de guerra sobre su palabra. Este cuerpo desfilará con todos los honores de la guerra; rendirá las armas, y será conducido á Bohemia á las avanzadas del exércit</t>
  </si>
  <si>
    <t>Jellackich, General</t>
  </si>
  <si>
    <t>General Jellackich</t>
  </si>
  <si>
    <t>lo tomó prisionero con sus 6® hombres. Capitulación del exército Austríaco mandado por el lenieiite General Jellackich. El General de división Maurice Mathieu , Gran Oficial de la Legión de Honor, Comandante de la segunda división del séptimo cuerpo dei grande exército, autorizado por el Mariscal</t>
  </si>
  <si>
    <t>Jenner</t>
  </si>
  <si>
    <t>las preocupaciones populares contra la vacuna, ha movido á varios sugetos distinguidos á instar ai Doctor Jenner á que publique un nuevo escrito para ilustrar al pueblo. En conseqiiencia el Doctor ha formado el plan de una obra en que publicará las noticias copiosas que le envían , no solo d</t>
  </si>
  <si>
    <t>Jerica y Carta, Pablo</t>
  </si>
  <si>
    <t>Pablo Jerica y Carta</t>
  </si>
  <si>
    <t>uestra Señora en su viage á París, y en su regreso á esta Corte: análisis de los cuentqs jocosos de D. Pablo Jerica y Carta: del viage á Seienópqlis: una anacreóntica; y m-tiofi d- una obra francesa intitulada Descripción de Valencia. Se hallará, con Jos anteriores, en las librerías de Escribano, calle</t>
  </si>
  <si>
    <t>Jermer</t>
  </si>
  <si>
    <t>, ¿ , H Dr. Jermer* va juntando todas las noticias y datos que le envían de todas partes del inundo sobre los felices ¿efectos de la vacunación. En varías . ciudades ^populosas de -Europa se ha exti</t>
  </si>
  <si>
    <t>Jíayme Gur</t>
  </si>
  <si>
    <t>hora que los recibió en Ghihnagua, hizo vacunar á~ua niño,- lo que cxecutó el Cirujano de exército D. Jíayme Gur</t>
  </si>
  <si>
    <t>Jiian Quintano</t>
  </si>
  <si>
    <t>iscurso sobre la Mitología de los antiguos, escrita en ingles por Mr Andrés Ramsay, y traducida por D. Jiian Quintano, Oficial de la Secretaría de Estado y del Despacho Universal de Hacienda de España: 2 tomos en 8.° Se hallará en la librería de Castillo, frente á las gradas de S. Felipe, á 18 rs</t>
  </si>
  <si>
    <t>JLofras y Bazan, Juan de Dios</t>
  </si>
  <si>
    <t>Juan de Dios JLofras y Bazan</t>
  </si>
  <si>
    <t>rgo, hacen muy sensible su pérdida. En la Gazeta anterior, capítulo de Madrid, pág. 221, donde dice D. Juan de Dios JLofras y Bazan, Maestro y Director del establecimiento de sordo-mudos, debe leerse D. Juan Loftus y Bazan. - A virtud de auto del Sr. D. Torquato Antonio Collado, del Consejo de S.M., Teniente C</t>
  </si>
  <si>
    <t>Jo-sef Martínez</t>
  </si>
  <si>
    <t>D. Antonio Vela, y D. Ramón Aiisoategui, este de granaderos, y á Subteniente de fusileros al Cadete D. Jo-sef Martínez. - • -‘un ) S. M. se ha -dignado -conceder'en el Regimiento de Milicias provincia*-' les de dragones de Carabaylió, en el Rey no del Perú, Tenencias á B. Pablo Abellafuerte y Quer</t>
  </si>
  <si>
    <t>Joan Antonio Bringas</t>
  </si>
  <si>
    <t>43 r moción de D. Joan Antonio Bringas al Corregimiento de Lorca, á Don Joaquín Leandro Soiís. En América. El Rey se ha servido nombrar para el Obispado de Córdoba del Tucuman, vacante por fallecimiento de D. Ángel Mar</t>
  </si>
  <si>
    <t>Joan Antonio de Arcos</t>
  </si>
  <si>
    <t>3°° te de Reales Guardias Españolas: en el de Burgos á los CadetesD. Juan M jría del Pozo y D. Joan Antonio de Arcos: en el de Aragón á Ayudante ai Teniente de granaderos, graduado de Capitán, D. Joaquín Zito; y á Teniente al Subteniente D. Manuel Arcada: en el de Jaén á Tenientes á los Subtenie</t>
  </si>
  <si>
    <t>Joan Josef Moreno</t>
  </si>
  <si>
    <t>ara el Arcedianato al Chantre Don Manuel Gutiérrez de Hermosilla: para la Chantría al Maestrescuela Don Joan Josef Moreno: para la Maestrescolia á D. Juan Gómez Villaseñor; y para la Tesorería, que este dexa, á D. Agustín Josef Mariano del Rio de la Loza, Canónigo Magistral de dicha Iglesia. S. M. se</t>
  </si>
  <si>
    <t>Joaqíuii Antonio</t>
  </si>
  <si>
    <t>de Lugo, y noticia del pontificado del Obispo Lucense Rodrigo 1 en el siglo &gt;:n, y no en el ix, por D. Joaqíuii Antonio, del Camino. Y tercero, imougnacion al papel que con título de Munda y Cértinta celtibéricas dió á luz el R. P. M. Fr. Manuel Risco, del Orden de S. Agusfm, por O. Juan Francisco</t>
  </si>
  <si>
    <t>Joaqui</t>
  </si>
  <si>
    <t>os de infantería que siguen : D. Pedro Hermosilia del de Toledo, D. Diego Tolosa del del Príncipe ; D. Joaqui» Luzuriaga del de Órdenes Militares ; D. Juan Manuel Carmona del de Murcia; al Teniente dei Regimiento provincial de Santiago D. Ramón Rivadulla ;álos Subtenientes de los de infan</t>
  </si>
  <si>
    <t>Joaquín'Joven</t>
  </si>
  <si>
    <t>a. El Rey se ha servido nombrar para una Canongía de la Catedral de Urgel, vacante por promoción de D. Joaquín'Joven al Priorato de la Colegial de Monzoñy Diócesi de Lérida, á D. Felipe Atanasio Exea; y para otra de la Catedral de Roda, vacante por fallecimiento de D. Miguel Andillon* á D. Ignac</t>
  </si>
  <si>
    <t>Jodoco Traxler</t>
  </si>
  <si>
    <t>andera á D. Luís Josef Rogg y D. Josef Luis Muííer: en el de Traxler ¿ Tenientes á los Subtenientes D. Jodoco Traxler y D. Luis Cristen; y á Subteniente de granaderos al de fusileros D. Cárlos Muller: en el de Wimpffen á Subteniente de bandera á D. Cárlos Josef Mulier : en el de Reding á Teniente de</t>
  </si>
  <si>
    <t>John Golpays</t>
  </si>
  <si>
    <t>cían excelentes veleros. La fragata the Fishguard se expidió inmediatamente al Ferrol: el bergantín Sir John Golpays se dirigió á Brest; y un aviso fué á buscar el Almirante Nelson. ITALIA. Milán 12 de Mayo. El día 10 se celebró un Consejo de Estado presidido por S. M., y organizado por un decre</t>
  </si>
  <si>
    <t>John Nenvfort</t>
  </si>
  <si>
    <t>pone á la Cámara suspender por tiempo ilimitado los efectos del acta del ¡tabeas Corpus en Irlanda. Sir John Nenvfort. ,,No puede suspenderse por causas ligeras la acta del babeas corpus, el mas apreciable de nuestros privilegios. liase dado por motivo de esta disposición la existencia de una jun</t>
  </si>
  <si>
    <t>John Orde</t>
  </si>
  <si>
    <t>avía el motivo de esta prisión. ¿ ; GRAN BRETAÑA. Londres 13 de 'Noviembre. La esquadra mandada por Sir John Orde, compuesta de 4 navios de 74, se hizo ayer á la vela de Portsmouth con el objeto, según dicen, de cruzar delante de Cádiz. El cúter Altkorpe salió después con pliegos para ]a esqu</t>
  </si>
  <si>
    <t>ara preservarse del contagio de la fiebre amarilla? GRAN BRETAÑA. Lóndres 22 dé Marzo, Una carta de Sir John Orde confirma la triste noticia de la pérdida del navio de guerra el Cuervo, que llevaba pliegos del Gobierno. Solo se han salvado el Capitán, 4 Oficiales y 5 marineros, los que han si</t>
  </si>
  <si>
    <t>nuestras fuerzas marítimas, y en especial la esquadra del Canal, que acaba de reforzarse con la de Sir John Orde: y dentro de pocos dias se la juntarán varios navios de línea, que saldrán de Portsmouth y Plimouth, á cuyos puertos se han dado órdenes para que inmediatamente se hagan á la veta</t>
  </si>
  <si>
    <t>ón mandada por el General Craig: se teme por la Irlanda , ó por las Islas Occidentales: se dice que Sir John Orde se ha juntado con Lord Gardner. En este laberinto de incertidumbres la nación teme las conseqüencias de la lucha que tenemos que sostener contra el enemigo mas emprendedor de quan</t>
  </si>
  <si>
    <t>John Orde y de Sir Roberto Calder</t>
  </si>
  <si>
    <t>. Ha llegado á Plimouth la ñota de la India convoyada por el Centurión. Se han recibido noticias de Sir John Orde y de Sir Roberto Calder, quien reemplaza en el mando de la esquadra del Ferrol al Almirante Cochrane , que se ha hecho á la vela con 6 navios de línea en seguimiento de la esquadra de Rochefort. Habrá tr</t>
  </si>
  <si>
    <t>John Sinclair</t>
  </si>
  <si>
    <t>procurar establecer relaciones de comercio entre Inglaterra y las principales ciudades del Africa. Sir John Sinclair, Baronet Escoces, conocido por sus escritos de economía política, está ahora trabajando una obra intitulada Código de saludy de larga vidat en que expondrá los resultados de su pr</t>
  </si>
  <si>
    <t>Jorganes, Joaquín</t>
  </si>
  <si>
    <t>Joaquín Jorganes</t>
  </si>
  <si>
    <t>: D. Juan Donesteve id.: D. Ramón Amaya id.: D. Francisco Calderón, herido: D. Marcos Guruzeta id.: D. Joaquin Jorganes id.: D. Luis Moreno id.: D. Rafael de Luna id. Tenientes de Fragata. D. Rafael Bobadilla, muerto; D. Martin Urias id.: D. Pedro Moriano id.: D. Josef Roso id.: D. Manuel Ribera, h</t>
  </si>
  <si>
    <t>Jorge Juan</t>
  </si>
  <si>
    <t>de conseguir el fin propuesto. i.° Existen ya* dos teorías de la resistencia de los fluidos; una de D. Jorge Juan en saExdmen marítimo, y otra de Mr. Romme en su Arte de la marina. Los; concurrentes pueden adherirse á una dé las dos para corregirla y perfec-? cionarla; de manera que los resulta</t>
  </si>
  <si>
    <t>Josef</t>
  </si>
  <si>
    <t>ra de algunos comestibles de primera necesidad. í ; El Corregidor, el Marques de Embid , D. Rafael, D. Josef y D. Mar nuel Garces de Marcilla, D. Juan Francisco y D. Joaquín Asensio-de Ocon, padre é hijo , D. Joaquín Montesoro y Moreno, D. Faustino .Cotorro de la Gala, D. Domingo y D. Antoni</t>
  </si>
  <si>
    <t>e D. Nicolás de Biedma. El Rey-se ha servido nombrar para el Corregimiento de, la ciudad de Awila á D. Josef -Alonso Valdenebro. . ' En America. S. M. se ha dignado nombrar para la Dignidad de Tesorero de la Catedral de Vailadolid de Mechoacan, vacante por fallecimiento de D. Josef Aregu</t>
  </si>
  <si>
    <t>un,.diente en la carrera de arriba. ;Qui,en.sep^t su paradero, se servirá avisar en dicho lugar.;* D. Josef de 1# Torre, y eñ Madrid á í&gt;. Agustín Manuel de la Torre, calle de las Carretas, mun. 36. D. Jorge Imré,,Maquinista, tiene su taller establecido de nuevo en la calle de Santa María</t>
  </si>
  <si>
    <t>ó á la ciudad de México, en donde se tiene noticia falleció, se han practicado por los albaceas del D. Josef, que Jo son Doña Juana López, D.-Alonso Antonio de Ortega y D: Manuel de Pedáneo, vecinos de dicha Isla de León, varias diligencias para adquirir noticias del paradero de dichos l</t>
  </si>
  <si>
    <t>de fusileros D. Joaquín Barrena; á Subtenientes de compañía á los de bandera D. Gerardo Hernández, D. Josef loaquin Ruiz y D.Jo sef María Rengel; y á Subtenientes de bandera á los Cadetes D. Josef Mayoli y D. Josef Fernandez, y á D. Juan Tomey, vecino de la demarcación del mismo Regimie</t>
  </si>
  <si>
    <t>Josef Abetino Barbosa</t>
  </si>
  <si>
    <t>e S. M. Católica. Extracto de una carta escrita de Bahía con fecha de de Enero de este año-, por el Doctor Josef Abetino Barbosa , d Teodoro Ferreyra de Aguiar, Cirujano mayor de la. Real Armada y de los Exércitas. „En conseqiiencia de una orden del Gobernador y Capitán general de esta Capitanía y de i.° de</t>
  </si>
  <si>
    <t>Josef Acebedo y SaIazar</t>
  </si>
  <si>
    <t>naria de 8 del corriente, una medalla académica de plata de 4 onzas á su individuo actual de número D. Josef Acebedo y SaIazar,por haber desempeñado dignamente eí comentario dei íib. 7 J)e causis corruptarun^ artium , del célebre Juan Luis Vives. Por providencia del Sr. D. Torquato Antonio Collado, del Co</t>
  </si>
  <si>
    <t>Josef Aguado</t>
  </si>
  <si>
    <t>ha servido conceder Tenencia en el Regimiento de infantería de Hibemia al Subteniente de granaderos D. Josef Aguado; y Subtenencias de bandera en los de Irlanda y Voluntarios de la Corona á los Cadetes D. Sebastian Talens y D. Francisco Brandis. En los Regimientos de caballería de línea se ha s</t>
  </si>
  <si>
    <t>Josef Aguirre</t>
  </si>
  <si>
    <t>vincial de Avila D. Mariano Zorraquin; al Subteniente del de infantería de Voluntarios de la Corona Don Josef Aguirre, y Teniente del provincial de Sigüenza D.. Josef Segovia; á los Cadetes de Reales Guardias de infantería Española D- Josef Gil de Bernabé, D. Juan Nepomuceno de Gregorio y D. Jose</t>
  </si>
  <si>
    <t>Josef Agustín de Oxangoiti-Cadalso</t>
  </si>
  <si>
    <t>ayores de España, y aspirase á esta plaza, podrá acudir, por medio de memorial, á los. Comisionados D. Josef Agustín de Oxangoiti-Cadalso, ó á D. Ignacio María de Zavala, vecinos de dicha villa, durante el próximo mes de Mayo, á cuyo tiempo se procederá á su provisión por el Ayuntamiento, precedidos los informes con</t>
  </si>
  <si>
    <t>Josef Aiarcon Torrubía</t>
  </si>
  <si>
    <t>ítica intitulada el Anti-Quixote: extracto del tomo 2.0 de las Arengas de Aguesseau, traducidas por D. Josef Aiarcon Torrubía: el juicio crítico de la ópera intitulada el Hospital del amor; y en artículo de variedades el verdadero amante, ternura filial, Kinetozografia &amp;c. Se hallará á 3 rs., con los ant</t>
  </si>
  <si>
    <t>Josef Alaix</t>
  </si>
  <si>
    <t>Manresa , , 66. 12* Sargento. Josef Alaix.............. Jacinto. . . Antonia, , , , , , Valls , , , , Tarragona , 2. Francisco Figueras.. . Manuel. . . Eulalia, , , , , , , Barcelona,</t>
  </si>
  <si>
    <t>Josef Alarcon</t>
  </si>
  <si>
    <t>de línea se ha dignado S. M. conferir en el del Infante Compañía al Ayudante, graduado de Capitán, Don Josef Alarcon: empleo de Alférez en el de la Reyna al Portaestandarte D. Francisco Ruiz de Lanzarote; y empleos de Portaestandartes en los de Borbon, Farnesio y Santiago á los Cadetes D. Antoni</t>
  </si>
  <si>
    <t>Josef Alarcon Torrubia</t>
  </si>
  <si>
    <t>erte de Anquetil Duperron*. la de las arengas y discursos del Canciller D’Aguesseau, traducidos por D. Josef Alarcon Torrubia; y el índice general del primer tomo. Se hallará, con los anteriores, en las librerías de Escribano, calle de las Carretas, y de Argueta, calle de la Montera, 0 3 rs.Con este núme</t>
  </si>
  <si>
    <t>Josef Alaría de Cuellar</t>
  </si>
  <si>
    <t>que logro escapar de dicho navio. ESPAÑA. Toro 20 ds Agosto. Deseando el Corregidor de esta ciudad D. Josef Alaría de Cuellar pronto*, ver en ella la educación , y fomentar la enseñanza de las niñas, de que en-, teramente carecían, pensó en formar dos escuelas gratuitas, en conformidad de la Real Cédula</t>
  </si>
  <si>
    <t>Josef Albarran</t>
  </si>
  <si>
    <t>no habían, féfiidp las viruelas; en cuya vista dio cornision al Médico y Cirüjano de está Real Casa D. Josef Albarran y D. Gregorio Gonzalo, para que auxiliados de otros dos Médicos D. Josef Manovel y D. Josef Gomalez Ayensa,,y el Cirujano D. Lorenzo Sobl.echero, fuesen administrando la vacuna con la</t>
  </si>
  <si>
    <t>Josef Alcayde y Monge</t>
  </si>
  <si>
    <t>1093 reros á D. Benito de la Reguera; y sencillos á D. Josef Alcayde y Monge, D. Miguel Roxas, D. Rafael Arias,D. Juan Bautista Urreta, D. Francisco Chavez, D. Manuel Almonte, D. Genaro Torres, D.Mariano Ponce, D. Juan Jaén, D. Fernando Rosel, D. Vicente V</t>
  </si>
  <si>
    <t>Josef Alcega y García</t>
  </si>
  <si>
    <t>6;n Diócesis de Cuenca , cacantes por renuncia de D. Manuel María de Montoya, á D. Josef Alcega y García. El Rey se ha servido nombrar para la Dignidad Real de Dean de la'Ca^ tedral de Vique, vacante por fallecimiento de D. Francisco Hóría, á Dóh Josef de Rocafiguera *. para un Benef</t>
  </si>
  <si>
    <t>Josef Alcover Higueras, Juan</t>
  </si>
  <si>
    <t>Juan Josef Alcover Higueras</t>
  </si>
  <si>
    <t>el Orden de Predicadores, que padeciéron martirio en el Imperio de la China: dada á luz por el Lie. D. Juan Josef Alcover Higueras, Dignidad de Abad mayor en la Iglesia Colegial del Salvador de Granada. Se hallará en la librería de Escribano, calle de las Carretas; y en Granada en la de Polo, ú 16 rs. en rúst</t>
  </si>
  <si>
    <t>Josef Alday</t>
  </si>
  <si>
    <t>ondiente á la negociación de Nueva-España, vacante por fallecimiento de D. Antonio García Garayo, á D. Josef Alday, Oficial quinto ; habiéndose servido conceder los ascensos á los demas Oficiales por el orden de su antigüedad , y resuelto que se reúnan las dos medias plazas últimas que</t>
  </si>
  <si>
    <t>Josef Aledo</t>
  </si>
  <si>
    <t>ael de Lianza? Tenencias en los de Granada,-Voluntarios de Castilla y Nápolés á los Sub** tenientes D. Josef Aledo r D, Francisco-de Paula Exea y D. Jayme Beau^ Ibrt; y Subtenencia de bandera en el expresada de Granada al Cadete D01É Juan de Dios Bernabeu, Desde 1.° del próximo Diciembre se re</t>
  </si>
  <si>
    <t>Josef Alegre</t>
  </si>
  <si>
    <t>= D. Antonio Ignacio de Cortavasría. = Registrada, D- Josef Alegre. =: Teniente de Canciller mayor, D. Josef Alegre. = Es copia de su original, de que certifico. = D. Bartolomé Muñoz. nota. Se avisará oportunamente al público los dias en que se abrirá la Subscripción en Madrid y en los puertos</t>
  </si>
  <si>
    <t>Josef Alíñela y Leony</t>
  </si>
  <si>
    <t>usileros D. Francisco Xavier Riedmaten: en el de Betschart á Teniente de granaderos al de fusileros D. Josef Alíñela y Leony ; y en el de Reding á Capitán primero al Capitán segundo D. Bernardo Godlin; y á Subteniente al Cadete D. Juan Jorge Kiitel. En América. El Rey se ha servido nombrar para-una Medi</t>
  </si>
  <si>
    <t>Josef Almagro</t>
  </si>
  <si>
    <t>rar á DV Andrés HChavier, Abogado de los Tribunales del mismo Reyno*. También ha nombrado ,el Rey á D. Josef Almagro para el Corregimiento de letras de la villa de Madrigal ;y á D. Juan Josef Rodríguez González para el de la villa de Atienza, Asimismo ha conferido S. M. la Vara de Alcalde mayor</t>
  </si>
  <si>
    <t>Josef Alonso del Rive</t>
  </si>
  <si>
    <t>riosos en la forma siguientq\ Primera dase. Primeros premios. Medallas de oro ;de 3 onzas-.Pinturaá D. Josef Alonso del Rive.ro , natural de Oviedo, de 23 años. Escultura, á D. Manuel de Agreda, natural de Haro, de 33 años. Arquitectura, á D. Fermín Gutiérrez, natural de Madrid, de 25 años. Premios segu</t>
  </si>
  <si>
    <t>Josef Alonso Duque</t>
  </si>
  <si>
    <t>Requena, Diócesis de Cuenca , vacante por fallecimiento de D. Francisco Antonio del Valle Inclan, á D. Josef Alonso Duque, Rector del Seminario Conciliar de aquella ciudad : para el Beneficio de la villa de Flores de Avila, en aquel Obispado, vacante por muerte de D. Alonso Blazquez, á D. Ramón Bañez</t>
  </si>
  <si>
    <t>Josef Altarriba</t>
  </si>
  <si>
    <t>érrez, natural de Madrid , de 16 años* Segundos premios. Medallas ' de plata de 3 onzas. Pintura, á D. Josef Altarriba, natural de Madrid, de 19 años. Escultura, afi. Luis Fontenéíle, natural de Roma, de 25 años. Premio^ d? emulación, á D. Manuel Sancho, natural de Madrid, de 10 años. . Arquitectu</t>
  </si>
  <si>
    <t>Josef Alvarado</t>
  </si>
  <si>
    <t>de Aguírre, Racionero primero. Para la Chantría de la Metropolitana de Lima, vacante por muerte de Don Josef Alvarado , á D. Pablo Laurnaga; y para la Tesorería que dexa áD.Josef de Silva , Canónigo Magistral de la. misma Iglesia. Para una Canongía de ■la de la Ha vana* vacante. por fallecimiento</t>
  </si>
  <si>
    <t>Josef Álvarez Sotomayor</t>
  </si>
  <si>
    <t>fD. Alonso Butrón. |D. Josef Alvarez Sotomayor. Guardias Marinas j D. Felipe Marques de la Plata, j D. Josef Bustiilo. ID. Josef Barros. vD. Andrés Pita. OFICIALES DEL EXERCITO. Muertos. Teniente Coronel y Capitán de Gra—&gt; ^ T</t>
  </si>
  <si>
    <t>Josef Alvaro de Arias</t>
  </si>
  <si>
    <t>sencillas á D. Sebastian Benavente , D. Gerónimo Casal, D. Nicolás Montesinos, D. Eugenio Figueroa, D. Josef Alvaro de Arias, D. Juan Pablo Molina, D. Mariano Cáceres y D. Andrés de Cárdenas; Ayudantías á D. Cayetano Castro y D. Josef Molina; Tenencia de granaderos á D. Josef Rosello; y sencillas á D. A</t>
  </si>
  <si>
    <t>Josef Alvaxez</t>
  </si>
  <si>
    <t>iales al Ayuntamiento de dicha villa; En el año de 1772 falleció en esta Corte, calle de Val verde, D. Josef Alvaxez, Agente de negocios, quien dexó varios acreedores, y algunos de ellos siguiéron’pleyto contra su testamentaría, y viendo ser poco lo que les pertenecía, lo dexáron en el oficio po</t>
  </si>
  <si>
    <t>Josef Amarilla</t>
  </si>
  <si>
    <t>Dignidad de Prior de la Catedral de la ciudad de Cuenca, vacante por muerte de D. Andrés Tirado, á D. Josef Amarilla, con retención de la Canongía que le ha conferido en la misma Iglesia: para la Canongía vacante en la Catedral de Granada, por fallecimiento de D. Juan Francisco Hidalgo, á D. Agu</t>
  </si>
  <si>
    <t>Josef Ambros</t>
  </si>
  <si>
    <t>a Don Salvador del Castillo y D. Alfonso Dieste; y ai Sargento primero del de Voluntarios de Estado D. Josef Ambros: en el de Murcia al Cadete del de Granada D. Ignacio Garcini; y en el de Voluntarios de la Corona al Cadete del Inmemorial del Rey D. Josef María Aguirre. En América. El Rey se ha</t>
  </si>
  <si>
    <t>Josef Ana Marmolejo</t>
  </si>
  <si>
    <t>fusileros D. Josef Manuel Bustamante, y á Subtenientes de compañía y de bandera á D. Mariano Sein, D. Josef Ana Marmolejo y D. Manuel de Septien y Escudero, el primero Subteniente de bandera, y los otros dos vecinos de lá jurisdicción del expresado I^atallon. El dia 8 de este mes falleció en esta Corte,</t>
  </si>
  <si>
    <t>Josef Andujar</t>
  </si>
  <si>
    <t>n, vacante por promoción de D. Cipriano Castellano Cabrejano á Canongía de la Catedral de Cuenca, á D. Josef Andujar; y para las Prestameras de Constanzana y S. Vicente , Diócesi de Avila, vacantes por muerte de D. Gregorio López, á quien se las confirió en 23 de Octubre de 1800, y no llegó á to</t>
  </si>
  <si>
    <t>Josef Anr</t>
  </si>
  <si>
    <t>ía Parroquia de Alcoberj* ;Diópe$i$ 'de -Tarragona, vacante por fallecimiento de D. Jayme Abella, á.D. Josef Anr tonio González. ^ . - S. M. se ha servido conferir la Capitanía General del exército,, Reyno y costa de Granada, pon la Presidencia 4e aquella Real Chancilla</t>
  </si>
  <si>
    <t>Josef AntoninoNeyra</t>
  </si>
  <si>
    <t>Osorio, y-'D. Martin Arambunn En el de los Valles de Acari y Chala Ayudantía ai Teniente del mismo D. Josef AntoninoNeyra. En el de caballería de Cañete, también de Milicias, Tenencias a los Alféreces D. Josef Seyjas Várela, y D. Miguel Santiuste;-y en ei de infantería de Lamhaye.que I enuncia á D..</t>
  </si>
  <si>
    <t>Josef Antonio</t>
  </si>
  <si>
    <t>mismo Convento: para una Ración ó Coínensalía de la Catedral, de Tortosa, vacante por promoción de D. Josef Antonio. Vilar al Arcedianatp d£ BorrioL, Dignidad de la misma Catedral, á D.Juan Segarra: para un Beneficio de la Parroquial de la villa de Calaceyte, Obispado de Tortosa, vacante, por a</t>
  </si>
  <si>
    <t>Josef Antonio Caballero</t>
  </si>
  <si>
    <t>166 Señalado de la Real mano en Aranjuez á 15 de Febrero de 1805. = A. D. Josef Antonio Caballero.” _E 1 Rey se ha servido nombrar para una Canongía de la Catedral de Falencia, vacante por fallecimiento de D. Josef Quintano Ruiz, á Don Juan Nepomuceno de S. Juan, Guardia de Co</t>
  </si>
  <si>
    <t>obierno de! Consejo se ha comunicado, con fecha de 24 de Mayo, la circular siguiente: El Excmo. Sr. D. Josef Antonio Caballero ha comunicado al limo. Sr. D. Miguel de Mendinueta , Decano Gobernador interino del Consejo, con fecha del 17 de este mes, la Real orden siguiente: „ Al R. Obispo de Málaga digo e</t>
  </si>
  <si>
    <t>ente: „Por mi Real Decreto de 2 de Julio último tuve á bien mandar, que durante la indisposición de D. Josef Antonio Caballero, ini Secretario de Estado y del Despacho de Gracia y Justicia, é interino del de Guerra, se encargas^ del Despacho de este Ministerio el Bay lío Frey D. Francisco Gil¿</t>
  </si>
  <si>
    <t>itado de poderlo continuar por su actual enfermedad , quiero que durante la citada indisposición de D. Josef Antonio Caballero os encarguéis del mencionado Despacho de la Guerra. Tendréislo entendido, y lo comunicareis á quienes corresponda para su cumplimiento. = Señalado de la Real mario.:=En S. Ildefon</t>
  </si>
  <si>
    <t>Josef Antonio de Lejarza</t>
  </si>
  <si>
    <t>ó d correr desde el dia &lt;S del presente. Por el correo del dia i.° de este mes remitió desde Bilbao D. Josef Antonio de Lejarza lo vales Reales de' 150 pesos de Ja creación de Enero, endosados'á Don Gregorio García Vinuesa, con los números 223800, 227912, 227990, 228818,' 23 1 *44, J333Ó8 , 240921,295982,3</t>
  </si>
  <si>
    <t>Josef Antonio de Pando y Riba</t>
  </si>
  <si>
    <t>Escribano único numerario de ella,. Se hace saber á Doña María Teresa Ramírez y Encalada, muger de D. Josef Antonio de Pando y Riba, que residía en Madrid por los años de 1801 y 802, que en el preciso término de 30 dias, acuda á usar de su derecho, por sí ó por medio de apoderado, en el expediente que instauró</t>
  </si>
  <si>
    <t>Josef Antonio de Priego</t>
  </si>
  <si>
    <t>s. El Rey se ha servido nombrar para una Canongía de la Catedral de Málaga , vacante por ascenso de D. Josef Antonio de Priego á la Dignidad de Arcediano de Velez de la misma, á D. Juan Féiix Calvo, Racionero electo de la propia Catedral: para otra de la Metropolitana de</t>
  </si>
  <si>
    <t>Josef Antonio de Ventura</t>
  </si>
  <si>
    <t>ros de la ciudad de Estella, Diócesi de Pamplona, vacante por fallecimiento de D. Joaquín Gamuza, á D. Josef Antonio de Ventura, Presbítero : para el Beneficio simple del lugar de Villoslada, Diócesi de Segovia, vacante por reniincia de D. Teiesforo Madrazo, á D. Santiago Ribero Medrano: para el Beneficio</t>
  </si>
  <si>
    <t>Josef Antonio Generes</t>
  </si>
  <si>
    <t>as mayores de la ciudad de Vicjue y villa de Villafranca del Panadés, de primera clase 6 entrada, á D. Josef Antonio Generes y D. Josef Guixer y Sola. En America. El Rey se ha servido conferir ¿1 empleo de Sargento mayor de la plaza de Veracruz á D. Josef de Miramon, Capitán primero del Batallón de infanter</t>
  </si>
  <si>
    <t>Josef Antonio Goiiiez</t>
  </si>
  <si>
    <t>Vial e hijo y compañía. En Segovia.......... Sres. viuda de Ramiro y Martin. En Sevilla............ D. Josef Antonio Goiiiez é hijo. En Soria............ D. Andrés Martínez de Aparicio. En Toledo..... . Sres. Chavarri y Posadilfó. Eli Valencia......... Sres. D. Francisco Fevfoloft V compañía. " En Válla</t>
  </si>
  <si>
    <t>Josef Antonio Gómez</t>
  </si>
  <si>
    <t>é hijo y compañía. _ En Segovia........... Sres. viuda de Ramiro y Martin. En Sevilla............. D. Josef Antonio Gómez é hijo. En Soria............... D. Andrés Martínez de Aparicio. En Toledo............. Sres. Chavan-i y Posadiüo. En Valencia..........Sres. D. Francisco Peyrolon y compañía. En V</t>
  </si>
  <si>
    <t>Josef Antonio la Cueva</t>
  </si>
  <si>
    <t>arcía y D. Eugenio Costilla: Subtenientes en dicho Cuerpo á Don Francisco Vidad , D. Manuel Concha, D. Josef Antonio la Cueva, Don Agustín Valer, D. Manuel Perez, D. Francisco Vargas, D. Narciso del Barrio y D. Bartolomé Aguirre: Capítan de carabineros del Regimiento de caballería de Milicias urbanas de</t>
  </si>
  <si>
    <t>Josef Antonio Martínez</t>
  </si>
  <si>
    <t>Josef Antonio Mar­ Hijo de Pedro, natural de Murcia: murió^ g</t>
  </si>
  <si>
    <t>Josef Antonio Pécora</t>
  </si>
  <si>
    <t>ros al de fusileros D. Anselmo Campanoni; y esta resulta al Sargento primero veterano de granaderos D. Josef Antonio Pécora : en el mismo Batallón á Subteniente de bandera al Cadete D. Santiago Portuondo. En el de milicias de Puerto Príncipe, en •la propia -isla / á Capitanes á los Subtenientes D,Domin</t>
  </si>
  <si>
    <t>Josef Antonio Priego</t>
  </si>
  <si>
    <t>s de sacar el despacho de ella á la Canongía que resultó vacante en la misma Iglesia por ascenso de D. Josef Antonio Priego, á D. Josef de Molina y Martel; y para la Medía Ración de la Catedral de Sigüenza, vacante por promoción de D. Gabriel Cayetano Gallego á Ración entera de la propia Iglesia , á D.</t>
  </si>
  <si>
    <t>Josef Antonio Romero</t>
  </si>
  <si>
    <t>eyno: y en el de la Nueva Segovia á Capitanes aí Teniente D. Josef María Garmendia y al Subteniente D. Josef Antonio Romero; á Tenientes á D. Antonio de Arce y D. Josef Antonio López; y á Alféreces á D. Pablo Sobalbarro y D. Antonio Ignacio Irías, los quatro últimos vecinos también del propio Reyno. En</t>
  </si>
  <si>
    <t>Josef Antonio Ruisuarez y Diz</t>
  </si>
  <si>
    <t>Cendrera: en el de Toledo Subtenencias de bandera al Sargento primero D. Juan Espinar, y al Cadete D. Josef Antonio Ruisuarez y Diz: en el de América Compañía al Capitán D. Francisco Calero, Ayudante de la tercera división de granaderos Provinciales de Andalucía; y en el de Extremadura Subtenencia de bandera a</t>
  </si>
  <si>
    <t>Josef Antonio Sagui</t>
  </si>
  <si>
    <t>o de Rodas, vacante por promoción de D. Fr. Juan de Massot al de Enfermero del propio Monasterio, á D. Josef Antonio Sagui; y para el Beneficio primero de nuestra Señora de íaS Nieves, vacante en la Parroquia de S. Pedro de las Puellas de la ciudad de Barcelona, por fallecimiento de D. Simón Formigo,</t>
  </si>
  <si>
    <t>Josef Antonio Vazquez</t>
  </si>
  <si>
    <t>la de Albania; y para-una Media^Racion de la Catedral de- Calahorra, vacante por fallecimiento; de, D. Josef Antonio Vazquez.,,á-D- Julián Amestoy. J .. T &gt; - ■ ■ , En el Regimiento de Infantería de España se há servido, el Rey promover á. Subten jeme-de bandera al Cadete D. Onofie .Ir.iyarne: á Capitap</t>
  </si>
  <si>
    <t>Josef Antonio Vergara</t>
  </si>
  <si>
    <t>el, D. Tiburcio de Francos; y el empleo de Maestro mayor de Armeros de la Maestranza de Barcelona á D. Josef Antonio Vergara. En los Regimientos de caballería de línea se Ha servido el Rey promover: en el del Infante á Ayudante al Teniente D. Carlos de Victoria: en el de Algarbe á Alférez ai Portaestand</t>
  </si>
  <si>
    <t>Josef Antonio Vilar</t>
  </si>
  <si>
    <t>no de Borriol de la Catedral de Tortosa, vacante por fallecimiento de D. Tomas Ignacio de Avaria, á D. Josef Antonio Vilar: para la Dignidad de Arcipreste y Canongía unida de la de Tarazona , vacante por muerte de D. Manuel Milagro y Santas , á D. Juan Antonio Franjo y Ruiseco: para otra Canongía de l</t>
  </si>
  <si>
    <t>Josef Antonio Yanes</t>
  </si>
  <si>
    <t>dez ; esta Subtenencia al de fusilerosD.Rafael Paez; y una de las de bandera,vacante por ascenso de D. Josef Antonio Yanes, al Cadete D. Félix Alvarado.</t>
  </si>
  <si>
    <t>Josef Aragó y Fita</t>
  </si>
  <si>
    <t>or traslación de D. Francisco Fernandez del Pino á otra de Alcalde de la Quadra de la de Sevilla, á D. Josef Aragó y Fita; y para la Vara de Alcalde mayor de la ciudad de Almuñecar y villa de Salobreña á D. Vicente Maté. £i Mariscal de Campo D. Pedro deTruxillo ha dado cuenta de que habiendo salido d</t>
  </si>
  <si>
    <t>Josef Aranda</t>
  </si>
  <si>
    <t>; y Subtenencia de bandera en el de Zamora al Cadete del segundo batallón de Voluntarios de Aragón D. Josef Aranda. En los Regimientos de caballería ligera se ha servido S. M. conferir en el de cazadores de Almansa Compañías á los Teniente y Ayudante, graduados de Capitanes, D- Antonio Baeza y</t>
  </si>
  <si>
    <t>Josef Aregui</t>
  </si>
  <si>
    <t>ara la Dignidad de Tesorero de la Catedral de Vailadolid de Mechoacan, vacante por fallecimiento de D. Josef Aregui , á D. Manuel de la Barcena, Canónigo Rectoral de la misma, iglesia ; 'yapara igual Dignidad de la de Guadala^ara, vacante por muerte de DjAgustín del Rio de la Loza ,á D.Juan Jos</t>
  </si>
  <si>
    <t>Josef Balnis y Busquéis</t>
  </si>
  <si>
    <t>ocación y de. nuestra Señora de Soler Grifé de la Catedral de. Sobona, vacante por fallecimiento de D. Josef Balnis y Busquéis, á D. Juan Martipara una Ración Penitenciaria*de la Catedral de Roda, en la Diócesi de Lérida, vacante por promoción de D. Antonio Torregrosa á otra de la Parroquial de Bernegal,</t>
  </si>
  <si>
    <t>Josef Banks</t>
  </si>
  <si>
    <t>e el Gobernador distribuyó premios , : y dio grados, á los estudiantes-----En la misma carta en que Sir Josef Banks da cuenta de todo esto á Mr. Schwartzkopf, se pone una lista de las obrasque ha hecho imprimir la Academia dé Calcuta en lenguas orientales ó sobre la literatura oriental. Las que ha</t>
  </si>
  <si>
    <t>Josef Baquero, Juan</t>
  </si>
  <si>
    <t>Juan Josef Baquero</t>
  </si>
  <si>
    <t>banía pública del número de ella, que exerce D. Josef Padilla, penden los autos de testamentaría de D. Juan Josef Baquero, vecino y del comercio que fue de la misma, á los. quales está agregado un papel de comunicato, que dexó el difunto, en que manifestó varias responsabilidades con que se hallaba,</t>
  </si>
  <si>
    <t>Josef Barre</t>
  </si>
  <si>
    <t>ante, graduado de Capitán, D. Josef de Osma: en el de América Tenencia al Subteniente de granaderos D. Josef Barre- : ra; y en el de la Reyna Subtenencia de bandera al Cadete del de Cantabria D. Vicente Fernandez de Luna. - S. M. se ha dignado conceder Tenencia eu-.e1 Regimiento de infante</t>
  </si>
  <si>
    <t>Josef Benito de Cistué</t>
  </si>
  <si>
    <t>ndo y D. Tomas Xopez, Secretarios de las clases de Agricultura y Artes, también Médicos Colegiales, D. Josef Benito de Cistué y D. Josef Duaso, Catedráticos de Economía política y de Matemáticas, con otros muchos Socios , y un numeroso concurso de eclesiásticos y caballeros: los alumnos disertaron so-, bre l</t>
  </si>
  <si>
    <t>Josef Benito Florez</t>
  </si>
  <si>
    <t>nta para estimularlos al estudio de la insinuada facultad, D. Benito Rodríguez, D. Rodrigo Plaza, y D. Josef Benito Florez; y á los segundos de á 16 pesos D. Martin Blanco, D. Henrique Moro, y D. Blas Guirao. Se previene á todas Jas personas á quienes conviniere el aviso, que los Señores F. R. Pcyer y</t>
  </si>
  <si>
    <t>Josef Benito Montenegro</t>
  </si>
  <si>
    <t>leros y Subteniente de Bandera en el de Betanzos al Subteniente de granaderos D. Ramón Caruncho y á D. Josef Benito Montenegro*, á Teniente de fusileros en el de Cuenca al Subteniente D. Josef Martin Ruiz: á Subtenientes de granaderos y de Bandera en los de Jaén y Ciudad-Rodrigo á los Subtenientes D. Anto</t>
  </si>
  <si>
    <t>Josef Bernardino Cantu</t>
  </si>
  <si>
    <t>las Canongías Magistral , Penitenciaria y Lectoral de la Iglesia Catedral del Nuevo Reyno de León á D. Josef Bernardino Cantu, Cura Vicario del Valle de Guajuco en aquella Diócesis, á D. Juan Josef Garza, Cura del Sagrario de la misma Catedral, y á D. Domingo de Ugarte, Racionero de ella; y para la Canon</t>
  </si>
  <si>
    <t>Josef Berrio</t>
  </si>
  <si>
    <t>de bandera á ios Cadetes D. Antonio Ximenez de la Cerda, que lo era de la Compañía fiza de Rosas, y D. Josef Berrio, y al Sargento primero de granaderos D. Andrés García. En el Estado militar de este año se omitió expresar que el Teniente</t>
  </si>
  <si>
    <t>Josef Biazquez</t>
  </si>
  <si>
    <t>combinada (1). Habiendo explicado en el presente año el Practicante mayor de los Reales hospitales D. Josef Biazquez el curso de las enfermedades de huesos y vendages que ha estado á su cargo, comisionó la Real Junta de dirección y gobierno de ellos á sus Consiliarios los Exemos. Sres. D. Antonio</t>
  </si>
  <si>
    <t>Josef Bobadilla</t>
  </si>
  <si>
    <t>aureano Cabrera , D. Mariano Anaya, D. Blas Cuenca , I). Faustino Aragón, D. Juan de Dios Camborda, Don Josef Bobadilla, D. Silverio Mogrovejo, D. Paulino Roxas, D. Tomas Herencia, D. Josef Perez del Portillo, D. Simón Aguirre y D. Manuel Oreilana; el empleo de Alférez de granaderos á D. Casimiro C</t>
  </si>
  <si>
    <t>Josef Bon, Juan</t>
  </si>
  <si>
    <t>Juan Josef Bon</t>
  </si>
  <si>
    <t>cisco Morejon ; á Subtenientes de Compañía los de oandera D. Esteban Folch, D. Carlos de Grand-pré, D. Juan Josef Bon , Don Antonio Balde ras, D, Arnaldo GuUlemard y D. Juan Portal, y los Cadetes D. Martin Folch y D. Luis Antonio de Grandi-pré ; y el Sargento primero D. Juan Fernandez ; y á Subte</t>
  </si>
  <si>
    <t>Josef Bonaparte, Príncipe</t>
  </si>
  <si>
    <t>Príncipe Josef Bonaparte</t>
  </si>
  <si>
    <t>caballos. Corre aquí muy válida la voz de que habrá un congreso en Bruselas , al qual asistirán el Príncipe Josef Bonaparte, en nombre del Emperador su hermano, y el Conde de Novosiltzoff, como Plenipotenciario del Emperador de Rusia. , El jardín botánico de Copenhague , en el qual hay 5500 plantas, de</t>
  </si>
  <si>
    <t>Josef Bonet</t>
  </si>
  <si>
    <t>Idem , , ,, 66. 12» Josef Bonet................ Otro...........Margarita Serras,., Tarragona, , Idem , , , , 66. 12» Antonio Reynal..... Juan....Maria Cases, , , , Roda, ,,,,, Vich , , , , 66. 12</t>
  </si>
  <si>
    <t>Josef Bordas</t>
  </si>
  <si>
    <t>66. 12. Josef Bordas.......... Ramón. , , Ana Cabañas, , , , Barcelona, , Idem , , 66. 12. Antonio Bausells. . .. Josef. , , , MagdalenaPortarella Pens , ,</t>
  </si>
  <si>
    <t>Josef Borlasca</t>
  </si>
  <si>
    <t>lnou. El Rey se ha servido conceder Ayudantía en el Regimiento de infantería de Ñapóles al Teniente D. Josef Borlasca: Tenencias en los de América y Ordenes Militares á los Subtenientes .de granaderos D. Josef Cabrera y D. Fernando Alvarez; y Subtenencia de bandera en el de Ultonia y el referido</t>
  </si>
  <si>
    <t>Josef Boseli</t>
  </si>
  <si>
    <t>yetano Torreani; á Cadete de número al Supernumerario D. Josef Chela, y á Supernumerario al Guardia D. Josef Boseli: y en la Flamenca á Exénto Supernumerario al Brigadier D. Gerónimo Knapp; á Brigadier al Subrigadier D. Simón Delile; á Subrigadier al Cadete D. Josef Franquesa; á Cadete de númer</t>
  </si>
  <si>
    <t>Josef Boselí</t>
  </si>
  <si>
    <t>l Real Cuerpo de Guardias de Corps se ha servido S. M promover á Cadete de número al supernumerario Don Josef Boselí, y á Supernumerario al Guardia D. Andrés Gómez. El Rey se ha servido conferir en el Regimiento de infantería de Granada Tenencia al Subteniente D. Carlos Luis de Castro: en el de</t>
  </si>
  <si>
    <t>Josef Brandaris</t>
  </si>
  <si>
    <t>epomuceno: D. Joaquin Somoza, id., herido en el Neptuno. D. Tomas Ramerí, id., herido en el Bahama: D. Josef Brandaris, id., herido en el S. Agustín. Tententes de Navio. D. Juan González Cisniega, muerto: D. Joaquín de Salas id.: D. Juan Matute id.: D. Agustín Monzon id. : D. Juan Donesteve id.: D</t>
  </si>
  <si>
    <t>Josef Brihuega y Ortega</t>
  </si>
  <si>
    <t>mana Iglesia Hércules Consalvi, á quien nombro por decreto de 17 de Junio dei año próximo pasado, á D. Josef Brihuega y Ortega, Dignidad de Prior y Canónigo de Ja de Sigiienza: para esta Dignidad y .Canongía á D. Domingo Julián Paliza, Canónigo ae la Real Iglesia de S. Isidro: para una Ración de la Catedr</t>
  </si>
  <si>
    <t>Josef Bucheli</t>
  </si>
  <si>
    <t>. se ha servido nombrar para una Media-Ración de la Metropolitana de México, vacante por ascenso de D. Josef Bucheli á Racionero de la misma , á D. Josef Buenaventura Sta. María, Cura del pueblo de Chametla en el Obispado de Sonora. No permitiendo las circunstancias de la guerra actual que las e</t>
  </si>
  <si>
    <t>Josef Buenaventura Sta</t>
  </si>
  <si>
    <t>de la Metropolitana de México, vacante por ascenso de D. Josef Bucheli á Racionero de la misma , á D. Josef Buenaventura Sta. María, Cura del pueblo de Chametla en el Obispado de Sonora. No permitiendo las circunstancias de la guerra actual que las embarcaciones que han de conducir la correspondencia ul</t>
  </si>
  <si>
    <t>Josef Burdallo</t>
  </si>
  <si>
    <t>Ñoviales en aquel Obispado: para una Canongía déla Catedral de Coria* vacante por fallecimiento de D. Josef Burdallo, á D. Sebastian Piñeros Albarran, Racionero de ella: para la Ración que este obtiene á D. Gregorio Morata Pastor , Capellán de Coro de la misma Catedral: para una Ración de la Cat</t>
  </si>
  <si>
    <t>Josef Bustiilo</t>
  </si>
  <si>
    <t>fD. Alonso Butrón. |D. Josef Alvarez Sotomayor. Guardias Marinas j D. Felipe Marques de la Plata, j D. Josef Bustiilo. ID. Josef Barros. vD. Andrés Pita. OFICIALES DEL EXERCITO. Muertos. Teniente Coronel y Capitán de Gra—&gt; ^ T r ^ ... naderos de Córdoba.:....................!&gt;P- Josef GraaI11Capi</t>
  </si>
  <si>
    <t>Josef Caamaño</t>
  </si>
  <si>
    <t>El Rev se har servido conferir el empleo dé Teniente General de sot' Exércitos al Mariscal de Campo D. Josef Caamaño; y promover á Brigadier de infantería de los mismos á D. Vicente Imperial Digueri y Coronel agre-" gado al Real Cuerpo de Ingenieros, . S. M. ha promovido á Teniente de la Brigada</t>
  </si>
  <si>
    <t>Josef Caballol</t>
  </si>
  <si>
    <t>io de la villa de Piera, Diócesi de Barcelona, vacante por dimisión sucesiva de D. Mariano Rovira , D. Josef Caballol y D. Joaquín Grau, á D. Pablo Riatos. El Rey se ha servido nombrar para una Ración de la Metropolitana de Santiago, vacante por fallecimiento de D.Benito Rodríguez Carvajal, á D. Rafa</t>
  </si>
  <si>
    <t>Josef Cabatféró</t>
  </si>
  <si>
    <t>ah' En Real ói*dén ¿omün'icádá en;30 de Octubre último al Señor Juez de Imprentas por el Excmo. Sr, D. Josef Cabatféró , se ha. servido el Rey nuestro Señor prohibir la introducción e-n él Reyno de tódo diccionario Francés-Español, á instancia de D. Gabriel Sancha, que ha hecho una edición muy cop</t>
  </si>
  <si>
    <t>Josef Cabo</t>
  </si>
  <si>
    <t>12.a id. , Josef Cabo......... Hijo de Vicente y de Vicenta Nieto,</t>
  </si>
  <si>
    <t>Josef Cabrera</t>
  </si>
  <si>
    <t>. Josef Borlasca: Tenencias en los de América y Ordenes Militares á los Subtenientes .de granaderos D. Josef Cabrera y D. Fernando Alvarez; y Subtenencia de bandera en el de Ultonia y el referido de Ñápeles á l©s Cadetes D. jVsef de S. Germán y Capdeviía, D. Antonio de xAndrada y D. Manuel de la Cal</t>
  </si>
  <si>
    <t>Josef Cadahalso</t>
  </si>
  <si>
    <t>pasta: el segundo y tercero se anunciarán al público dentro de unos días. Colección de las obras de D. Josef Cadahalso: 4 tomos en 8.°, que comprehenden los eruditos á la violeta, ó curso completo de todas las ciencias: el suplemento á este famoso curso: D. Sancho García, Conde de Castilla, traged</t>
  </si>
  <si>
    <t>Josef Calderón</t>
  </si>
  <si>
    <t>emedio y S. Bartolomé de la Parroquial de Petrel, Diócesi de Orihuela, vacante por fallecimiento de D. Josef Calderón, á D. Mariano Maestre y Reig. Ei Rey se ha servido conferir el empleo de Coronel del Regimiento de infantería de Toledo al Teniente Coronel del de África , graduado de Coronel, D.</t>
  </si>
  <si>
    <t>Josef Callisava</t>
  </si>
  <si>
    <t>y de fusileros á D. Julián Antezana, D. Evaristo Ximenez , D. Mariano Estevez, D. Fernando Aragón, D. Josef Callisava, D. Antonio de la Vega, D. Josef de Avila y D. Francisco Velasco; y Subtenencias de bandera á D. Domingo Terrona y D. Eusebio Cornejo. El Rey se ha dignado conceder la Compañía fi</t>
  </si>
  <si>
    <t>Josef Calvo, Fernando</t>
  </si>
  <si>
    <t>Fernando Josef Calvo</t>
  </si>
  <si>
    <t>de Sta. Fe, en el Arzobispado de Granada, vacante por fallecimiento de D. JosefRuiz de la Puerta, á D. Fernando Josef Calvo: para una Media-Ración de la Catedral de Granada, vacante por muerte deD. Juan Pedro Palacios ,áDon Miguel de la Vega , Cura de la Parroquial de S. Pedro y S. Pablo de la misma ci</t>
  </si>
  <si>
    <t>la Canongía vacante en la Colegiata de Santa Fé, en el Arzobispado de Granada, por fallecimiento de D. Fernando Josef Calvo, á D. Agustín Perez Zaragoza, electo primer Racionero de la Parroquia de la villa de la Hinojosa de Duero, Diócesi de CiudadRodrigo; y para el Beneficio servidero de la Parroquial</t>
  </si>
  <si>
    <t>Josef Camacho</t>
  </si>
  <si>
    <t>aderos á D. Martin Rivarola, y de fusileros á D. Evaristo Franco, D. Diego Aliaga, D. Juan Cáceres, D. Josef Camacho, D. Martin Terroba, D. Gregorio Zuloaga, D. Josef García y D. Juan Peralta; Ayudantía á D. Josef Romero; Tenencia de granaderos á D. Juan Estevez,y de fusileros á D. Tomas Carreri</t>
  </si>
  <si>
    <t>Josef Canejares</t>
  </si>
  <si>
    <t>Beneficio de la Parroquia de Santa María de Lugo , en el Obispado de Oviedo, vacante por muerte de D. Josef Canejares, á Don Vicente Prudencio de Amor: para el Beneficio de la villa de Guillena, en el Arzobispado de Sevilla, vacante por muerte de D. Diego Andrés Ramírez, á D. Joaquín López, Presb</t>
  </si>
  <si>
    <t>Josef Canet</t>
  </si>
  <si>
    <t>en 4.® Conversaciones sobre la vacuna, muy útiles é importantes, por el Dr. D. Josef Canet, Médico de la ciudad de Tarragona, de su limo. Sr. Arzobispo, y de su muy Ilustre Cabildo &lt;Scc. Esta obra contiene todo lo concerniente al origen, naturaleza y progresos de la vacuna: tra</t>
  </si>
  <si>
    <t>Josef Carrillo</t>
  </si>
  <si>
    <t>, graduado de Coronel, D. Manuel Fabro: Compañía en el de Málaga al Ayudante, graduado de Capitán, D. Josef Carrillo: Tenencia en el de Ñapóles al Subteniente de granaderos D. Pablo Valiñani; y Subtenencia.de bandera en el desamora al Capitán de las Milicias urbanas del Campo deGibraltar D. Nico</t>
  </si>
  <si>
    <t>Josef Caruncho</t>
  </si>
  <si>
    <t>omingo Perez, en el Arzobispado de Toledo, vacante por fallecimiento de D. Antonio Perez Faxardo, á D. Josef Caruncho: para el Beneficio del lugar de Codorniz, en el Obispado de Avila, por promoción de D. Antonio Prieto á una Canongía de la Catedral de Cuenca, á D. Antonio Gutiérrez; y para el Me</t>
  </si>
  <si>
    <t>Josef Castillo</t>
  </si>
  <si>
    <t>pitán, agregado al primero, D. Francisco Xavier Losada Pardo de Figueroa, y al Teniente del segundo D. Josef Castillo: á Teniente de granaderos en el de Ecija al de fusileros D. Cayetano Diaz del Castillo: á Tenientes de fusileros en los de Lorca, Monterey-y Córdoba á D. Fernando Martínez Aguilar</t>
  </si>
  <si>
    <t>Josef Catalan de Ocon</t>
  </si>
  <si>
    <t>ue quiso quedar desconocida, 1 ©; D. Joaquín Gallego Martinez de Bustos, Canónigo de Berlanga, 200; Don Josef Catalan de Ocon , residente en Zaragoza , 400 ; Antonio Ib2rrola y Vicente Valdellou, 200 ; D. Sebastian Herranz, Vicario eclesiástico , y D. Tadeo Hurtado, como patronos de dos obras pías, el pr</t>
  </si>
  <si>
    <t>Josef Cavasalice</t>
  </si>
  <si>
    <t>nes de la Reyna al Alférez D. Francisco Augirot; y en el de Sagünto empleo de Alférez al Portaguión D. Josef Cavasalice. El Rey ha nombrado Coroneles de los Regimientos de Milicias Provinciales de Compostela y Ciudad-Real á D. Francisco Xavier Losada Pardo de Figueroa, Capitán del de Santiago; y á</t>
  </si>
  <si>
    <t>Josef Chamizo</t>
  </si>
  <si>
    <t>ros los de fusileros D. Lorenzo Díaz y D. Manuel Chenard; á Subtenientes de compañía 3os de bandera D. Josef Chamizo y D. Antonio Nuñez; y á esta resulta al Cadete D. Manuel Que ral ta y al Sargento primero D. Josef Moreno. En el de Cuba ha conferido S. M. la Sargentía maj'or al Capitán del de la Ha</t>
  </si>
  <si>
    <t>Josef Chaqué</t>
  </si>
  <si>
    <t>ervido promover á Sargento mayor dei Regimiento de infantería Suizo de Ruttiman al Teniente Górónel D. Josef Chaqué, Capitán de granaderos del mismo; y á Teniente al Subteniente D. Josef Greser : en el de Traxler á Subtenientes de compañía-y de bandera á D. Ulrico' Mayenfisch y D. Pedro á Marca</t>
  </si>
  <si>
    <t>Josef Chaves de la Rosa</t>
  </si>
  <si>
    <t>ervido nombrar para el Obispado de Arequipa , en el Reyno del Perú, vacante „por haberlo renunciado D. Josef Chaves de la Rosa, á D. Luis de la Encina, Arcediano de la Catedral de Canarias. En la extracción extraordinaria de la Real lotería executada el lunes 20 del corriente , saliéron los números 35, 53</t>
  </si>
  <si>
    <t>Josef Chela</t>
  </si>
  <si>
    <t>Cadetes de número á los Supernumerarios D. Toribio Sánchez y D. Josef Mendal; y á Supernumerario á D. Josef Chela. S. M. se ha servido promover á Sargento mayor del Regimiento de infantería de América al Capitán de granaderos del de Extremadura, graduado de Teniente Coronel ,D. Antonio García</t>
  </si>
  <si>
    <t>oaquín de Arcos; á Subrigadier al Cadete D. Cayetano Torreani; á Cadete de número al Supernumerario D. Josef Chela, y á Supernumerario al Guardia D. Josef Boseli: y en la Flamenca á Exénto Supernumerario al Brigadier D. Gerónimo Knapp; á Brigadier al Subrigadier D. Simón Delile; á Subrigadier</t>
  </si>
  <si>
    <t>Josef Chueca</t>
  </si>
  <si>
    <t>isa de la festividad del bafitisimá Sacramento y su octava, según el breviario ^ misal Romano , por D. Josef Chueca y^Mezquita. En esta-octava del Corpus se celébra lo mas subltme-que*la lgitda tiene en sus misterios. Se ha puesto e¡n idioma., castellano para ilustrar a los fieles, ha</t>
  </si>
  <si>
    <t>Josef Cito y Bravo</t>
  </si>
  <si>
    <t>211 Habiendo fallecido en Ñapóles el Teniente Coronel de infantería D. Josef Cito y Bravo, según ei aviso que ha comunicado, con fecha de 22 de Diciembre último por la primera Secretaría de Estado, el Cónsul de S. M. en Pcrtcíongon, jy Máximo Gasperi; se da esta notici</t>
  </si>
  <si>
    <t>Josef Clá, Blas</t>
  </si>
  <si>
    <t>Blas Josef Clá</t>
  </si>
  <si>
    <t>ra la Chantría á D. Antonio Carbonel: para la Maestrescolía á D. Antonio García:para la Tesorería á D. Blas Josef Clá; y para la Canongía que este dexa á D. Bernardo Martinez, Cura del Sagrario de aquella Santa Iglesia: para igual Dignidad de Arcediano de la de Truxillo, vacante por muerte de D.</t>
  </si>
  <si>
    <t>Josef Clairac</t>
  </si>
  <si>
    <t>gimientos de caballería de línea se ha servido S. M. conceder en el del Infante Tenencia al Alférez D. Josef Clairac: en los del Príncipe y Montesa empleos de Alférez á los Portaestandartes D. Manuel Rodríguez y D. Josef Moreno; y en los de Farnesio y Santiago empleos de Portaestandarte á los Ca</t>
  </si>
  <si>
    <t>Josef Claudio Zuñiga</t>
  </si>
  <si>
    <t>e mayor D. Manuel Zequeira: «i Ayudantes mayores los Tenientes D. Ignacio Salazar, de granaderos, y D. Josef Claudio Zuñiga; á Teniente de granaderos al de fusileros D. Manuel Molina; á Tenientes los Subtenientes de granaderos D. Juan Nepomuceno de Castro y D. Josef Manuel González; á Subtenientes de g</t>
  </si>
  <si>
    <t>Josef Clavijo Faxardo</t>
  </si>
  <si>
    <t>Burdeos, Tolosa, Metz, Roma , Stockolmo, Hesse-Homburgo, Hcsse-Cassel, Munich &amp;c., y traducida por D. Josef Clavijo Faxardo, del Consejo de S. M. en el de Hacienda, Director jubilado del Real Gabinete de Historia natural, y miembro de las Academias de Historia natural de Berlín y de Copenhague: tomo xx</t>
  </si>
  <si>
    <t>Josef Clavijo y Faxardo</t>
  </si>
  <si>
    <t>el Jardín botánico de París, y Miembro de las Academias Francesa y de las Ciencias; y traducida por D. Josef Clavijo y Faxardo, del Consejo de S. M. en el de Hacienda, Director jubilado del Real Gabinete de Historia natural, y Miembro de las Academias de Historia natural de Berlín y de Copenhague: tomo 19</t>
  </si>
  <si>
    <t>Josef Clemente Albarran</t>
  </si>
  <si>
    <t>a ciudad de Huete, Diócesis de Cuenca , vacante por fallecísticiua» de fiX Andrés 'Bonomo y Biet, á D. Josef Clemente Albarran.</t>
  </si>
  <si>
    <t>Josef Clemente Aróstegui</t>
  </si>
  <si>
    <t>cina, Canónigo Doctoral de Zamora: para otra de lá Catedral de Cuenca, vacante por fallecimiento de D. Josef Clemente Aróstegui, á D. Cipriano Castellano Cabrejano, Racionero de ella: para otra de la Colegial de S. Salvador de la ciudad de Sevilla, vacante por muerte de D. Pedro Julián Donado , á D. Juan I</t>
  </si>
  <si>
    <t>Joséf Clemot</t>
  </si>
  <si>
    <t>rro; y para el Beneficio simple de Santa María de Lara, de la ciudad de Huete, por fallecimiento de D. Joséf Clemot,á D. Luis Antelo y Mella. El Rey se ha dignado nombrar para una de las 6 Capellanías menores del Real palacio de la ciudad de Palma, Reyno de Mallorca, á D. Antonio Ferrer y May r</t>
  </si>
  <si>
    <t>Josef Colom</t>
  </si>
  <si>
    <t>Tarragona», 66. 12* Josef Colom............... Esteban. .. Mariana, ,,,,,, Reus, ,,, , , Tarragona» » 66. 12» Manuel Forcadell.... Pablo.........Francisca Pallisé, , Ruidoms, ,, T</t>
  </si>
  <si>
    <t>Josef Colombo</t>
  </si>
  <si>
    <t>y sencillas ú D. Mariano Oviedo, D. Estéban Pacheco , D. Francisco Noriega, D. Antonio de la Borda, D. Josef Colombo, D. Antonio García Muñiz, D. Fernando Belon y D.Juan Canabal; Ayudantías á D. Andrés Polvorinos y Don Hilario del Rivero ; Tenencia de carabineros á D. BernaTdino Yepes; y sencill</t>
  </si>
  <si>
    <t>Josef Cordero</t>
  </si>
  <si>
    <t>leros á D. Tomas Carreri,D. Juan Anglés, Don Pascual Toledo, D. Manuel Carpió, D. Francisco Grambel,D. Josef Cordero, D. Ramón Oviedo y D. Juan Cornejo; Subtenencia de granaderos á D. Miguel San Román, y de fusileros á D. Julián Antezana, D. Evaristo Ximenez , D. Mariano Estevez, D. Fernando Ara</t>
  </si>
  <si>
    <t>Josef Cornide Saavedra</t>
  </si>
  <si>
    <t>ria de los Reales Estudios de esta Corte al concluirse el primer año del curso académico: leído por D. Josef Cornide Saavedra; un tomito en 8.° Véndese en la librería de Baylo, calle de las Carretas. Instrucciones ó pláticas para los domingos y fiestas del año: escritas y publicadas en Francés por el lim</t>
  </si>
  <si>
    <t>Josef Cortés</t>
  </si>
  <si>
    <t>o de caballería de laReyna se ha servido el Rey conferir Compañía al Ayudante, graduado de Capitán, D. Josef Cortés: en el de Borbon Ayudantía al Teniente D. Juan de Pozas; y empleo de Portaestandarte al Sargento primero D. Juan Alonso : en el ae Algarbe empleo de Alférez al Portaestandarte D.</t>
  </si>
  <si>
    <t>nte D. Josef María de Lugo. El Rey se ha dignado conceder grado de Teniente Coronel de infantería á D. Josef Cortés, Sargento mayor de Brigada del Real Cuerpo de Ingenieros del exército* También ha promovido S. M. á Teniente en el primer Batallón de Vof luntarios dé Barcelona al Subteniente D.</t>
  </si>
  <si>
    <t>Josef Cruells</t>
  </si>
  <si>
    <t>a Comandancia del tercer Batallón del de León al Sargento mayor del de España, graduado de Coronel, D. Josef Cruells; y Tenencia en el de Voluntarios de Estado al Subteniente D. Josef de Luna. En los Regimientos de Milicias Provinciales ha promovido S. M. en el de Bujalance á Capitán en propieda</t>
  </si>
  <si>
    <t>Josef Dámaso Solano y Peña</t>
  </si>
  <si>
    <t>de Zafra y el lu-gar de Verde el Pino de Huete , en el Obispado de Cuenca, vacantes por renuncia de D. Josef Dámaso Solano y Peña, á Don Juan Antonio Solano y Peña. En atención á los méritos que ha contraído D. Rafael Daniel, Canónigo y Arcediano de Valderas de la Iglesia Catedral de León , en la dirección d</t>
  </si>
  <si>
    <t>Josef Daniel Soechting, Alejandro Fernando Carlos</t>
  </si>
  <si>
    <t>Alejandro Fernando Carlos Josef Daniel Soechting</t>
  </si>
  <si>
    <t>tasada en 73,860 rs. Por la Cámara de Justicia de S. A. S. el Duque Guillermo de Bariera se cita á D. Alejandro Fernando Carlos Josef Daniel Soechting, nacido en el año de 1749, que se halla al servicio de S. M. el Rey de España, y según las últimas noticias suyas de Madrid de 1777 se presume haber pasado á las Áméricas, á que c</t>
  </si>
  <si>
    <t>Josef Daniel Soechting, Alexandro Fernando Carlos</t>
  </si>
  <si>
    <t>Alexandro Fernando Carlos Josef Daniel Soechting</t>
  </si>
  <si>
    <t>enes darán mas señas. Por la Cámara de Justicia de S. A. S. el Duque Guillermo de Baviera se cita á D. Alexandro Fernando Carlos Josef Daniel Soechting, nacido en el año de 1749, que se halla al servicio de S. M. el Rey de España, y según las últimas noticias suyas de Madrid de 1777 se presume haber pasado á las Américas, á que c</t>
  </si>
  <si>
    <t>Josef Daroca</t>
  </si>
  <si>
    <t>66. 12. Josef Daroca........... .. Raymundo Tecla Marturell,,, Selva , , , , Tarragona 66. 12. Josef Bordas.......... Ramón. , , Ana Cabañas, , , , Barcel</t>
  </si>
  <si>
    <t>Josef Dávila</t>
  </si>
  <si>
    <t>: empleo de Alférez de granaderos al Sargento primero DJ Josef Vicente Salas, y sencillos al Cadete D. Josef Dávila, á los Sargentos primeros D. Tomas de Luna y D. Cayetano Cárdenas, y á los vecinos de la jurisdicción del Regimiento D. Antonio Ochoa y D. Basilio Mendizabal; y empleos de Portagu</t>
  </si>
  <si>
    <t>Josef de Adame, Pedro</t>
  </si>
  <si>
    <t>Pedro Josef de Adame</t>
  </si>
  <si>
    <t>ncia de D. Juan Antonio de Zamacola. ' . En el año pasado de 1766 se formó concurso á los bienes de D. Pedro Josef de Adame, vecino de esta Corte, en el que se presentaron varios acreedores á virtud de repetidos emplazamientos, que por edictos se hizo en aquel tiempo; pero .habiendo fallecido los apode</t>
  </si>
  <si>
    <t>Josef de Alarcon Torrubia</t>
  </si>
  <si>
    <t>e completa la obra de las Arengas y Discursos del Canciller D*Aguesseau, traducidos déi francés por D. Josef de Alarcon Torrubia. El aprecio que ha merecido aí público el primer tomo, anunciado en la Gazeta de 11 de Enero» y el nombre de su autor, superior á todo elogio, excusan el que se repitan aquí los q</t>
  </si>
  <si>
    <t>Josef de Amarilla y Huertos</t>
  </si>
  <si>
    <t>estimonio á S. M. el Emperador y Rey. ESPAÑA. Madrid jy de Diciembre. S. M. se ha servido nombrar á D. Josef de Amarilla y Huertos, Inquisidor de Corte, para lá Canongía vacante en la Iglesia de Cuenca por fallecimiento de D. Andrés Tirado: para la Ganongia vacante en la Iglesia de Salamanca por muerte de D.</t>
  </si>
  <si>
    <t>" ? S. M. se.ha servido nombrar para la Canongía, vacante en laGatedral de Cádiz, por promoción de D. Josef de Amarilla y Huertos á la dé Cuenca, vacante por muerte de D.Andrés Tirado, á D. Mariano Martin Esperanza, Rector de la EJniversi lad de Aléala: para la Media-Ración, vacante en lá Sarita Iglesia, de</t>
  </si>
  <si>
    <t>Josef de Ampudia</t>
  </si>
  <si>
    <t>n el Real Cuerpo de Ingenieros del exército ha promovido S. M. á Director Subinspector al Brigadier D. Josef de Ampudia, Coronel de dicho Cuerpo. En los Regimientos de caballería de línea se ha dignado S. M. conferir en el del Infante Compañía al Ayudante, graduado de Capitán, Don Josef Alarcon: em</t>
  </si>
  <si>
    <t>Josef de Anduaga</t>
  </si>
  <si>
    <t>iones á 60. Arte de escribir por reglas y sin muestras: un tomo en 4.0, á 26 rs. en pasta: su autor D. Josef de Anduaga. Compendio del arte de escribir por reglas y sin muestras, para uso de las Reales Escuelas de los Sitios de S. Ildefonso y Balsain, y de S. Isidro el Real de esta Corte , por el m</t>
  </si>
  <si>
    <t>ispo de Rearmonda, está encargado de esta función, para cuyo efecto ha venido ai Haya. El Caballero D. Josef de Anduaga, Ministro plenipotenciario de S. M. Católica cerca del Gobierno Bátavo, ha hecho celebrar esta mañana una misa solemne de difuntos por el alma de D. Ignacio María de Corral, Minis</t>
  </si>
  <si>
    <t>Josef de Arata</t>
  </si>
  <si>
    <t>e Coronel, graduado de Coronel, D. Francisco Nuñez; esta resulta al Comandante, graduado de Coronel,D. Josef de Arata; la de este al Sargento mayor el Coronel D. Ildefonso Larrauri;y la que este dexa al Capitán de granaderos, graduado de Teniente Coronel, D. Rodrigo de la Rocha. También ha promov</t>
  </si>
  <si>
    <t>Josef de Avila</t>
  </si>
  <si>
    <t>aristo Ximenez , D. Mariano Estevez, D. Fernando Aragón, D. Josef Callisava, D. Antonio de la Vega, D. Josef de Avila y D. Francisco Velasco; y Subtenencias de bandera á D. Domingo Terrona y D. Eusebio Cornejo. El Rey se ha dignado conceder la Compañía fixa veterana de nueva creación del castillo de</t>
  </si>
  <si>
    <t>Josef de Ayala, Manuel</t>
  </si>
  <si>
    <t>Manuel Josef de Ayala</t>
  </si>
  <si>
    <t>espacho, la plaza de Ministro de Capa y Espada, vacante en dicho Consejo, por fallecimiento del Sr. Don Manuel Josef de Ayala. Y ha nombrado para la última plaza de la referida Secretaría, vacante por la salida de dicho Sr. D. Zenon Alonso,á Don Francisco Xavier Adeli y de Bie, en consideración á su apti</t>
  </si>
  <si>
    <t>Josef de Bal</t>
  </si>
  <si>
    <t>construcción : las utilidades que traerá su uso; y las ventajas que hará al d!e la navegación; por D. Josef de Bal goma, Oficial de la Contaduría general de Millones • Se hallarás en la librería y puesto de Cerro, calle de Alcalá#</t>
  </si>
  <si>
    <t>Josef de Bravo y Heredia</t>
  </si>
  <si>
    <t>tiene. También se ha servido nombrar para eí Corregimiento de Letras de la ciudad de Velez-Málaga á D. Josef de Bravo y Heredia: para el de la villa de Tordesillas á D. Alonso Martin Marques Brioso: para la Vara de Alcaide mayor de la ciudad de Antequera á D. Pablo Jover y Placies; y para la de las ciudade</t>
  </si>
  <si>
    <t>Josef de Bureau y Dusmet</t>
  </si>
  <si>
    <t>e Diciembre.......................... 55 En 18 de Junio último falleció en esta Corte el Excmo. Sr. D. Josef de Bureau y Dusmet, Teniente General de los Reales Exércitos,y Teniente Coronel de Reales Guardias de infantería Walona, en cuyo Cuerpo empezó su carrera militar de Cadete; la continuó por todos sus</t>
  </si>
  <si>
    <t>Josef de Cangas</t>
  </si>
  <si>
    <t>D. Francisco de Oberto y D. Bartolomé Cordero; y de Subtenientes á los Cadetes D. Andrés Vaibuena , D. Josef de Cangas y D. Lorenzo de Cangas. El Teniente de Navio D. Manuel Moscoso Peñaranda ha dad© cuenta al Excmo. Sr. Generalísimo Príncipe de ja Paz del combate que sostuvo el dia 27 de Abril, contr</t>
  </si>
  <si>
    <t>Josef de Carmona</t>
  </si>
  <si>
    <t>bre Padre Josef Francisco de Isla, de la extinguida Compañía de Jesús, contra un libro que escribió D. Josef de Carmona, Cirujano de la ciudad de Segovia, intitulado Método racional de curar sabañones: van añadidas en esta última edición 4 cartas, en que responde el Padre Isla á un anónimo preguntó</t>
  </si>
  <si>
    <t>Josef de Castro</t>
  </si>
  <si>
    <t>andez y D. Josef Martínez; y los Seminaristas D. Manuel Abbad, el Cadete de Reales Guardias Walonas D. Josef de Castro, D. Eugenio de Zuloaga y D. Félix Gilman, Cadete del dicho Real Cuerpo. Madrid 12 de Marzo. Antes de ayer se vistió la Corte de gala en el Real Sitio de Aranjuez con motivo del cu</t>
  </si>
  <si>
    <t>rgento mayor al Capitán de granaderos D. Martin de Medina; y á esta resulta al Capitán de fusileros D. Josef de Castro. El Rey se ha servido conferir la Tenencia Coronela del Regimiento de infantería de Puebla, en el Reyno de Nueva-España , al Teniente Coronel D. Manuel Remon, Sargento mayor del d</t>
  </si>
  <si>
    <t>Josef de César</t>
  </si>
  <si>
    <t>l laudable patriotismo promovido en esta.villa de Bilbao por los individuos D. Ramón de Mazarredo , D. Josef de César , y otros Caballeros que voluntariamente se han propuesto contribuir y fomentar una subscripción en beneficio de las viudas y desgraciadas familias de los marineros Vizcaínos que</t>
  </si>
  <si>
    <t>Josef de Estrada, Juan</t>
  </si>
  <si>
    <t>Juan Josef de Estrada</t>
  </si>
  <si>
    <t>o D. Josef Moreno. En el de Cuba ha conferido S. M. la Sargentía maj'or al Capitán del de la Havana D. Juan Josef de Estrada; y ha promovido á Capitanes á los Tenientes D. Domingo Branly, Ayudante mayor, D. Josef María .de Solves, de granaderos, y D. Joaquín Borruitiner, Ayudante mayor graduado de Capit</t>
  </si>
  <si>
    <t>Josef de Fabrega</t>
  </si>
  <si>
    <t>erds-al Ayudante D. Ffancisí co Arosemena, y á tos: Tenientes D. Rafael Zorrilla, D. Manuel Yuste f D. Josef de Fabrega; á Ayudante y* Teniente de granaderos á los de fusU leros D. Nicolás Reinon y D. Baltasar de Áyala; á Tenientes de fusileros á los Subtenientes D. Antonio de Fabrega, D. Josef de</t>
  </si>
  <si>
    <t>Josef de Fromista</t>
  </si>
  <si>
    <t>s Reinon y D. Baltasar de Áyala; á Tenientes de fusileros á los Subtenientes D. Antonio de Fabrega, D. Josef de Fromista, D. Luis Paredes, D. Antonio García y D. Francisco Ximénez; á Subtenientes de fusileros al Sargento primeto D. Sebastian Beasini , y á lós Cadetes D. Manuel Rodríguez y D. Justo P</t>
  </si>
  <si>
    <t>Josef de Gajli</t>
  </si>
  <si>
    <t>sas Capuchinas de Madrid; y para un Beneficio de la referida Metropolitana, vacante por renuncia de D. Josef de Gajli, á D. Francisco Antolin Ruiz de Osuna. En el Regimiento de infantería del Príncipe se ha servido el Rey promover á Subteniente de bandera ai Cadete D. Pedro Morales: en el de Mall</t>
  </si>
  <si>
    <t>Josef de Gamboa, Juan</t>
  </si>
  <si>
    <t>Juan Josef de Gamboa</t>
  </si>
  <si>
    <t>nto de D. Josef Ruiz de Conejares, al Tesorero D. Juan Antonio Bruno: para la Tesorería al Canónigo D. Juan Josef de Gamboa: para la Canongía al Racionero D. Juan Pablo Chaves; y para esta resulta á D. Josef María Bucheli, Medio- Racionero de la misma Iglesia ; y para una Ración de la Catedral del Nuev</t>
  </si>
  <si>
    <t>Josef de Godoy</t>
  </si>
  <si>
    <t>venido &lt;1 Rey en conferirle el Gobierno del Consejo de Hacienda, vacante por fallecimiento del Sr. D. Josef de Godoy. ,, S. M. ha venido en nombrar para el Obispado de Astorga, vacante por muerte de D. Francisco Gutiérrez Vigil,áD. Vicente Martínez y Ximenez, Magistral de la Iglesia de Cartagena</t>
  </si>
  <si>
    <t>Josef de Guerra</t>
  </si>
  <si>
    <t>S, M. se ha dignado conceder en el Batallón de Milicias urbanas de Chucuyto el empleo de Coronel á D. Josef de Guerra; la Tenencia Coronela á D. Julián de los Ríos; la Sargentía mayor á D. Martin Rodríguez de Cea; Compañía de granaderos á D. Juan Carrion, y de fusileros á D. Manuel Caballero, D.</t>
  </si>
  <si>
    <t>Josef de Ibaseta</t>
  </si>
  <si>
    <t>nta. A mediados del mes de Diciembre último se remitió por el correo de la ciudad de $•. Sebastiamá D. Josef de Ibaseta , vecino de esta Corte , un Vale Real de 150 pesos de i.° de Enero, núm. 329841 , con el último endoso á favor de Don Domingo I i i i a r i o de Ibaseta; y habiéndose extraviado,</t>
  </si>
  <si>
    <t>Josef de la Ballina</t>
  </si>
  <si>
    <t>a casa sita en esta Corte. Ei que quiera tratar de compra ó de permuta, acuda á casa del Arquitecto D. Josef de la Ballina, plazuela de Jas Descalzas Reales, quien tiene lo* conocimientos y facultades del dueño necesarios para ** CA voluntad de su dueño se vende una casa en el lugar de Villaverde, de</t>
  </si>
  <si>
    <t>Josef de la Bársena</t>
  </si>
  <si>
    <t>ncipe en Nueva-España se ha servido S. M. promover á Capitanes á los Tenientes D. Josef Ga«* miño y D. Josef de la Bársena; á Tenientes á los Alféreces D. Leonardo Sánchez, D. Miguel Arroyo Ríos y.D. Francisco Carrillo ; á Alféreces á los Portaguiones D. Manuel Fernandez Alonso, D. Mariano de Otero y</t>
  </si>
  <si>
    <t>Josef de la Cerda y Palafox</t>
  </si>
  <si>
    <t>contra el egoísmo: D. Pascual Rodenas otra en celebridad de la junta pública: y se concluyó leyendo D. Josef de la Cerda y Palafox una anacreóntica dirigida á los niños premiados. Madrid i.° de Enero de j80g. Ayer se vistió la Corte de gala en el Real Sitio de S. Lorenzo, en celebridad del cumpleaños del Seño</t>
  </si>
  <si>
    <t>Josef de la Cueva</t>
  </si>
  <si>
    <t>número á los Supernumerarios D. Felipe Lorieri y D. Francisco Puerta, y á Supernumerario ai Guardia D. Josef de la Cueva. S. M. se ha servido conferir la Comandancia del tercer batallón del Regimiento de infantería de la Princesa al Sargento mayor del de Zamora, gra^ duado de Teniente Coronel, D. Ju</t>
  </si>
  <si>
    <t>r D. Diego Oviedo.; á Subrigadier al Cadete D. Tomas Castilla; á Cadete de número al supernumerario D. Josef de la Cueva, y á supernumerario al Guardia D. Joaquín Somaio. En el Regimiento de infantería de Córdoba se ha servido el Rey promover á Subteniente de bandera al Sargento primero distinguido</t>
  </si>
  <si>
    <t>Josef de la Osa, Pedro</t>
  </si>
  <si>
    <t>Pedro Josef de la Osa</t>
  </si>
  <si>
    <t>Compañía en el esquadron de dragones Vblüntarios del Corozal, én el Reyno de Santa Fe, al Teniente D. Pedro Josef de la Osa; Tenencia al Alférez D..Miguel Rus; y empleo de Portaguión al Sargento segundo distinguido D. Basilio Estrada. Asimismo en el Regimiento de dragones Provinciales de Puebla se ha d</t>
  </si>
  <si>
    <t>Josef de la Serna</t>
  </si>
  <si>
    <t>de Fragata. D. Benito Bermudez de Castro, muerto: D. Juan Balsola, herido: D. Nicolás del Rio id.: D. Josef de la Serna id.: Don Diego del Castillo id.: D. Gerónimo Obregon id. Teniente de Brulote. D. Jacobo Alemán, herido. Contramaestre de Esquadra. D. Miguel García, muerto. Guardias Marinas. DvGe</t>
  </si>
  <si>
    <t>l Cadete D. Víctor Gugger. V Al Capitán primero del tercer Regimiento del Real Cuerpo de Artillería D. Josef de la Serna se ha servido S. M. conferir la Sargentía mayor del segundo Regimiento del propio Cuerpo. S. M. se ha servido oonferir una Subtenencia en la Brigada veterana de Artillería de Cana</t>
  </si>
  <si>
    <t>Josef de la Vega Vázquez</t>
  </si>
  <si>
    <t>en la citada vinculación los bienes raíces sitos en dicha villa, que en concepto de libres compró á D. Josef de la Vega Vázquez, descendiente del D. Lorenzo; en inteligencia que se les administrará justicia en lo que Ja tuvieren, y de no hacerlo les parará el perjuicio que haya lugar. Por la audiencia del</t>
  </si>
  <si>
    <t>Josef de la Vega y Bolaño</t>
  </si>
  <si>
    <t>is de Jaén, por muerte de D. Francisco Izquierdo, y no haber acudido á recoger la Real presentacion'D. Josef de la Vega y Bolaño, áquien había nombrado en decreto de 21 de Octubre del año próximo pasado, á D. Francisco Alfonso Navarro; y para el Beneficio simple de Santa María de Lara, de la ciudad de Huete</t>
  </si>
  <si>
    <t>Josef de Lambarri, Pedro</t>
  </si>
  <si>
    <t>Pedro Josef de Lambarri</t>
  </si>
  <si>
    <t>incial de dragones de laReyna,eñ&gt;Nueva-España, se ha servido el Rey promover' á Capitán al Teniente D. Pedro Josef de Lambarri ; á ,Teniente el Alférez T}. Josef .M^riapo ^.basolp , y á Alfé-&gt; yez á D, tránci^cq S^ntiagcy Sánteficés, vecino dé ;la júfisdiOcióú del Regimiento. . \ .. . ; S. M. se ha servid</t>
  </si>
  <si>
    <t>Josef de Lexarza, Juan</t>
  </si>
  <si>
    <t>Juan Josef de Lexarza</t>
  </si>
  <si>
    <t>ros al de fusileros D. Pedro Monroy; á Subtenientes de compañía’á los de bandera D. Agusrin Iturve, D. Juan Josef de Lexarza, D. Ruperto Mier y D. Bernardino Pini; y á Subtenientes de bandera á D. Josef Joaquín Ramonet, D. Isidro Puente, D. Diego Abarca y D. Josef Anastasio Borbon, vecinos de la jurisdi</t>
  </si>
  <si>
    <t>Josef de Luna</t>
  </si>
  <si>
    <t>ña, graduado de Coronel, D. Josef Cruells; y Tenencia en el de Voluntarios de Estado al Subteniente D. Josef de Luna. En los Regimientos de Milicias Provinciales ha promovido S. M. en el de Bujalance á Capitán en propiedad al Teniente de granaderos D. Francisco de Cisneros, y á Supernumerario al</t>
  </si>
  <si>
    <t>Josef de Masdevall</t>
  </si>
  <si>
    <t>icaz y seguro método de curar las calenturas pútridas y malignas, por el Dr. D. Josef de Masdevall, Médico que’ fué de Cámara con exercicio de S. M. Católica. Se hallará en la librería de Villareal, cali- de las &lt; arretas. Ar-ngav v. Discursos del Canciller D'Aguesseau, traducidos del</t>
  </si>
  <si>
    <t>Josef de Mauleon</t>
  </si>
  <si>
    <t>Jos de Segovia, Monterey, Xerez y Toledo á D. Bernabé López de Castro, D. Josef Salgado de Araujo, D. Josef de Mauleon y D. Josef Banfi. Habiendo mandado el Rey que los Catedráticos farmacéuticos, separados de los Reales Colegios de Cirugía por no necesarios en ellos, sean colocados en las Cátedras de</t>
  </si>
  <si>
    <t>Josef de Miramon</t>
  </si>
  <si>
    <t>la. En America. El Rey se ha servido conferir ¿1 empleo de Sargento mayor de la plaza de Veracruz á D. Josef de Miramon, Capitán primero del Batallón de infantería ligera de-Voluntarios de Barbastro. A voluntad de su dueño se vende una casa sita en el lugar de Carabanchei de abaxo, calle del Sacris</t>
  </si>
  <si>
    <t>Josef de Molina y Martel</t>
  </si>
  <si>
    <t>lla á la Canongía que resultó vacante en la misma Iglesia por ascenso de D. Josef Antonio Priego, á D. Josef de Molina y Martel; y para la Medía Ración de la Catedral de Sigüenza, vacante por promoción de D. Gabriel Cayetano Gallego á Ración entera de la propia Iglesia , á D. Vicente Romero Campos, Cura de</t>
  </si>
  <si>
    <t>Josef de Odriozola</t>
  </si>
  <si>
    <t>Gutiérrez, natural de Madrid, de 25 años. Premios segundos. Medallas de oro de 2 onzas. Pintura, á D. Josef de Odriozola‘, natural de Cesíona, de 20 años. Escultura; á D. Rafael Plañiol, natural de Madrid, de 24 años. Otro igual á D. Santiago Balleto, natural de Génova , de 24 años. Arquitectura, *a</t>
  </si>
  <si>
    <t>Josef de Ortega</t>
  </si>
  <si>
    <t>e infantería de Zaragoza* se ha-servido el&lt; Rey conferir Compañía al Ayudante, graduado de Capitana D. Josef de Ortega; y Subtenencia de bansíera en el de España al Sargento ptímero de granaderos Di Juan Bazam ' • - - • • Y Igualmente se ha servido S. M. promover á Subteniente de bandera det prime</t>
  </si>
  <si>
    <t>Josef de Osma</t>
  </si>
  <si>
    <t>rvido conferir en el Regimiento de infantería de Navarra Compañía al Ayudante, graduado de Capitán, D. Josef de Osma: en el de América Tenencia al Subteniente de granaderos D. Josef Barre- : ra; y en el de la Reyna Subtenencia de bandera al Cadete del de Cantabria D. Vicente Fernandez de Luna. -</t>
  </si>
  <si>
    <t>Josef de Pascual, Juan</t>
  </si>
  <si>
    <t>Juan Josef de Pascual</t>
  </si>
  <si>
    <t>entaren en la escribanía del número que en la ciudad de Vélez-Málaga,. del Reyno*de Granada, exeree D. Juan Josef de Pascual¡.quien estimulado de su conciencia da este paso, y ofrece facilitar los instrumentos necesarios, sin otra*recompensa que la satisfacción que le ha de resultar en que se consiga* u</t>
  </si>
  <si>
    <t>Josef de Peñas y Espejo</t>
  </si>
  <si>
    <t>. Juan Josef Toledo; y esi ei de la Princesa al Cadete del primer batallón de Voluntarios de Aragón D. Josef de Peñas y Espejo. En cumplimiento de las Reales Cédulas de S. M. de 15 de Juiioy 29 de Noviembre de 1797» se recibirán en la Tesorería mayor y en las de Exército desde i.° de Junio próximo las acc</t>
  </si>
  <si>
    <t>Josef de Roo, Cayetano</t>
  </si>
  <si>
    <t>Cayetano Josef de Roo</t>
  </si>
  <si>
    <t>ra vina Catíongía de la Catedral de Buenos-Ayres, vacante por fallecimiento de D. Vicente Arroyo, á D. Cayetano Josef de Roo; y para la Media-Ración que dexa en ella á D. Juan Antonio Guzman, Cura en aquella Diócesi. ' £n los Regimientos de Milicias de Lima se ha servido'igualmente 5. M. conceder Compañ</t>
  </si>
  <si>
    <t>Josef de Rosales</t>
  </si>
  <si>
    <t>el difunto, y les pertenece en el citado destino de Portolongon. ^ coTTeQ ¿e Febrero último dirigió D. Josef de Rosales, de Madrid, i D. Manuel Pinos, Administrador de la .Encomienda de Sancti-Spiritus, 4 vales Reales de 150 pesos de la creación de i.° de Enero, nums. 320380, 323621, «27182 227*28:</t>
  </si>
  <si>
    <t>Josef de Silva</t>
  </si>
  <si>
    <t>te de Don Josef Alvarado , á D. Pablo Laurnaga; y para la Tesorería que dexa áD.Josef de Silva , Canónigo Magistral de la. misma Iglesia. Para una Canongía de ■la de la Ha vana* vacante. por fallecimiento de D. Ambrosio; ¿de las Cuevas, á D. Julián Josef del Barrio; y para la Ración q</t>
  </si>
  <si>
    <t>a, á D. Domingo Larrion: para el Árcedianato que este dexa á Don Pablo Laurnaga: para la Chantría á D. Josef de Silva: para la Tesorería al Canónigo D. Bartolomé Matute: para su Canongía á D. Pedro Nolasco de Toro : para la Ración que este dexa á D. Francisco Xavier de Irurzun ; y para la Media-R</t>
  </si>
  <si>
    <t>Josef de Tayas</t>
  </si>
  <si>
    <t>de RivadeSella para el logro de esta recoEn la Gazeta de t4 del presente se puso por equivocación a D. Josef de Tayas, Subteniente de bandera del Regimiento de Malaga, debiendo decir á I). Joaquín de Tayas. Habiéndose aprobado por el Real Consejo de las Ordenes él segundo y último remate de los f</t>
  </si>
  <si>
    <t>Josef de Torres</t>
  </si>
  <si>
    <t>darte D. Francisco Julián ; y en el de Algarbe empleo de Portaestandarte al Cadete del de Alcántara D. Josef de Torres. V: En los Regimientos de caballería ligera igualmente, se ha servido S-.AJ. conceder en el de cazadores de Pavía el empleo de Ayudante al Tulliente D. Antonio Lariz; y en el de h</t>
  </si>
  <si>
    <t>Josef de Ulibarri</t>
  </si>
  <si>
    <t>es Provinciales de Mechoacan , en Nueva-España, se ha servido el Rey promover á Teniente al Alférez D. Josef de Ulibarri; y nombrar Alféreces y Portaguiones de este mismo Cuerpo á D. Domingo de Torres, D. Francisco Gutiérrez de la Lama, D. Tuan Manuel Cabello, D. Manuel de la Torre, D. Ignacio Olart</t>
  </si>
  <si>
    <t>Josef de Vargas Varaez</t>
  </si>
  <si>
    <t>Felipe Jado Cagigal, id., herido en el S., Agustín: D. Cayetano Valaés, id., herido en el Neptuno: D. Josef de Vargas Varaez, id., herido en el S. Ildefonso. Capitanes de Navio. D. Francisco de Alcedo y Bustamante, Comandante, muerto en el Montañés: D. Josef Gardoqui, id., herido en el Sta. Ana: D. Igna</t>
  </si>
  <si>
    <t>Josef de Vi</t>
  </si>
  <si>
    <t>los Regimientos Provinciales á Capitanes de granaderos de los de Córdoba y Toro á los de fusileros D. Josef de Vi— llacevallos y D. Antonio Carrasco: á Capitán de fusileros del de Soria al Teniente de granaderos D. Josef Paredes: ¿Teniente de granaderos del de Betanzos al de fusileros D. Feli</t>
  </si>
  <si>
    <t>Josef de Viera y Clavijo</t>
  </si>
  <si>
    <t>fábricas, producciones naturales y comercio, con les principales sucesos de los últimos siglos, por D. Josef de Viera y Clavijo, Presbítero, del mismo Obispado: 4 tomos en 4.0 Se hallarán en la librería de Dávila, calle de las Carretas. Dialectos músicos, en que se manifiestan los mas principales elementos</t>
  </si>
  <si>
    <t>Josef de Vinuesa</t>
  </si>
  <si>
    <t>lá ,48 rs. cada quaderno en negro y 20 iluminado. Discursos sobre los diezmos laycales, por el Lie. D. Josef de Vinuesa, Abogado de los Reales Consejos, actual Corregidor de Carrion de los Condes: obra original en sudase, necesaria para todos los Jueces y Abogados, y útil á todos los legos percepto</t>
  </si>
  <si>
    <t>Josef de Vlarcon Torrubia</t>
  </si>
  <si>
    <t>cali- de las &lt; arretas. Ar-ngav v. Discursos del Canciller D'Aguesseau, traducidos del francés por D. Josef de Vlarcon Torrubia. Esta obra, bien conocida, no necesita otra recomendación que el nombre de su autor , ilustre en la república literaria. El amor al propio estado, la censura pública, la grandeza</t>
  </si>
  <si>
    <t>Josef de Waílis, Conde</t>
  </si>
  <si>
    <t>Conde Josef de Waílis</t>
  </si>
  <si>
    <t>mer Burgrave y Presidente de la Regencia del Reyno de Bohemia; y para estas resultas ha nombrado al Conde Josef de Waílis, Consejero íntimo y Gobernador de Silesia y de Moravia. Bámberg 29 de Juíiio. » El Profesor Olee, redactor de la Gazeta de esta ciudad, ha insertado en ella la descripción de un m</t>
  </si>
  <si>
    <t>Josef de Zayas</t>
  </si>
  <si>
    <t>eniente, graduado de Capitán, D. Armando Franquen: en el de Málaga Subtenencia de bandera al Cadete D. Josef de Zayas; y en el de Nápoles Ayudantía al Teniente Don Juan de Medina, y Subtenencia de bandera al Cadete del Inmemorial del Rey D. Ramón Texeyro. J El Rey se ha servido conferir el Gobier</t>
  </si>
  <si>
    <t>Josef Decloiiet</t>
  </si>
  <si>
    <t>fusileros D. Antonio Coudougnan, D. Rafael Croquer y D. JoseF Cortes; á Tenientes los Subtenientes D. Josef Decloiiet, D. Luis</t>
  </si>
  <si>
    <t>Josef del Aguila</t>
  </si>
  <si>
    <t>udades de Antequera , á D. Joaquín Bernad y Vargas; de Plasencia, en la Provincia de Extremadura, á D. Josef del Aguila; y de Ecija á D. Juan de Nava y Noroña. También ha nombrado S M. para el Corregimiento de Letras de la ciudad de Soria á D. Martin Xavier de Muzquiz : para igual Corregimiento del</t>
  </si>
  <si>
    <t>Josef del Barrio, Julián</t>
  </si>
  <si>
    <t>Julián Josef del Barrio</t>
  </si>
  <si>
    <t>ara una Canongía de ■la de la Ha vana* vacante. por fallecimiento de D. Ambrosio; ¿de las Cuevas, á D. Julián Josef del Barrio; y para la Ración que dexa á D.Manuel Guerrero Sánchez, Medio-Racionero de ella; y para la Ración, que vacó por jimerte de P. Juan Manuel de España, en la Catedral de ia Puebla de</t>
  </si>
  <si>
    <t>Josef del Campillo</t>
  </si>
  <si>
    <t>omes d.e IX Pablo de Santa María, Obispo de Búrgps, el Padre Diego lainez, Fr. Gerónimo de Gracian, D. Josef del Campillo, D. Francisco de Mendoza y Bobadilla, y D. Alfonso de Cartagena, dibuxados y grabados por los mejores profesores.Españole*. Véndese á 60 rs. con el epítome y á 50 sin él en el des</t>
  </si>
  <si>
    <t>Josef del Campo</t>
  </si>
  <si>
    <t>duado de Capitán, D. Antonio Canam; y en el de Santiago Compañía al Ayudante, graduado de Capitán , D. Josef del Campo. Igualmente se ha servido el Rey conceder Tenencia en el Regimiento de dragones de la Reyna al Alférez D. Francisco Augirot; y en el de Sagünto empleo de Alférez al Portaguión D.</t>
  </si>
  <si>
    <t>Josef del Castillo</t>
  </si>
  <si>
    <t>s Provinciales las Tenencias de .granaderos de los de Guadix y Córdoba á los Tenientes de fusileros D. Josef del Castillo y D. Josef Castilla: Tenencias de fusileros en los de Pontevedra, Santiago, Ecija y Sevilla á los Subtenientes D. Rafael Ayerdi, Don Ramón Ribadulla, J&gt;. Francisco Calderón, y D. Gasp</t>
  </si>
  <si>
    <t>Josef del Rio</t>
  </si>
  <si>
    <t>e Mangudo: para una Canongía de la Colegial de Antequera, Diócesi de Málaga , vacante por muerte de D. Josef del Rio, á D. Josef López Mañas , Racionero de ella: para la Ración que este dexa á D. Francisco de Arteaga y Roxas:para otra Ración de la Colegial de Soria,Diócesi de Osma, vacante por p</t>
  </si>
  <si>
    <t>Josef Demblans</t>
  </si>
  <si>
    <t>a Bermudez,D[. Francisco Goel, D. Ildefonso Pozo; y D. Joaquín Verástegui ; en Geometría1 elemental D. Josef Demblans: en la elemental y práctica D. Antonio Salazar, D. Miguel Horcasitas y D. Pedro Giroud; en Cosmografía y Geografía D. Juan Villapol, y en Trigonometría plana y esférica, Cosmograf</t>
  </si>
  <si>
    <t>Josef Díaz</t>
  </si>
  <si>
    <t>D. Francisco Rodríguez y D. Josef Guiordanengo; á Tenientes á D. Manuel Ayesa, D. Francisco Arroyo, D. Josef Díaz, D. Andrés Postigo y D. Juan Veiazquez , los tres últimos de granaderos; á Subtenientes de granaderos los de fusileros D. Tomas Gandía, D. Francisco Martínez y D. Domingo Postigo;</t>
  </si>
  <si>
    <t>ro Suero Lobato; y á Capitán segundo en el Batallón de Voluntarios de Barbastro al segunda Ayudante.D. Josef Díaz.</t>
  </si>
  <si>
    <t>Josef Díaz Bermudo</t>
  </si>
  <si>
    <t>lle de íguña á Don Vicente Manuel de la Hoz; y de la villa de la Orotava en las Islas de Canarias á D. Josef Diaz Bermudo; y para el Corregimiento de Letras de la villa de Utiel á D. Isidro de. Alcalá. En América. S. M. se ha dignado conceder en el Regimiento de Milicias urbanas de dragones de Azanga</t>
  </si>
  <si>
    <t>Josef Diego García de Ñera</t>
  </si>
  <si>
    <t>ía: para una Canongía de la Colegial de Baeza, en la Diócesis de Jaén, vacante por fallecimiento de D. Josef Diego García de Ñera, á D. Juan de Campos, Cura de la Parroquial de S. Pablo de aquella ciudad: para el Préstamo de Domingo Perez, en el Arzobispado de Toledo, vacante por fallecimiento de D. Antonio</t>
  </si>
  <si>
    <t>Josef do Vera y Pantoja, Pedro</t>
  </si>
  <si>
    <t>Pedro Josef do Vera y Pantoja</t>
  </si>
  <si>
    <t>l otro por promoción de D. Antonio Orduña á la Dignidad de Tesorero de la Catedral de Plasencia , á D. Pedro Josef do Vera y Pantoja. El Rey se ha servido conferir el empleo de Guarda-Almacén extraordinario de Artillería de la plaza de Jaca á D. Pedro Benito Fernandez. El Capitán de Navio D. Hermenegildo Barred</t>
  </si>
  <si>
    <t>Josef Doblado</t>
  </si>
  <si>
    <t>gravedad. Esta obra y las que vayan saliendo de esta clase se hallarán en la imprenta y librería de Don Josef Doblado, su inventor, calle de Barrioauevo, casa núm. 22,quarto principal.</t>
  </si>
  <si>
    <t>Josef Domingo Qmlin</t>
  </si>
  <si>
    <t>Sargento primero D» Antonio Sppey; y en el de Betschart á Subteniente de granaderos al de fusileros D. Josef Domingo Qmlin» . s . En ios Cuerpos Provinciales ha promovido el Rey á Capitanes en ios de León, Córdoba., Guadix’y Pontevedra á los Tenientes D. Francisco García Bernarda, D. Manitel de Gracia</t>
  </si>
  <si>
    <t>Josef Domínguez</t>
  </si>
  <si>
    <t>. Santiago Jayme : a Subtenientes de granaderos de ios de Monte: re y y Segó vía á los de fusileros D. Josef Domínguez y D. Bernabé Lope? de. Castro; y ha nombrado Subtenientes de bandera de los, de Bach}oz, Jaén, Logroño , Tuy, Oviedo, Segovia y Lugo á D, Alonso Sánchez Diosdado, P. Juan de Lomas, D.</t>
  </si>
  <si>
    <t>Josef Domínguez y Francisco Valdelomar</t>
  </si>
  <si>
    <t>ey-y Córdoba á D. Fernando Martínez Aguilar, Teniente, agregado, y á los Subtenientes de granaderos D. Josef Domínguez y Don Francisco Valdelomar : á Subteniente dé granaderos en el de Avila álj de fusileros D. Benito Rubio Bpc&amp;negra; y á Subteniente de bandera en el de Monterey á D.'- Josef López Romero. “ ' ° En el Regimi</t>
  </si>
  <si>
    <t>Josef Ducascal</t>
  </si>
  <si>
    <t>Centellas ; y á Subtenientes de bandera en los de España y Jaén á ios Cadetes de los mismos Cuerpos D. Josef Ducascal y D. Josef Mateos. S. M. se ha servido conceder Tenencia en el Regimiento de infantería de Toledo ai Subteniente de granaderos D. Francisco Postigo; y Subtenencias de bandera en los d</t>
  </si>
  <si>
    <t>Josef Elia</t>
  </si>
  <si>
    <t>cíe León, vacante por fallecimiento de D. Vicente Sánchez, á D. Josef Elia* Velez Cosío. El Rey se ha servido nombrar para una Capellanía de numero, vacante en la Catedral de Patencia, por fallecimiento de D. Jacinto Moro Benito, á-D. Silverio de la Vega</t>
  </si>
  <si>
    <t>Josef Elias Manso</t>
  </si>
  <si>
    <t>ento de caballería del Rey se ha servido S. M. conferir Cotopañía al Ayudante, graduado de Capitán, D. Josef Elias Manso; y en el de España Ayudantía al Teniente D. Santiago Resa. El Rey se ha. servido conferir el Gobierno del fuerte del Grao de Valencia al Capitán D. Bernardo Aliaga, Cadete de la C</t>
  </si>
  <si>
    <t>Josef Escovar</t>
  </si>
  <si>
    <t>promover á Ayudante en el Regimiento de infantería de Extremadura al Teniente, graduado de Capitán, D. Josef Escovar: á Teniente en el de la Princesa al Subteniente D. Juan Carvajal; y á Subteniente de bandera en el de Toledo al Sargento primero de granaderos D. Pedro Payo. En América. £1 Rby se</t>
  </si>
  <si>
    <t>Josef Escovar y Fuente</t>
  </si>
  <si>
    <t>icente Salinas ; Tenencia al Subteniente D. Ignacio Cabero Tagle, y empleo de Portaguión al'Cadete. D. Josef Escovar y Fuente.</t>
  </si>
  <si>
    <t>Josef Escovedo</t>
  </si>
  <si>
    <t>quadrones de línea ae la Real Brigada de Carabineros ha promovido S. M. á Ayudante mayor al segundo D. Josef Escovedo. ■*u</t>
  </si>
  <si>
    <t>Tenencia de granaderos á D. Josef Rosello; y sencillas á D. Alexandro Benavente, D. Mariano Aragón, D. Josef Escovedo, D. Pablo Muñoz, D. Lorenzo Lencinas, Don Josef Silva y Laguado, D. Manuel de la Barrera, D. Mariano Murguía, D. Ramón Paredes, D. Mariano Figueroa, D. Valentín Toro y D. Juan Val</t>
  </si>
  <si>
    <t>Josef Espinos</t>
  </si>
  <si>
    <t>y Paz: para otra de la Catedral de Barcelona, vacante por fallecimiento de D. Francisco Andreu , á D. Josef Espinos , Canónigo de la Colegiata de Sta. Ana de aquella ciudad: para una Capellanía de parentela, titulada primera de Santa Lucía , vacante en la Parroquia de Caldas de Mombuy, Diócesis</t>
  </si>
  <si>
    <t>ial de S. Feliu de la misma ciudad: para otra de la Colegial de Barcelona, vacante por promoción de D. Josef Espinos á otra de la Catedral de aquella capital, á D. Josef Terradellas, Beneficiado de Sta. María del Mar de la misma ciudad: para un Beneficio de la Catedral de Gerona, baxo la invocac</t>
  </si>
  <si>
    <t>: para una Canongía de ia Colegiata dé Sta* Ana de la ciudad de Barcelona, vacante por promoción de D. Josef Espinos á otra de aquella Catedral, y por no haberla admitido D. Josef Terradellas, que fué nombrado para ella, á D. Pedro Riera, Capellán y Director dé Religiosas Capuchinas de dicha ciu</t>
  </si>
  <si>
    <t>Josef Estelrich</t>
  </si>
  <si>
    <t>Romangordo y sus anexos, en la de Plasencia , vacante por fallecimiento de D. Gregorio Valcárcel, á D. Josef Estelrich, primer Sacristán de la Real Capilla: para el Beneficio servidero del lugar de Aspariegos, en la de Zamora, vacante por muerte de D. Jacobo Ibañez, á D. Vicente García del Riego,</t>
  </si>
  <si>
    <t>Jósef Estelrich</t>
  </si>
  <si>
    <t>andez del Bosque ,-á quien nombró para ellos por decreto.de 1.5 de Julio, del año próximo pagado, á D. Jósef Estelrich, Sacristán primero deja' Real Capilla , con dimisión del Préstamo titulado dé Romangordo en el Estado de ía Campana de Albaiat y Obispado.de Plasencia, para el qual estaba nombrad</t>
  </si>
  <si>
    <t>Josef Fariola</t>
  </si>
  <si>
    <t>ctor Wirtz, graduado de Teniente Coronel: á Teniente en el de Ruttiman al Subteniente de granaderos D. Josef Fariola: á Capitanes segundos en el de Traxler al Ayudante, graduado de Capitán, D. Jacobo Kayser, y al Teniente D.Juan Beroldinger: y á Subtenientes de granaderos á los de fusileros D. T</t>
  </si>
  <si>
    <t>Josef Febrero</t>
  </si>
  <si>
    <t>es á toda la obra, y el tomo i.° de la práctica criminal. Por varias expresiones del autor original D. Josef Febrero se mandó, entre otras cosas, suspender la venta del Febrero reformado, ínterin se examinaba de nuevo; y habiéndose en efecto evacuado este examen, se ha vuelto á permitir su despa</t>
  </si>
  <si>
    <t>Josef Fernández</t>
  </si>
  <si>
    <t>ncisco Barraycua, D. Alonso Alvarado y D. Sebastian Gorvea; los Gefes de trozo D. Manuel Fernandez, D. Josef Fernandez y D. Josef Martínez; y los Seminaristas D. Manuel Abbad, el Cadete de Reales Guardias Walonas D. Josef de Castro, D. Eugenio de Zuloaga y D. Félix Gilman, Cadete del dicho Real Cuerpo</t>
  </si>
  <si>
    <t>Id. id.3.0 Josef Fernandez.. Hijo de Blas y de María Alvarez, natu­</t>
  </si>
  <si>
    <t>Id. id. Josef Fernandez 1 Hijo de Antonio y de Francisca Gon­</t>
  </si>
  <si>
    <t>cticarlo, dirigiéndose á las ya nombradas para la mayor facilidad en adquirirlos, que son en Madrid Don Josef Fernández y; Garrida , Agente de Negocios , plazuela de los Truxillos: en. Santander tos Sres. Vial é hijo y compañía.: en. la Coruña-los Sres. López Sagaztizabal é hijo: en Bilbao; Di Juán:</t>
  </si>
  <si>
    <t>Josef Fernández Briceño</t>
  </si>
  <si>
    <t>221 cipe á Subteniente de bandera al Cadete D. Josef Fernandez Briceño: en el de Saboya á Teniente al Subteniente de granaderos D. Fernando Mendez, y á Subteniente de bandera al Cadete D. Manuel Maza: en el de Aragón á Subteniente de bandera al Cadet</t>
  </si>
  <si>
    <t>Josef Fernández y Garrida</t>
  </si>
  <si>
    <t>, se han nombrado otras por cuyo conducto se podrán pedir y recibir billetes, y son: en esta Corteí D. Josef Fernandez y Garrida, Agente de Negocios, plazuela ae los Truxillos: en Santander los Sres. Vial é hijo y compañía: en la Coruña los Sres. López Sagaztizabal é hijo: en Bilbao D. Juan Bautista de Larr</t>
  </si>
  <si>
    <t>Josef Fernández, Juan</t>
  </si>
  <si>
    <t>Juan Josef Fernández</t>
  </si>
  <si>
    <t>14.a Cabo 2.0 Juan Josef Fer­ LHijo de Juan y de María García, naiu-</t>
  </si>
  <si>
    <t>Josef Fitert</t>
  </si>
  <si>
    <t>erona , , y 66» 12. Josef Fitert................ Magín, .. . Francisca Carcoll. . Cervera, , ,» Idem » , , , 66. 12» Ramón Julavera.... Rafael. ... Antonia Felin. . .. Valls,» ,,,» Tarrago</t>
  </si>
  <si>
    <t>Josef Forster</t>
  </si>
  <si>
    <t>á Teniente al Subteniente de granaderos D. Josef Ignacio Wüla; y í\ Subteniente al Sargento primero D. Josef Forster: en el de Traxler á Subtenientes á los Sargentos primeros D. Valerio Gareau y D. Aloysió Schaiber , y al Cadete Josef Antonio Cristen. Ei Rey ha conferido Compañía en el Regimient</t>
  </si>
  <si>
    <t>Josef Francisco de Arbizu</t>
  </si>
  <si>
    <t>de Sergude, en el Arzobispado de Santiago, vacante' por fallecimiento de D. Josef Taboada y Gil, á D. Josef Francisco de Arbizu, Capellán de Altar de su Real Capilla: para&lt;el Beneficio Préstamo del-lugar de Carcaboso, en la Diócesis de Coria, vacante por muerte;de Don Pedro Antonio Calderón, á D. Manuel Du</t>
  </si>
  <si>
    <t>Josef Francisco de Nava</t>
  </si>
  <si>
    <t>al de fu-&gt; sileros ,D. Josef Ignacio García Iilueca, y á Subtenientes de compañía; y de bandera :á D. Josef Francisco de Nava, D. Luis García Aguirre, Don. Ventura Fernandez Peredo.y D. Josef María Barrueco, vecinos de la den marcación del mismo Regimiento. En el Batallón de Milicias disciplinadas de Chí</t>
  </si>
  <si>
    <t>Josef Francisco de Rivero</t>
  </si>
  <si>
    <t>ierra, vacante por ascenso de D. Josef Manuel Seoane á la Canongía Lectora! de la misma Iglesia , á D. Josef Francisco de Rivero, Cura del pueblo de la Concepción, en la propia Diócesi. También ha nombrado S. M. para la plaza de Fiscal del Crimen de la Audiencia de Guatemala, vacante por fallecimiento de D,</t>
  </si>
  <si>
    <t>Josef Francisco Romero</t>
  </si>
  <si>
    <t>dez; á Teniente de granaderos ai de fusileros D. Dionisio Xereda, y de fusileros á los Subtenientes D. Josef Francisco Romero , D. Francisco Mendieta y D. Juan Josef Romero: á Capitanes en el Esquadron de drago* cíes de aquella capital al Alférez D. Ignacio. Ratres y Muñoz y á D. Jo-* sef A rrivillaga; á</t>
  </si>
  <si>
    <t>Josef Franquesa</t>
  </si>
  <si>
    <t>al Brigadier D. Gerónimo Knapp; á Brigadier al Subrigadier D. Simón Delile; á Subrigadier al Cadete D. Josef Franquesa; á Cadete de número al Supernumerario D. Joaquín Colomé; y á Supernumerario al Guardia D. Juan Massia. En los Regimientos Provinciales ha promovido S. M. á Capitanes de fusileros</t>
  </si>
  <si>
    <t>Josef Freyre, Juan</t>
  </si>
  <si>
    <t>Juan Josef Freyre</t>
  </si>
  <si>
    <t>lomé de Carmona, en ei Arzobispado de Sevilla, vacante por fallecimiento de D. Francisco Pizarro, á D. Juan Josef Freyre, Presbítero de la misma ciudad de Carmona, con obligación de residencia personal, y de ayudar al Párroco en las funciones de su ministerio. S. M. se ha servido conceder Tenencias</t>
  </si>
  <si>
    <t>Josef Frutos</t>
  </si>
  <si>
    <t>guas principales, por Mr. Sansón, Geógrafo de Luis xiv, Rey de Francia, traducida al castellano por D. Josef Frutos: un tomo en 8.° Se hallará es la librería de Fuentenebro, calle de las Carretas. Ocupaciones santas de Quaresma para todos los mortales en opúsculos devotos, sacados de varios lib</t>
  </si>
  <si>
    <t>Josef Ga</t>
  </si>
  <si>
    <t>l de Dragones del Príncipe en Nueva-España se ha servido S. M. promover á Capitanes á los Tenientes D. Josef Ga«* miño y D. Josef de la Bársena; á Tenientes á los Alféreces D. Leonardo Sánchez, D. Miguel Arroyo Ríos y.D. Francisco Carrillo ; á Alféreces á los Portaguiones D. Manuel Fernande</t>
  </si>
  <si>
    <t>Josef Gabriel Ayvar</t>
  </si>
  <si>
    <t>l Castillo, Pro-Sochantre de ella: para otra Ración vacante en la propia Iglesia por translación de D. Josef Gabriel Ayvar á D. Manuel Francisco de Litnonta; y para la Media-Ración que este obtenía á D. Juan Talón, Capellán Castrense del castillo de la Roca, boca del Morro. El Rey se ha dignado promov</t>
  </si>
  <si>
    <t>Josef Gabriel de Aybar</t>
  </si>
  <si>
    <t>Diócesis de Valla— dolid de. Mechoacan; y para otra Media-Ración de la Catedral de. la Plava— na á D. Josef Gabriel de Aybar,, Racionero de la de Cuba.. En el Regimiento de infantería de la Corona, fixo del.Reyno de Nueva— España, se ha. servido S. M. promover á Subteniente de bandera al Sargento primer</t>
  </si>
  <si>
    <t>Josef Galiano</t>
  </si>
  <si>
    <t>ente en el de la Reyna al Alférez D» Juan Galan: á Alféreces en el de España á los Portaestandartes D. Josef Galiano y D. Felipe Traggia; y á Portaestandarte en el mismo Cuerpo á lo? Cadetes Don Aquilino Gavilanes y D. Francisco Puígmoltó, que lo es del de Montesa. En los Regimientos de caballería l</t>
  </si>
  <si>
    <t>Josef Galindo</t>
  </si>
  <si>
    <t>onio Espejo, y al de fusileros D. Antonio de Hosta; á Subtenientes de granaderos á los de fusileros D. Josef Galindo y D. Benigno Morales, y á Subtenientes de bandera á los Cadetes D. Félix Truxillo, D. Miguel Paliza y D. Josef Paliza. Para hacer pago á los acreedores de la ocurrencia del Sr. D. Ped</t>
  </si>
  <si>
    <t>Josef García</t>
  </si>
  <si>
    <t>cias disciplinadas de Lima: Tenientes en el Regimiento de Milicias urbanas de infantería de Calca á D. Josef García, L). Vicente Rosas, D. Carlos Vargas, D. Tomas Zuñiga, D. Bernardo García y D. Eugenio Costilla: Subtenientes en dicho Cuerpo á Don Francisco Vidad , D. Manuel Concha, D. Josef An</t>
  </si>
  <si>
    <t>uado de Subteniente, D. Roque Iregui; á Subteniente ai segundo Ayudante , con grado de Subteniente, D. Josef García y. al Cadete Don Rafael' de' Nosj' y á ;ségündos. Ayudantes, con grado de Subtenientes los Cadetes D. Francisco cfe_Ia Barrera y D. Nemesio Iberri. .También se ha dignado el Rey'nom</t>
  </si>
  <si>
    <t>nte de' bandera al Sargento primero D. Vicente Heredia: en el de Burgos á Capitanes á los graduados D. Josef García y D. Josef María Olona , Ayudantes del mismo Cuerpo ; y á Subteniente de bandera en el de Aragón al Cadete D. Nicolás Sanz. S. M. se ha servido conceder Tenencia en el Regimiento de i</t>
  </si>
  <si>
    <t>de 1805.................................................. ......... 3 |josef García. Hijo de Manuel, nat. de la Algana, Reynol g^ ^ de Sevilla: murió en 21 de Mayo de 1805./</t>
  </si>
  <si>
    <t>Franco, D. Diego Aliaga, D. Juan Cáceres, D. Josef Camacho, D. Martin Terroba, D. Gregorio Zuloaga, D. Josef García y D. Juan Peralta; Ayudantía á D. Josef Romero; Tenencia de granaderos á D. Juan Estevez,y de fusileros á D. Tomas Carreri,D. Juan Anglés, Don Pascual Toledo, D. Manuel Carpió, D. Fra</t>
  </si>
  <si>
    <t>Josef García de la Madrid</t>
  </si>
  <si>
    <t>en 96^,078 rs., acuda ante el Sr. Alcalde de Corte D. Mariano Alonso, y escribanía de provincia de D. Josef García de la Madrid, dentro del término de 30 dias contados desde el 4 del corriente. A conseqviencia de las Reales resoluciones de S. M., y providencia dada por el Sr. D. Francisco Gutiérrez Vigil d</t>
  </si>
  <si>
    <t>Josef García de la Madrid, Miguel</t>
  </si>
  <si>
    <t>Miguel Josef García de la Madrid</t>
  </si>
  <si>
    <t>. D. Mariano Alonso, del Consejo de S. M., su Alcalde de Casa y Corte, y escribanía de provincia de D. Miguel Josef García de la Madrid. Estado general de la Real Armada en el año de 1805. Se hallará en el despacho de la Imprenta Real. Tomo 3.0 y último del Catecismo litúrgico: trata de la santa Misa, partes de qu</t>
  </si>
  <si>
    <t>da en él, en 149,521 rs., acuda ante el Sr. Alcalde D. Mariano Alonso, y escribanía de provincia de D. Miguel Josef García de la Madrid, en el término de 20 dias contados desde el 11 del corriente. En la villa de Villacastin, provincia de Segovia, se halla vacante el Magisterio de primeras letras, el qual debe pro</t>
  </si>
  <si>
    <t>. D. Mariano Alonso, del Consejo de S. M., su Alcalde de Casa y Corte, y escribanía de provincia de D. Miguel Josef García de la Madrid, en el término de 30 dias contados desde el 18 de éste mes. Usus locorum theoíogicorum in expositione sacrae Scripturae, in ejus defensione adversus Haeretícos, Judaeos, Gentiles,</t>
  </si>
  <si>
    <t>Jósef García de la Madrid, Miguel</t>
  </si>
  <si>
    <t>Miguel Jósef García de la Madrid</t>
  </si>
  <si>
    <t>de Ibdscta. Por e! iuzgado deí Sr. Alcalde de Corte D. Mariano Alonso, y Escribanía de Provincia de D. Miguel Jósef García de la Madrid, se está subastando una casa en la calle ancha y angosta de M.;j.identos, señalada con el núm. 6, de la manz. 209, valuada con su fábrica en la cantidad de 1 50,1 28 rs., á la que</t>
  </si>
  <si>
    <t>te el Sr. D. Mariano Alonso, del Consejo de S. M., su Alcalde de Casa y Corte, por la escribanía de D. Miguel Josef García de la Madrid; previniéndose que para su remate está señalado el 11 del corriente á las 1 2 de su mañana en dicha escribanía. En el valle de Guriezo, Obispado de Santander, se halla vacante el</t>
  </si>
  <si>
    <t>presente. Quien quisiere hacerla, acuda ante dicho Sr. Alcalde, y por la escribanía de provincia de D. Miguel Josef García de la Madrid. Se halla vacante una de las plazas de Médico titular del Cabildo de la Santa Iglesia de. Palencia, y su hospital de S. Bernabé, con la dotación de 700 ducados, por haberse jubila</t>
  </si>
  <si>
    <t>. D. Mariano Alonso, del Consejo de S. M., su Alcalde de Casa y Corte, y escribanía de provincia de D. Miguel Josef García de la Madrid , en el término de 30 dias contados desde el 29 del pasado. Se vende, á voluntad de su dueño, una casa y huerta en Vicálbaro, con dos</t>
  </si>
  <si>
    <t>Josef García de Madrid, Miguel</t>
  </si>
  <si>
    <t>Miguel Josef García de Madrid</t>
  </si>
  <si>
    <t>del Buen-Suceso, acuda ante el Sr. Alcalde de Corte D. Mariano Alonso, y escribanía de provincia de‘D. Miguel Josef García de Madrid, dentro del término de 30 dias contados desde el 14 del presente á la primera,, y desde el 17 á 1$ segunda. =: Asimismo quien quisiere hacer mejora á una casa sita en la calle' de</t>
  </si>
  <si>
    <t>Josef García de Santiago</t>
  </si>
  <si>
    <t>Perú, se ha dignado S. M. conceder el empleo de Coronel á D. Antonio Goiburu ; Tenencia Coronela á D. Josef García de Santiago; Comandancias de esquadron á D. Manuel Goiburu y O. Vicente ’Nacero; la Sargentía mayor á D. Juan Pinto del Postigo; Compañía de granaderos á D. Francisco Caracholi; y sencillas á</t>
  </si>
  <si>
    <t>Josef García Infante</t>
  </si>
  <si>
    <t>de Almuñecar y villa de Salobreña á D, Pedro Benito y Vidal: para la de la Población de Algeciras á D. Josef García Infante: para la de la villa de Fortuna á D. Agustín Tosantos; y para la de la Población de los Barrios , en el Campo de Roque , á £&gt;. Josef Olivas y Desuá. S. Mv ha conferido el empleo d</t>
  </si>
  <si>
    <t>Josef García Mohedano</t>
  </si>
  <si>
    <t>En América. El Rey se ha servido nombrar para el Obispado de Guayana, vacante por fallecimiento de D. Josef García Mohedano, á D. Josef Ventura Cabello, Canónigo de aquella Iglesia: para la Dignidad de Tesorero de la del Cuzco á D. Feliciano Paz y Pozo: para la Canongía que este dexa al Racionero D. Ma</t>
  </si>
  <si>
    <t>Josef García, Miguel</t>
  </si>
  <si>
    <t>Miguel Josef García</t>
  </si>
  <si>
    <t>rs. i(&gt; mrs.,, aciida ante el Sr. Alcaide de Corte D. Mariano Alonso, y escribanía de provincia*de D. Miguel Josef García de ig</t>
  </si>
  <si>
    <t>). Mariano, Alonso, del Consejo cíe S. M., su Alcalde.de Casa y Corte, y escribanía de provincia.de D. Miguel Josef García de la .Madrid; previniendo que para su remate se halla señalado el día 2 del presente. A voluntad de su dueño se vende una casa en el lugar de Vallécas, calle de;l Hospital-viejo, inmed</t>
  </si>
  <si>
    <t>Josef Gardoqui</t>
  </si>
  <si>
    <t>efonso. Capitanes de Navio. D. Francisco de Alcedo y Bustamante, Comandante, muerto en el Montañés: D. Josef Gardoqui, id., herido en el Sta. Ana: D. Ignacio Ol-aeta, segundo Comandante, herido en el Trinidad: D. Antonio Pareja, Comandante, herido en el Argonauta: D. Teodoro Argumosa, id., herido</t>
  </si>
  <si>
    <t>Josef Garriga</t>
  </si>
  <si>
    <t>ne la continuación de las observaciones acerca del ácido nítrico: comienza un discurso, escrito por D. Josef Garriga, Capitán del Real Cuerpo de Ingenieros Cosmógrafos, sobre Ja utilidad y necesidad del estudio de la Meteorología: sigue un análisis del histrionismo en España &amp;c.; y concluye con</t>
  </si>
  <si>
    <t>Cousin, traducida por D. Pedro Ziriza, á 30 rs. en pasta. Uranografía, ó Descripción del cielo, por D. Josef Garriga: un tomo en 4.0, y 3 planisferios grandes, á 48 rs. en pasta. Curso elemental de Meteorología, por el mismo: un tomo en 8.° mayor con estampas, á 10 rs. en pasta. Se hallarán en e</t>
  </si>
  <si>
    <t>e S. Cristóbal. Discurso sobre la utilidad y necesidad del estudio de la Meteorología, escrito |&gt;or D. Josef Garriga, individuo de varias Academias. Se hallará en la librería de Escantilla, frente á las gradas de S. Felipe. * EN LA IMPRENTA REAL</t>
  </si>
  <si>
    <t>ida de la Corte , que son los mismos que hasta aquí. La Meteorología aplicada á la agricultura, por D. Josef Garriga: un tomo en 4.0, á 17 rs. en pasta. Compendio de la obra inglesa intitulada Riqueza de las naciones, hecho por el Marques de Condorcet, y traducido al castellano, con varias adici</t>
  </si>
  <si>
    <t>ensivas al año pasado de 1804, y algunas de los anteriores, dispuesto, según el plan del autor, por D. Josef Garriga, Abo-‘ gado de les Reales Consejos, y uno de los del Ilustre Colegio de esta Corte. Se hallará, con los demas tomos anteriores y quadernos separados, en la librería de Francés , f</t>
  </si>
  <si>
    <t>Josef Garriga y Buach</t>
  </si>
  <si>
    <t>de S. Felipe. C urso de Química general, aplicada á las artes, por D. Josef María de S. Cristóbal y D. Josef Garriga y Buach, pensionados por S. M. Católica, é impreso á</t>
  </si>
  <si>
    <t>Josef Garza, Juan</t>
  </si>
  <si>
    <t>Juan Josef Garza</t>
  </si>
  <si>
    <t>Reyno de León á D. Josef Bernardino Cantu, Cura Vicario del Valle de Guajuco en aquella Diócesis, á D. Juan Josef Garza, Cura del Sagrario de la misma Catedral, y á D. Domingo de Ugarte, Racionero de ella; y para la Canongía Penitenciaria de la Iglesia de Comayagua á D. Francisco Marques, Presbíter</t>
  </si>
  <si>
    <t>Josef Gascón</t>
  </si>
  <si>
    <t>l Gascón ; á Ayudante al Teniente D. Hilarión de Quintana; á Teniente de granaderos al de fusileros D. Josef Gascón; á Tenientes á los Subtenientes de granaderos D. Sebastian Pizarro y D. Joaquín González Teran, y al de fusileros Don Juan González; á Subtenientes de granaderos á los de fusilero</t>
  </si>
  <si>
    <t>Josef Giiemes</t>
  </si>
  <si>
    <t>a, Obispado de Cuenca, por promoción de D. Miguel de Aguilar á Canongía de la Catedral de Zamora, á D. Josef Giiemes: para el Beneficio de la villa de Salvacañete, Diócesis de Cuenca, por muerte de D. Antonio Mazo de la Vega, áD. Felipe Collado, Cura de la misma: para el Beneficio simple servide</t>
  </si>
  <si>
    <t>Josef Golf</t>
  </si>
  <si>
    <t>f Talens y D. Antonio Madera, este de granaderos; y Subtenencia de bandera en el de Soria al Cadete D. Josef Golf. El Rey se ha servido promover en el Regimiento Suizo de Wimpffen á Subteniente al Sargento primero D. Juan Antoni: en el de Ruttimann á Subteniente de granaderos al de fusileros</t>
  </si>
  <si>
    <t>Josef Gómez</t>
  </si>
  <si>
    <t>ervido S. M. conceder Tenencia al Alférez D. Juan Canellas; y empleo de Alférez al Sargento primero D. Josef Gómez. t En América, El Rey se ha servido nombrar para el Obispado de Arequipa , en el Reyno del Perú, vacante „por haberlo renunciado D. Josef Chaves de la Rosa, á D. Luis de la Encina</t>
  </si>
  <si>
    <t>Josef Gómez de Herrera</t>
  </si>
  <si>
    <t>de la ciudad de Vitoria, y testamentarios de Doña María Josefa de Oromiota, difunta; y en Madrid á D. Josef Gómez de Herrera, calle ancha de los Peligros, núm. 21, para comunicarles cierta disposición que dexó á su favor la susodicha. Se halla vacante el partido de Médico de ViJíanueva de Cameros, que c</t>
  </si>
  <si>
    <t>Josef Gómez de Torrees</t>
  </si>
  <si>
    <t>en las enagenaciones de lincas de establecimientos pros, y por la escribanía del número de ella de D. Josef Gómez de Torrees, se han mandado sacar al pregón, por término de 30 dias, 5 casas correspondientes al patronato fundado por Doña Ignacia de Eiízondo, las quales existen en aquella plaza, y se han</t>
  </si>
  <si>
    <t>Josef González Ortiz</t>
  </si>
  <si>
    <t>perimentos sobre el Cerio: • observación - astronómica, por el Capitán de fragata de la Real Armada D, Josef González Ortiz: noticia del rebaf o de ganado merino tras- . humante establecido en Francia: .examen del nuevo Diccionario Francés-Español del Sr. Capmany: noticias &amp;c. Se hallará suelto y con i</t>
  </si>
  <si>
    <t>Josef González y Ojea</t>
  </si>
  <si>
    <t>de fusileros D. Francisco Galindo y D. Francisco Ledo; y á Subteniente de bandera del de Monterey á D. Josef González y Ojea. El Rey se ha servido conferir el Gobierno de la plaza de Alhucemas al Coronel D. Francisco Xavier Cumplido, Capitán del Regimiento de infantería de Extremadura. El Capitán Genera</t>
  </si>
  <si>
    <t>Josef González, Pedro</t>
  </si>
  <si>
    <t>Pedro Josef González</t>
  </si>
  <si>
    <t>a servido'igualmente 5. M. conceder Compañía de granaderos en el de infantería de Aragón de Jauja á D. Pedro Josef González ; de fusileros á D¿ Isidro Galarza, D. Alexandro AbasCal, D. Mariano Patino, D. Miguel Fuñol, Don Manuel del Ribero Alonsoy D. Tiburcio Vivanco, D. Manuel Eusebio y*D. Ignacio de</t>
  </si>
  <si>
    <t>Josef Gorgonio de Galvez Cañero</t>
  </si>
  <si>
    <t>Plasencia y Ciudad-Rodrigo á D. Josef Gorgonio de Galvez Cañero , Don Antonio Escovar, D. Manuel María de Liano y Aior, y D. Ignacio Rodríguez Moreno. También se ha servido el Rey conferir la Tenencia de Rey de la ciudadela de la plaza de Pamp</t>
  </si>
  <si>
    <t>Josef Granados</t>
  </si>
  <si>
    <t>entera de ella, á D. Josef Granados, Teniente de Cura de la ciudad de Marbella: para'rtin'Ber&gt;eíieio déTla villa de Hellin, en el Obispado de Cartagena, vacante por fállecimiento de D. Gregorio Valcárcel, á D. Pablo</t>
  </si>
  <si>
    <t>Josef Gratnbel, Francisco</t>
  </si>
  <si>
    <t>Francisco Josef Gratnbel</t>
  </si>
  <si>
    <t>Tenencia Coronela á D. Simón Daza ; la Sargentía mayor áD. Nicolás Macedo; Compañía de granaderos á D. Francisco Josef Gratnbel, y de fusileros á D. Pedro Abarca y Guerra, D. Fermín Béjar, D. Josef Hermosilla y Aguirre, D. Pedro Laureano del Prado, Don Jacinto Aréstegui, D. Tomas Miguel Salazar, D. Miguel</t>
  </si>
  <si>
    <t>Josef Greser</t>
  </si>
  <si>
    <t>n al Teniente Górónel D. Josef Chaqué, Capitán de granaderos del mismo; y á Teniente al Subteniente D. Josef Greser : en el de Traxler á Subtenientes de compañía-y de bandera á D. Ulrico' Mayenfisch y D. Pedro á Marca: en el de Wimpnen á Teniente al Subteniente D. Pedro Debost; á Subteniente de</t>
  </si>
  <si>
    <t>Josef Guillen de Toledo</t>
  </si>
  <si>
    <t>á D. Miguel Alvarez de Loaya; para el de las Alpujarras, del Reyno de Granada, su capital Uxijar, á D. Josef Guillen de Toledo; y para la Vara de Alcalde mayor de la ciudad de Alcalá la Real á D. Francisco Joven de Salas. En América. El Rey se ha servido nombrar para la plaza de Ministro togado del Consej</t>
  </si>
  <si>
    <t>Josef Gutiérrez</t>
  </si>
  <si>
    <t>ores de Átmansa ai Alférez D. Antonio Salgado ; á Alféreces en el mismo Cuerpo, al Sargento primero D. Josef Gutiérrez , y á les Cadetes de los de cazadores de la Reyna y Pavía D. Fernando Montero y D. Manuel 4e Rosales: en el de húsares Españoles á Teniente al Alférez Dr Juan Rico; y á Alférez en</t>
  </si>
  <si>
    <t>al cargo de sus Catedráticos D. Sebastian Morera y D. Juan, de Acosta, en los que fuéron examinados D. Josef Gutiérrez, D. Juan María Maestre y D011 Manuel Sotelo, D. Vicente Martínez Gómez y el Dr. D. Francisco Velazquez, los tres primeros en los ramos de aritmética, álgebra, geometría y trigonom</t>
  </si>
  <si>
    <t>Josef Gutierrez</t>
  </si>
  <si>
    <t>ombrar para la Canongía Lectoral, vacante en la Catedral de Santa Cruz de la Sierra, por ascenso de D. Josef Gutierrez.á la Dignidad de Arcediano de la misma, á D. Josef Seoane, Racionero de ella. Ultimamente se ha servido el Rey conferir una plaza de Agente del número de los de Indias , vacante p</t>
  </si>
  <si>
    <t>Josef Hediger</t>
  </si>
  <si>
    <t>de granaderos D. Francisco Schnuriger; y en el de Betschart á Teniente al Subteniente de granaderos D. Josef Hediger. En atención á los dilatados y distinguidos servicios del Comisario Ordenador D. Ignacio de Liaño y Córdoba, Veedor de la costa del Reyno de Granada , y á los particulares que con</t>
  </si>
  <si>
    <t>Josef Hermosilla y Aguirre</t>
  </si>
  <si>
    <t>anaderos á D. Francisco Josef Gratnbel, y de fusileros á D. Pedro Abarca y Guerra, D. Fermín Béjar, D. Josef Hermosilla y Aguirre, D. Pedro Laureano del Prado, Don Jacinto Aréstegui, D. Tomas Miguel Salazar, D. Miguel Mariano Ramiro y D. Pedro Salcedo; Ayudantía á D. Calixto Ramos; Tenencia de granaderos á D</t>
  </si>
  <si>
    <t>Josef Hernando</t>
  </si>
  <si>
    <t>calidad de Examinadores los Socios D. Serapio Sinués, Catedrático de Agricultura, Médico Colegial, D. Josef Hernando y D. Tomas Xopez, Secretarios de las clases de Agricultura y Artes, también Médicos Colegiales, D. Josef Benito de Cistué y D. Josef Duaso, Catedráticos de Economía política y de Mate</t>
  </si>
  <si>
    <t>Josef Herrera Dávila y Albear</t>
  </si>
  <si>
    <t>cázar de Segovia Don Jacobo Escario y Carrasco, D. Tomas Orive y Viana, D. Luis Tarber— né y Pavía, D. Josef Herrera Dávila y Albear, D. Francisco de Paula Uclés de Herrera y Ramírez, D. Diego Entrena y Mosquera, D. Manuel Cavaleri y Arana, D. Agustín del Barco y la Cendeja, D. Francisco Rio Espina y Aracil. D.</t>
  </si>
  <si>
    <t>Josef Hervás, Bernardo</t>
  </si>
  <si>
    <t>Bernardo Josef Hervás</t>
  </si>
  <si>
    <t>M. $e ha servido nombrar para laVara de Alcalde mayor de la villa de Moratalla, de tercera clase, á D. Bernardo Josef Hervás: para la de Bienvenida á D. Diego Felipe Ladrón de Guevara: para la de Pedro-Muñoz i D. Anselmo Perez Mozun; y para la de S. Cebrian de Castrotorafe á Don Manuel Juan Barrado de C</t>
  </si>
  <si>
    <t>Josef Ibarlucea</t>
  </si>
  <si>
    <t>nimo Agüero: para, la de Quesada á D. Mariano Rufino. González; y para el Corregimiento de Vivero á D. Josef Ibarlucea.. Mn América./ El Rey se ha servido, nombrar para la Dignidad de- Maestrescuela de la Metropolitana de Manila,, en Filipinas,, vacante: por fallecimiento de D.. Juan Anselmo Medra</t>
  </si>
  <si>
    <t>Josef Iberti</t>
  </si>
  <si>
    <t>y darles una buena educaron física; con un tratado sobre las enfermedades de la infancia: su autor D. Josef Iberti: tomo i.° en 8.° mayor, á 10 rs. en pasta. Discurso sobre las ventajas que puede conseguir 1.a industria de Aragón con la nueva ampliación de puertos ; su autor el Dr. D. Antonio</t>
  </si>
  <si>
    <t>Josef Iglesias</t>
  </si>
  <si>
    <t>. . S. M. se ha servido promover en el Real Cuerpo de Ingenieros 4el exército á Capitán segundo alj D. Josef Iglesias.</t>
  </si>
  <si>
    <t>Josef Ignacio Calvez</t>
  </si>
  <si>
    <t>tería: Subteniente de la misma compañía á D. Julián Arroyo: Teniente de la del castillo del Peten á D. Josef Ignacio Calvez: Subteniente de la misma á D. Antonio Sánchez : Teniente y Subteniente de la de Truxiilo á D. Josef Martínez y Don Manuel García. En el Regimiento de dragones de Buenos- Ayres se</t>
  </si>
  <si>
    <t>Josef Ignacio de Mercader</t>
  </si>
  <si>
    <t>llevando apresados á tres laúdes Españoles. Habiéndolo observado el Regidor Decano de aquella villa D. Josef Ignacio de Mercader, reunió de entre el corto vecindario, de que esta se compone, hasta 20 Jiombres,en quienes advirtió mayor deseo de empeñarse en una acción, y embarcándose con ellos en una, lancha</t>
  </si>
  <si>
    <t>Josef Ignacio de Merlos</t>
  </si>
  <si>
    <t>er? vidó el Rey,promover á Teniente Coronel al Comandante del tercer Batallón, graduado de Coronel, D. Josef Ignacio de Merlos; á Comandante del tercer Batallón al Sargento mayor, también graduado de Coronel, D. Francisco Caballero; y á Sargento mayor al Capitán D. Juan Antonio Martínez. En el Regimiento</t>
  </si>
  <si>
    <t>Josef Ignacio García Iilueca</t>
  </si>
  <si>
    <t>uca, en Nueva-España,, se ha servido S. M. promover á Subteniente de granaderos al de fu-&gt; sileros ,D. Josef Ignacio García Iilueca, y á Subtenientes de compañía; y de bandera :á D. Josef Francisco de Nava, D. Luis García Aguirre, Don. Ventura Fernandez Peredo.y D. Josef María Barrueco, vecinos de la den marca</t>
  </si>
  <si>
    <t>Josef Ignacio Larrazabal</t>
  </si>
  <si>
    <t>mala se ha dignado el Rey conceder 'Compañía de granaderos á D. Juan Payés y Font, y de fusileros á D. Josef Ignacio Larrazabal y D. Antonio Batres y Asturias; Tenencia de grariaderos á D. Ramón de Zelaya, y de fusileros á D. Leonardo Josef Jáuregui ,D. Antonio Robles,, D. Francisco Xavier Aguirre y Larios ,*</t>
  </si>
  <si>
    <t>Josef Ignacio Liórens</t>
  </si>
  <si>
    <t>ernandez. También ha concedido S. M; honores de Alende del CHríVen de te Chancille ría de Granada á D. Josef Ignacio Liórens, Corregidor áe la población de S. Roque eii él Campo dé Gibraltar. Asimismo ha conferido el Rey los Corregimientos dé letras siguientes a los sugetos que se expresan: de la 'ciuda</t>
  </si>
  <si>
    <t>Josef Ignacio Wiila</t>
  </si>
  <si>
    <t>bteniente de granaderos D. Pedro Gueraty; y á Subteniente de granaderos en el mismo al de fusileros D. Josef Ignacio Wiila. El Rey se ha servido conceder en el Regimiento de infantería de Hibernia Ayudantía al Teniente D. Pedro Dejouy; y en el de Toledo Tenencia al Subteniente D. Josef Muñoz de Toro.</t>
  </si>
  <si>
    <t>Josef Ignacio Wüla</t>
  </si>
  <si>
    <t>Capitán segundo al Teniente de granaderos D. Adrián Waíker; á Teniente al Subteniente de granaderos D. Josef Ignacio Wüla; y í\ Subteniente al Sargento primero D. Josef Forster: en el de Traxler á Subtenientes á los Sargentos primeros D. Valerio Gareau y D. Aloysió Schaiber , y al Cadete Josef Antoni</t>
  </si>
  <si>
    <t>Josef Ildefonso de Alvarado</t>
  </si>
  <si>
    <t>mbrar para la Dignidad de Chantre y Csnoncía de la Catedral de Ceuta , vacante por fallecimiento de D. Josef Ildefonso de Alvarado, á D. Lázaro Pertierta: para una Canongía de la Catedral de Orense,. vacante por muerte de D. Lope Rodríguez Carrillo, a D. Ramón Perez Verea y Aguiar: para una Média-Racion de la</t>
  </si>
  <si>
    <t>Josef Irala</t>
  </si>
  <si>
    <t>érez D. Joaquín Perez; á Alférez al Portaguión D. Josef Joaquín de Náxera, y á Portaguión al Cadete D. Josef Irala. . Habiendo salido del Ferrol el Teniente de Navio D. Fernando Freyre de Andrade con la división de barcos cañoneros de su mando, compuesta de los nombrados Relámpago, Trueno y Ce</t>
  </si>
  <si>
    <t>Josef Irigoyen</t>
  </si>
  <si>
    <t>; y los mismos honores y antigüedad de Oidores, de las. de Charcas y Chile á D. Cayetano. Belon, y. D. Josef Irigoyen, Asesores de la referida ciudad dé Lima* En la noche dél dia. 4, ai 5 del próximo, mes de Enero, habrá, un eclipse parcial de luna,.visible en, toda España. El principio se vériác</t>
  </si>
  <si>
    <t>Josef Isidoro Morales</t>
  </si>
  <si>
    <t>oria matemática sobre el cálculo de la opinión en las elecciones, por el Dr. D. Josef Isidoro Morales, Teniente de Ayo de los Caballeros Pages del Rey : quaderno de 4 pliegos en 4.0 Tiste apéndice sirve de respuesta á algunas dudas y objeciones propuestas al autor de la Memoria: se descarta</t>
  </si>
  <si>
    <t>Josef Isidoro Vehy</t>
  </si>
  <si>
    <t>el empleo de Capitán segando en el primer Batallón de Voluntarios de Barcelona al segundo Ayudante D. Josef Isidoro Vehy; y la Subtenencia de bandera dei de Tarragona al Cadete D. Juan de Arcos. En Anúrica. El Rey se ha dignado promover en los Cuerpos de Mi-* líelas disciplinadas del Reyno de Goater</t>
  </si>
  <si>
    <t>Josef Isidro Yañez</t>
  </si>
  <si>
    <t>iscal del Crimen de la Audiencia de Guatemala, vacante por fallecimiento de D, Andrés de Morales, á D. Josef Isidro Yañez, Auditor de Guerra de Marina en Puerto Cabello. El Mercurio de España de i 5 de Julio, núm. 13, se hallará en el despacho de la Imprenta Real; en el Real Sitio de S. Ildefonso en</t>
  </si>
  <si>
    <t>Josef Jacobo Plenk</t>
  </si>
  <si>
    <t>en 8.° de marca, á 10 rs. á la rústica y 15 en pasta. =Tratado de las enfermedades cutáneas, por el Dr. Josef Jacobo Plenk, añadido con notas por D. Antonio Lavedan: un tomo en 8.° marquilla, á 10 rs. en pasta. = Curso de gramática castellana en solos 80 dias, á 2 rs. = Diálogo entre el amor y un caba</t>
  </si>
  <si>
    <t>Josef Joaquín Cano</t>
  </si>
  <si>
    <t>. Antonio Hernando Cárabes, D. Miguel Arguelles Cifuentes y Don Manuel de Iduate, y recayó en este. Don Josef Joaquin Cano renunció el premio á que se habla hecho acreedor, y se dió á todos certificaciones de su aplicación y aprovechamiento, habiendo quedado satisfecho el concurso de los adelantamient</t>
  </si>
  <si>
    <t>Josef Joaquín de Náxera</t>
  </si>
  <si>
    <t>éxico, se ha servido S. M. promover á Teniente al Alférez D. Joaquín Perez; á Alférez al Portaguión D. Josef Joaquín de Náxera, y á Portaguión al Cadete D. Josef Irala. . Habiendo salido del Ferrol el Teniente de Navio D. Fernando Freyre de Andrade con la división de barcos cañoneros de su mando, compuest</t>
  </si>
  <si>
    <t>Josef Joaquín de Vera</t>
  </si>
  <si>
    <t>o y oportunidad. Se adjudicaron ocho premios á D. Pedro de Guinea, D. Paulino Rodríguez Mutiosabal, D. Josef Joaquin de Vera, D. Joaquín de Garay Artabe, Don Lucas Cano, D. Juan Cano, D. Matías Angulo, y el octavo se sorteo entre D. Antonio Hernando Cárabes, D. Miguel Arguelles Cifuentes y Don Manuel de</t>
  </si>
  <si>
    <t>Josef Joaquín de Virues</t>
  </si>
  <si>
    <t>; El Rey se ha servido conferir el Gobierno Militar y Político de la ciudad de Motril al Brigadier D. Josef Joaquín de Virues, Sargento máyor del Regimiento de Milicias de Ronda. En América. S. M. se ha servido nombrar para una Media-Ración de la Metropolitana de México, vacante por ascenso de D. Josef B</t>
  </si>
  <si>
    <t>Josef Joaquín Ramonet</t>
  </si>
  <si>
    <t>urve, D. Juan Josef de Lexarza, D. Ruperto Mier y D. Bernardino Pini; y á Subtenientes de bandera á D. Josef Joaquín Ramonet, D. Isidro Puente, D. Diego Abarca y D. Josef Anastasio Borbon, vecinos de la jurisdicción del mismo Regimiento.</t>
  </si>
  <si>
    <t>Joséf Joaquín Vbues</t>
  </si>
  <si>
    <t>para elGóbiemo.Militar y Político de la ciudad de Motril, vacante por salida de D. Jayme Moreno, á Don Joséf Joaquín Vbues, Sargento Mayoj: del;Regigijento de, Milicias de Ronda: para el Corregimiento de la ciudad de Lorca á D. Juan Antonio Biingas: para el de la villa de Réynosa á D. Froylan Ramón de</t>
  </si>
  <si>
    <t>Josef Joven</t>
  </si>
  <si>
    <t>choa y D. Basilio Mendizabal; y empleos de Portaguión al Sargento segundo D. Francisco Esquivel y á D. Josef Joven, también vecino de la misma jurisdicción.</t>
  </si>
  <si>
    <t>Josef Junco y Pérez</t>
  </si>
  <si>
    <t>es se había executado entre seis opositores, se habían adjudicado á D. Eustasio González Castañeda, D. Josef Junco y Perez, y D. Tomas Villafaae. Fue muy lucido y numeroso el concurso, habiendo asistido el Ayuntamiento de Madrid, .representado por dos caballeros Regidores, dos Diputados, y el Síndico</t>
  </si>
  <si>
    <t>Josef Juquet y Puente</t>
  </si>
  <si>
    <t>nes de Guadalcazar, en el Obispado de Córdoba , vacante por fallecimiento de D. Mariano del Hoyo, á D. Josef Juquet y Puente. El Rey se ha servido conferir la Sargentía mayor del Regimiento de infantería de Aragón al Capitán de granaderos, graduado de Coronel, D. Jayme María de Carvajal; Tenencia en dic</t>
  </si>
  <si>
    <t>Josef Justo Salcedo</t>
  </si>
  <si>
    <t>ovinciales de Chinchilla á D. Pablo Miro, Teniente del de infantería de Zamora. El Gefe de Esquadra D. Josef Justo Salcedo, que con la de su mando, surta en Cartagena, ha hecho varias salidas siempre que ha tenido ocasión de inquietar al enemigo y de perseguirle eri sus navegaciones por el Mediterráne</t>
  </si>
  <si>
    <t>Josef Krutter</t>
  </si>
  <si>
    <t>Whnpffen á Capitan segundo al Teniente D. Cárlos Seolar, y á Teniente al Subteniente' de granaderos D. Josef Krutter: en el de 13etschart á Subtenientes de bandera á D. Juan Pedro Riedy y D. Gaspar de la Tour; y en el de Traxler á Subtenientes al Cadete D. Luis VV irch y á D. Julio Alberto Vince</t>
  </si>
  <si>
    <t>Josef Landaeta</t>
  </si>
  <si>
    <t>nezuela, al Teniente de granaderos del propio Cuerpo Don Josef Lobera; esta resulta al de fusileros D. Josef Landaeta; Tenencia de fusileros al Subteniente de granaderos D. Francisco Galindez ; esta Subtenencia al de fusilerosD.Rafael Paez; y una de las de bandera,vacante por ascenso de D. Josef</t>
  </si>
  <si>
    <t>Josef Lasaleta</t>
  </si>
  <si>
    <t>de este Cuerpo patriótico en la publicación de estos premios. Con fecha de 14 del presente remitió D. Josef Lasaleta, de Cádiz , un vale Real de 600 pesos, de i.° de Enero de este ano, núm. 374,622 , endosado á favor de D. Román Lasaleta, y con dirección á Aranjuez; y no habiendo llegado á su po</t>
  </si>
  <si>
    <t>Josef Ligero</t>
  </si>
  <si>
    <t>o Peyrolon y compañía. En Valladolid. Sres. D. Francisco Durango é hijo mayor. En Zamora........... D. Josef Ligero. En Zaragoza........ D. Tomas de la Madrid. En Zenta ............ D. Pedro H uguet, comisionado subalterno del de Cádiz. En la extracción de la Real lotería executada el lunes 15</t>
  </si>
  <si>
    <t>V compañía. " En Válladolid...... Sr?s. D. Francisco Dúrango é hijo mayor. . En Zanlora......... . D. Josef Ligero. En Zaragoza....... D. Tomás de la Madrid. ¿í/z Zeuta......... . D. Pedro Hnget, comisionado subalternó del de Cádiz* El Rey nuestro Señor, á consulta del Consejo pleno, se ha ser</t>
  </si>
  <si>
    <t>Josef Lita</t>
  </si>
  <si>
    <t>antería Española D- Josef Gil de Bernabé, D. Juan Nepomuceno de Gregorio y D. Josef .Xavier Bayona; Don Josef Lita del de caballería del Infante, D. Ramón Albo y D. Bartolomé Amat del de infantería del Rey, D. Manuel Tena del de Zamora, D. Mariano Albo del de Sevilla, D. Salvador Manzanares dei de Af</t>
  </si>
  <si>
    <t>Josef Lobera</t>
  </si>
  <si>
    <t>s de blancos de Valencia, en la provincia de Vanezuela, al Teniente de granaderos del propio Cuerpo Don Josef Lobera; esta resulta al de fusileros D. Josef Landaeta; Tenencia de fusileros al Subteniente de granaderos D. Francisco Galindez ; esta Subtenencia al de fusilerosD.Rafael Paez; y una de</t>
  </si>
  <si>
    <t>Josef López</t>
  </si>
  <si>
    <t>Id. Art. Josef López.......... Elijo de Clemente y de Ursula Teresa,</t>
  </si>
  <si>
    <t>Josef López............. Hijo de Josef, natural de Granada: murió! ^</t>
  </si>
  <si>
    <t>Josef López de la Huerta</t>
  </si>
  <si>
    <t>o. Examen de la posibilidad de fíxar la significación de los sinónimos de la lengua Castellana, por D. Josef López de la Huerta: un tomo en 8.°, á 17 rs. en pasta. Descripción de los ornatos públicos con que la Corte de Madrid solemnizó la feliz exaltación al trono de los Reyes Ntros. Sres., y la jura del</t>
  </si>
  <si>
    <t>Josef López Enguídanos</t>
  </si>
  <si>
    <t>iginales que posee en sus salas de estudio la Real Academia de las tres nobles Artes de*Madrid, por Don Josef López Enguídanos, Académico de mérito de la misma. Esta obra ha sido de Ja aprobación de dicha Real Academia, como propia para poner á los jóvenes en el verdadero camino del diseño: en ella se dan</t>
  </si>
  <si>
    <t>Josef López Mañas</t>
  </si>
  <si>
    <t>Canongía de la Colegial de Antequera, Diócesi de Málaga , vacante por muerte de D. Josef del Rio, á D. Josef López Mañas , Racionero de ella: para la Ración que este dexa á D. Francisco de Arteaga y Roxas:para otra Ración de la Colegial de Soria,Diócesi de Osma, vacante por promoción de D. Vicente G</t>
  </si>
  <si>
    <t>Josef López, Juan</t>
  </si>
  <si>
    <t>Juan Josef López</t>
  </si>
  <si>
    <t>nte de granaderos al de •fusileros D. Diego Ximenez, y á Subteniente de bandera al Savgento segundo D. Juan Josef López : en el mismo Batallón á Teniente veterano al ¿argento primero D. Juan Estanislao Montes: en. el esquadron desmontado del Regimiento de milicias de dragones de Matanzas á Capitán</t>
  </si>
  <si>
    <t>Josef Losada</t>
  </si>
  <si>
    <t>uis Perez del Camino, muerto: D. Cayetano Picado id.: D. Ramón Echague id.: D. Pedro Nuñez, herido: D. Josef Losada id.: D. Pedro Brigloer id.: D. Manuel Huergo, contuso: D. Simón Londoño id.: D. Pedro Rato, herido. Alféreces de Fragata. D. Benito Bermudez de Castro, muerto: D. Juan Balsola, he</t>
  </si>
  <si>
    <t>Josef Luis Munarriz</t>
  </si>
  <si>
    <t>as Carretas. Lecciones sobre la retórica y las bellas letras por Hugo Blair: las traduxo del ingles D. Josef Luis Munarriz. Segunda edición, hecha en la Imprenta B.eal, se hallará en la librería de Castillo, frente á las gradas de S. Felipe, á &lt;58 rs. en pasta. , En la librería de la viuda de Cerro, c</t>
  </si>
  <si>
    <t>Josef Luque</t>
  </si>
  <si>
    <t>'!*»• Josef Luque. Hijo de Juan, natural de Córdoba: murió</t>
  </si>
  <si>
    <t>Josef Luyando</t>
  </si>
  <si>
    <t>1805. Memoria sobre el método para hallar la latitud por alturas, tomadas fuexa del meridiano, por D. Josef Luyando, Teniente de Navio de la Real Armada. Se hallará en el despacho de la Imprenta Real, en el de la Dirección Hidrográfica, y en los tres Departamentos de Marina. Decadencia y ruina</t>
  </si>
  <si>
    <t>Josef Ma</t>
  </si>
  <si>
    <t>de dragones de Nue.va-Gallcía en Nueva— España se ha( servido S. M. promover á Teniente al Alférez D. Josef Ma^ría Alba; á Alférez: al;Portaguión D. Pedro de la Erran Linares, y á Portaguiones á D. Manuel Vidal, y á D. Guillermo Marurir en el de Queretaro á Capitán al Teniente D. Tomas Beñ</t>
  </si>
  <si>
    <t>Josef Maea</t>
  </si>
  <si>
    <t>estampas de la Virgen Santa Catalina de Sena , de la Tercera Orden de Santo Domingo, dibuxadas por D. Josef Maea, y grabadas dos por D. Manuel Salvador Carmona, y la otra por su discípulo D Blas Amóler: la primera representa quando Gregorio xr trasladó la silla de S. Pedro de Aviñon á Roma*,</t>
  </si>
  <si>
    <t>Josef Manovel</t>
  </si>
  <si>
    <t>de está Real Casa D. Josef Albarran y D. Gregorio Gonzalo, para que auxiliados de otros dos Médicos D. Josef Manovel y D. Josef Gomalez Ayensa,,y el Cirujano D. Lorenzo Sobl.echero, fuesen administrando la vacuna con la precaución de que lo verificasen progresiva y paulatinamente, con la mira de que</t>
  </si>
  <si>
    <t>Josef Manuel Barceló</t>
  </si>
  <si>
    <t>érez de la Compañía urbana de caballería de la ciudad de Trinidad, en la referida isla, al Sargento D. Josef Manuel Barceló. En el Regimiento de dragones de España, fixo de México, se ha servido S. M. promover á Teniente al Alférez D. Joaquín Perez; á Alférez al Portaguión D. Josef Joaquín de Náxera, y</t>
  </si>
  <si>
    <t>Josef Manuel Bustamante</t>
  </si>
  <si>
    <t>e al Subteniente de granaderos D. Gerónimo Gómez Torre; á Subteniente de granaderos al de fusileros D. Josef Manuel Bustamante, y á Subtenientes de compañía y de bandera á D. Mariano Sein, D. Josef Ana Marmolejo y D. Manuel de Septien y Escudero, el primero Subteniente de bandera, y los otros dos vecinos</t>
  </si>
  <si>
    <t>Josef Manuel de Goyeneche</t>
  </si>
  <si>
    <t>eniente en el de Dragones de la Réyna al Alférez D. Alexandro Menor. S. M. se ha servido conceder á D. Josef Manuel de Goyeneche, Capitán del Regimiento de infantería de Voluntarios de Estado, grado y agregación, de Coronel al Regimiento de Milicias disciplinadas de infantería de Arequipa. * &gt; En América. E</t>
  </si>
  <si>
    <t>Josef Manuel de Ortega</t>
  </si>
  <si>
    <t>cido en 2 de Mayo de 1794 Doña'Antonia Berben , vecina de la Real Isla de León, primera consorte de D. Josef Manuel de Ortega, del mismo .vecindario, y dexado un legado á los hijos de su hermano D. Francisco Berben, -natural y vecino del Puerto de Santa María, quien pasó á la ciudad de México, en donde s</t>
  </si>
  <si>
    <t>Josef Manuel de Salas</t>
  </si>
  <si>
    <t>sencillas al Alférez D. Andrés Gallegos, al Portaguión D. Ramón Delgado, y á los Sargentos primeros D. Josef Manuel de Salas, D. Juan de Dios Alvarez, D. Francisco AIvarez y D. Jacinto Roque de Luna: empleo de Alférez de granaderos al Sargento primero DJ Josef Vicente Salas, y sencillos al Cadete D. Jos</t>
  </si>
  <si>
    <t>Josef Manuel García Panes</t>
  </si>
  <si>
    <t>Rey se ha servido conferir el empleo de Comandante del Cuerpo provincial de Lanceros de Veracruz á D. Josef Manuel García Panes, Capitán primero del Real Cuerpo de Artillería. El Rey se ha servido nombrar para el empleo de Asesor y Auditor de Guerra del Gobierno y Capitanía general de las islas Filipinas á</t>
  </si>
  <si>
    <t>Josef Manuel Leal de Toro</t>
  </si>
  <si>
    <t>lanueva de Escuderos, en la Diócesis de Cuenca, vacante por fallecimiento de D. Baltasar Hurtado, á D. Josef Manuel Leal de Toro, Cura que fue de la misma villa, exonerando al actual Cura de ella de la pensión de 200 ducados con que tiene que contribuirle de las rentas de aquel Curato, quedando por este med</t>
  </si>
  <si>
    <t>Josef Manuel Seoane</t>
  </si>
  <si>
    <t>a servido nombrar para una Ración de la Catedral de Santa Cruz de la Sierra, vacante por ascenso de D. Josef Manuel Seoane á la Canongía Lectora! de la misma Iglesia , á D. Josef Francisco de Rivero, Cura del pueblo de la Concepción, en la propia Diócesi. También ha nombrado S. M. para la plaza de Fis</t>
  </si>
  <si>
    <t>Josef Manuel Tamayo</t>
  </si>
  <si>
    <t>Iglesia ; y para una Ración de la Catedral del Nuevo Reyno de León, vacante por haberla renunciado D. Josef Manuel Tamayo , á D. Mariano Josef CavoFranco , Presbítero del Arzobispado de México. S. M. se ha servido nombrar para el Daanato de la Catedral de Guadalaxara, vacante por fallecimiento de D.</t>
  </si>
  <si>
    <t>Josef ManuelBermudes</t>
  </si>
  <si>
    <t>bispado: para la segunda a D. Juan de Ceyallos: para la Ración que este obtenia, al Medio-Racionero D. Josef ManuelBermudes; y para esta resulta a D. Manuel de la Puerta, Cura de la Doctrina de S. Josef en la villa de Caxamarca, Obispado de Truxillo. Igualmente ha nombrado S. M. para dos plazas de Agen</t>
  </si>
  <si>
    <t>Josef Marcelino de Molina</t>
  </si>
  <si>
    <t>Paredes, D. Diego de Sosa, D. Mauricio Zamalloa, D. Teodoro Martínez dei Campo, D. Mariano Mallea, Don Josef Marcelino de Molina y D. Manuel Melchor Vargas; Ayudantía á D. Isidro Quevedo; Tenencia de granaderos á D. Nicolás Romero y Fuster, y de fusileros á D. Luis de Heredia, D. Gregorio Hernández Prieto, D. M</t>
  </si>
  <si>
    <t>Josef Marcos Calderón</t>
  </si>
  <si>
    <t>imeros D. Faustino Valdés, D. Mariano Gamboa, D-. Felipe Borbolla, D. Gregorio Fernandez de Llamas, D. Josef Marcos Calderón y D. Melchor Mogollon; y de bandera ai Sargento primero D. Juan Armendariz, y al Cadete D. Pedro de Paz: en el de dragones de Milicias de Lima Tenencia de granaderos al Terniente D. V</t>
  </si>
  <si>
    <t>Josef Marcos González</t>
  </si>
  <si>
    <t>tallón de infantería de Olahcho al de fusileros D. Mariano González, y de fusileros á los Tenientes D. Josef Marcos González y D. Josef María Mendez; á Teniente de granaderos ai de fusileros D. Dionisio Xereda, y de fusileros á los Subtenientes D. Josef Francisco Romero , D. Francisco Mendieta y D. Juan Jos</t>
  </si>
  <si>
    <t>Josef Marcos Gutiérrez</t>
  </si>
  <si>
    <t>está concluyendo el tomo 3.0, que comprehende el 3.0 y 4.0 libro. Febrero reformado, y anotado por D. Josef Marcos Gutiérrez. Se hallará en la librería de Castillo, juntamente con un índice general separado para los exemplares de ía primera impresión: un tomo de adiciones á toda la obra, y el tomo i.° d</t>
  </si>
  <si>
    <t>Josef María</t>
  </si>
  <si>
    <t>uan Josef de Estrada; y ha promovido á Capitanes á los Tenientes D. Domingo Branly, Ayudante mayor, D. Josef María .de Solves, de granaderos, y D. Joaquín Borruitiner, Ayudante mayor graduado de Capitán; á Ayudantes mayores á los Tenientes D. Fernando de la Puente , de granaderos, concediéndol</t>
  </si>
  <si>
    <t>Josef María Aguirre</t>
  </si>
  <si>
    <t>de Granada D. Ignacio Garcini; y en el de Voluntarios de la Corona al Cadete del Inmemorial del Rey D. Josef María Aguirre. En América. El Rey se ha servido conferir el empleo de Comandante del Cuerpo provincial de Lanceros de Veracruz á D. Josef Manuel García Panes, Capitán primero del Real Cuerpo de</t>
  </si>
  <si>
    <t>Josef María Anchuelo y Guztnan</t>
  </si>
  <si>
    <t>l-Obispado de Cuenca, vacante por renuncia que ha hecho D. Francisco de Olavarrieta y Ur-. quijo, á D. Josef María Anchuelo y Guztnan: para la Media-Prestamera de Ja Parroquia de S. Isidoro de la ciudad de Ubeda, en el Obispado de Jaén, vacante por fallecimiento de D. Miguel Teodoro de Molina, á D. Carlos Luis O</t>
  </si>
  <si>
    <t>Josef María Barrueco</t>
  </si>
  <si>
    <t>y de bandera :á D. Josef Francisco de Nava, D. Luis García Aguirre, Don. Ventura Fernandez Peredo.y D. Josef María Barrueco, vecinos de la den marcación del mismo Regimiento. En el Batallón de Milicias disciplinadas de Chíquimula, en el Reyno de Goatemala, se ha dignado el Rey promover á Tenientes á D.</t>
  </si>
  <si>
    <t>Josef María Bayot</t>
  </si>
  <si>
    <t>te, de granaderos aí de fusileros D. Manuel Fermín: García; á Subteniente dé Compañía al de bandera D. Josef María Bayot, y á Subteniente de bandera al Cadete D. Juan Josef Sánchez. * ,; ' * En el Batallón de infantería fixo de Panamá se ha setvido el Rey promo* ver á Capitán de granaderos al de fus</t>
  </si>
  <si>
    <t>Jósef María Bermudez</t>
  </si>
  <si>
    <t>to, que leyó el Secretario. Fuéron examinados en Aritmética D. Ignacio Fl'orez , D. Genaro Chaple , D. Jósef María Bermudez,D[. Francisco Goel, D. Ildefonso Pozo; y D. Joaquín Verástegui ; en Geometría1 elemental D. Josef Demblans: en la elemental y práctica D. Antonio Salazar, D. Miguel Horcasitas y D</t>
  </si>
  <si>
    <t>Josef María Bucheli</t>
  </si>
  <si>
    <t>D. Juan Josef de Gamboa: para la Canongía al Racionero D. Juan Pablo Chaves; y para esta resulta á D. Josef María Bucheli, Medio- Racionero de la misma Iglesia ; y para una Ración de la Catedral del Nuevo Reyno de León, vacante por haberla renunciado D. Josef Manuel Tamayo , á D. Mariano Josef CavoFr</t>
  </si>
  <si>
    <t>Josef María Caqrer</t>
  </si>
  <si>
    <t>servido conferir.el epipleo de Sargento mayor de laPlaza de Buenos-Ayres á £). Josef María Caqrer, Teniente Coronel del Real Cuerpo de Ingenieros; y la Sargentía mayor de la Plaza de Panamá al Teniente Coronel D. Manuel Madrigal,: Sargento mayor veterano del Regimiento de milicias de Ca</t>
  </si>
  <si>
    <t>Josef María Carranque y Freyre</t>
  </si>
  <si>
    <t>D. Felipe Alvarez, y en el expresado de Granada al Teniente reformado del Provincial de Pontevedra D. Josef María Carranque y Freyre. El Rey se ha servido conferir en el Regimiento de infantería de Voluntarios de la Corona Compañía al Teniente de granaderos, graduado de Teniente Coronel, D. Manuel Bayona; y en</t>
  </si>
  <si>
    <t>Josef María Carvajal</t>
  </si>
  <si>
    <t>Coronela del Regimiento de infantería de la Corona al Comandante del tercer Batallón del de Córdoba D. Josef María Carvajal: Compañías en el de Sevilla al Teniente , graduado de Capitán, D. Alexo Gutiérrez de Ru ba Icava: en el de Toledo al Ayudante, con grado de Capitán, D. Luis Quintero; y en el de l</t>
  </si>
  <si>
    <t>Joséf María Chaves</t>
  </si>
  <si>
    <t>iente D. Tomas Alfonso; á Teniente al Subteniente D. Rafael Car bailo; á Sub•tenienre al de bandera D. Joséf María Chaves, y á esta resulta al Cadete D. Francisco Alfonso; y en el Esquadron montado del propio Cuerpo á 7Capitan al Teniente D. Francisco Morejon; á Tenientes ai Subteniente Don Felipe Xi</t>
  </si>
  <si>
    <t>Josef María Crúzate</t>
  </si>
  <si>
    <t>btenientes de bandera en los de Xerez, Truxillo, La re do, Ronda, Valladolid, Segovia y Betanzos- á D. Josef María Crúzate, D.. Joaquín María; del Manzano, D. Andrés María García Diego, D. Antonio Cidron, D. Fé-; lix Blanco Vitoria j D. Juan Pió de Quijana y D. Josef María de Senra. El Rey se lia serv</t>
  </si>
  <si>
    <t>Josef María de Carvajal</t>
  </si>
  <si>
    <t>i . El Rey se ha servido conferir la Tenencia Coronela del Regimiento dé infantería del Príncipe á D. Josef María de Carvajal , Teniente Coronel de¿ de Voluntarios de la Corona; y esta resulta al Teniente Coronel Marque* de Peñafiel, Tenienté del de Reales Guardias de infantería Española.' Por el Sr. Sec</t>
  </si>
  <si>
    <t>Josef María de Lugo</t>
  </si>
  <si>
    <t>el Príncipe; y el de Capitán segundo en el Batallón de Voluntarios de Valencia- al segundo Ayudante D. Josef María de Lugo. El Rey se ha dignado conceder grado de Teniente Coronel de infantería á D. Josef Cortés, Sargento mayor de Brigada del Real Cuerpo de Ingenieros del exército* También ha promovid</t>
  </si>
  <si>
    <t>Josef María de Oya</t>
  </si>
  <si>
    <t>ias dé .bandera en los de la Corona, León y Ordenes Militares á los Cadetes D. Juan'Manuei Parreño, D. Josef María de Oya y D. Tomas de Irazoqui, este del de Mallorca. El Rey se ha servido conferir la Tenencia Coronela del Regimiento de infantería de Aragón áD. Juan Rengel,!Comandante dei tercer Batallón</t>
  </si>
  <si>
    <t>Josef María Fernández de Córdoba</t>
  </si>
  <si>
    <t>de la Real Audiencia de Cataluña , vacante por fallecimiento de D. Antonio Pellicer de la Torre , á D. Josef María Fernandez de Córdoba, Alcalde del Grí—* mea-mas antiguo de la* misma Audienciaf y para esta resulta á D. Do-; mingo Dueñas y Castro. * ''■* En atención áTos grandes y distinguidos servicios que han he</t>
  </si>
  <si>
    <t>Josef María Galdós</t>
  </si>
  <si>
    <t>seis vaies de 150 pesos, de i.° de Enero último, con sus carpetas y con el último endoso á favor de D. Josef María Galdós, se perdieron en el camino, cuyos números son 224879, 252123, 307804, 309803, 319525,329i85.Quten los haya encontrado los entregará á dicho Galdós, que vive plazuela del Conde de</t>
  </si>
  <si>
    <t>Josef María Garmendia</t>
  </si>
  <si>
    <t>rios, los tres últimos vecinos dei mismo Reyno: y en el de la Nueva Segovia á Capitanes aí Teniente D. Josef María Garmendia y al Subteniente D. Josef Antonio Romero; á Tenientes á D. Antonio de Arce y D. Josef Antonio López; y á Alféreces á D. Pablo Sobalbarro y D. Antonio Ignacio Irías, los quatro últim</t>
  </si>
  <si>
    <t>Josef María Iribarren</t>
  </si>
  <si>
    <t>o D. Josef Tixero: en el de la Reyna al Cadete D. Josef María Naranjo; y en el de Álmansa al Cadete D. Josef María Iribarren. En América. S. M. se ha servido nombrar para una Media-Ración de la Metropolitana de Manila, en Filipinas, vacante por ascenso á Ración de ella de D. Tomas Casañas, á D. Josef Vi</t>
  </si>
  <si>
    <t>Josef María Justiz</t>
  </si>
  <si>
    <t>. Andrés Ximenez: en la Compañía urbana de Caballería de la ciudad de Cuba á Capitán al Subteniente D. Josef María Justiz; á Teniente</t>
  </si>
  <si>
    <t>Josef María Kindelan</t>
  </si>
  <si>
    <t>Servido conceder Tenencias en el Regimiento de infantería de Ultónhá ál Subteniente dé* granaderos D. Josef María Kindelan*, y eii el de Voluntarios dé; Gastillíi ál Subteñiérite I).‘ Vicente Quirós. En él- Regimienló dé infantería de Jaén se ha servido el Rey conferir Compañía al Teniente de granader</t>
  </si>
  <si>
    <t>Josef María Lequerica y Riofrio</t>
  </si>
  <si>
    <t>tenencia en las dos Compañías sueltas de Milicias disciplinadas 4e Loxa, en el Reyno de Santa Fe, á D. Josef María Lequerica y Riofrio. S, M. se ha dignado conceder en el Batallón de Milicias urbanas de Chucuyto el empleo de Coronel á D. Josef de Guerra; la Tenencia Coronela á D. Julián de los Ríos; la Sargentía</t>
  </si>
  <si>
    <t>Josef María Naranjo</t>
  </si>
  <si>
    <t>over á Portaguiones, en el del Rey al Sargento primero D. Josef Tixero: en el de la Reyna al Cadete D. Josef María Naranjo; y en el de Álmansa al Cadete D. Josef María Iribarren. En América. S. M. se ha servido nombrar para una Media-Ración de la Metropolitana de Manila, en Filipinas, vacante por asce</t>
  </si>
  <si>
    <t>Josef María OrelU</t>
  </si>
  <si>
    <t>cégaSárgentó mayor del de Voluntarios de Barbastro; y Tenencia en este último-Cuerpo aE Subteniente D. Josef María OrelU • G En cumplimiento de lo mandado por S.M. en Real Pragmática-Sanción de 30 de Agosto de 1800, desde i.° de .Agosto próximo hasta 36 de Setiembre se presentarán los Vales de'óco p</t>
  </si>
  <si>
    <t>Josef María Pardo</t>
  </si>
  <si>
    <t>. Contramaestre de Esquadra. D. Miguel García, muerto. Guardias Marinas. DvGerónimo Salas , muerto: D. Josef María Pardo id.: D. Josef Maymó, herido : D. Manuel Briones id.: D. Pedro Saez;Baranda id.: D. Aniceto Diaz Pimienta id.: D. Francisca Rúa id. Primer Piloto. D. Joaquin Hurtado, contuso. Tamb</t>
  </si>
  <si>
    <t>Josef María Ríos</t>
  </si>
  <si>
    <t>disciplinadas de Chíquimula, en el Reyno de Goatemala, se ha dignado el Rey promover á Tenientes á D. Josef María Ríos y D. Manuel Travanino, Subtenientes del mismo Cuerpo; y á Subtenientes de bandera á los Sargentos segundos D. Francisco Peña,yI)on Brígido Valdés. í^ £1 Sr. D. Sebastian de Torres, de</t>
  </si>
  <si>
    <t>Josef María Rosas</t>
  </si>
  <si>
    <t>se ha servido conceder Subtenencias de bandera en el Regimiento de infantería de Hibernia al Cadete D. Josef María Rosas ; y en el de Málaga á los Cadetes del Fixo de Zeuta D. Josef Martínez , y del de Voluntarios de Castilla D. Ramón Barraguer. El Rey se ha servido nombrar Subtenientes del Real Cue</t>
  </si>
  <si>
    <t>Josef María Rüson</t>
  </si>
  <si>
    <t>5.* Art. Josef María Rüson Hijo de Luis y de María Prieta, natu-</t>
  </si>
  <si>
    <t>Josef María Sánchez de la Campa</t>
  </si>
  <si>
    <t>idades.de versos; D. Manuel Segovia, Don Andrés Rodríguez, D. Manuel de Fuentes, D. Esteban García, D. Josef María Sánchez de la Campa, D. Fernando Ribera, D. Vicente Garin,Don Juan Nepomuceno Montero y D. Francisco Roco en traducción de autores y reglas de sintaxis; D. Joaquin Sevilla, D. Antonio González Rendon</t>
  </si>
  <si>
    <t>Josef María Velarde</t>
  </si>
  <si>
    <t>astian Beasini , y á lós Cadetes D. Manuel Rodríguez y D. Justo Paredes; y de bandera á los Cadetes D. Josef María Velarde y D. Lorenzo Ley, este del Batallón auxiliar de Sta. Fe, con grado de Subteniente. Con 2 cristales de materia vacuna qüe el Capitán general de Extremadura dirigió en 7 del mes de Juni</t>
  </si>
  <si>
    <t>Josef Mariano Cardona</t>
  </si>
  <si>
    <t>para una Radon de la Metropolitana de Lima, vacante por fallecimiento de D. Juan Gerónimo Valdes, á D. Josef Mariano Cardona; y para la Media-Ración que dexa á D. Manuel de San» tibañez,Cura en dicha ciudad; y para otra Media-Ración de la Catedral de la Puebla de los Angeles, que vacó por fallecimiento</t>
  </si>
  <si>
    <t>Josef Mariano del Rio de la Loza, Agustín</t>
  </si>
  <si>
    <t>Agustín Josef Mariano del Rio de la Loza</t>
  </si>
  <si>
    <t>sef Moreno: para la Maestrescolia á D. Juan Gómez Villaseñor; y para la Tesorería, que este dexa, á D. Agustín Josef Mariano del Rio de la Loza, Canónigo Magistral de dicha Iglesia. S. M. se ha servido nombrar Teniente de la compañía fixa del castillo de S. Juan del Reyno de Goatemala á D. Ventura Villarprego, Subteniente</t>
  </si>
  <si>
    <t>Josef Mariano González</t>
  </si>
  <si>
    <t>ndera Doh Estéban oe Varona, y al Cadete D. Luis Escovar; y á Subtenientes dé bandera á los Cadetes D. Josef Mariano González y D. Estóban de la Toiv re: en él de milicias de las quatro Villas, en dicha isla, á Capitán ai Subteniente de granaderos D. Joaquín Vigil ; á Subteniente de granaderos al de •fusiler</t>
  </si>
  <si>
    <t>Josef Mariano Vailejo</t>
  </si>
  <si>
    <t>la que Mr. de Saint-Pierre da para probar que la tierra es prolongada hacia los polos, escrita por D. Josef Mariano Vailejo, Catedrático de matemáticas del Real Seminario de Nobles; y unas noticias sobre los Máratas. Por providencia del Sr. D. Torquato Antonio Collado , del Consejo de S. M., Teniente C</t>
  </si>
  <si>
    <t>Josef Mariconda</t>
  </si>
  <si>
    <t>licores de esta clase; advirtiéndose que las indicadas papeletas expresan el nombre ¡del Fabricante Don Josef Mariconda { vulgo Rosi). Los precios de venta serán veinte reales por cada botella de á quartillode Marrasquino superfino ,, y diez por la de medio quartillo : diez y seis reales por la de</t>
  </si>
  <si>
    <t>Josef Márquez Rebollo</t>
  </si>
  <si>
    <t>ría An- tonia Rodríguez de Obeso, residente en Andalucía............... 250 ID. Josef Márquez Rebollo, Presbítero, de Cádiz: para decir mi. sas por su alma................................. .......... ........................................... 677 11 Lo que se hace público á fin de que llegue</t>
  </si>
  <si>
    <t>Josef Marta Carvajal la Tenencia Coronela del Regimiento</t>
  </si>
  <si>
    <t>meros, y un escudo de premio á Jos segundos. En la Gazeta núm. 90 se dice que el Rey ha conferido á D. Josef Marta Carvajal la Tenencia Coronela del Regimiento de infantería dé la Corola; y debe decir que la del de infantería de Voluntarios de la Corona. EN LA IMPRENTA REAL.</t>
  </si>
  <si>
    <t>Josef Martín da Cunha Pessoa</t>
  </si>
  <si>
    <t>han alterado los títulos de nuestros Soberanos, y las verdaderas épocas en que esto ha sucedido: el Dr. Josef Martin da Cunha Pessoa, Médico de la Real Cámara, una memoria sobre la falsificación de los vinos, vinagres y licores espirituosos, y el modo de reconocerlo; y últimamente el Sargento mayor del Real Cue</t>
  </si>
  <si>
    <t>Josef Martín Niño de Ribera</t>
  </si>
  <si>
    <t>de Puebla se ha dignado, promover á Alférez al Portaguión D. Joset Antonio Osio , y a Portaguión á D. Josef Martin Niño de Ribera. ■ El Rey se ha dignado conceder al Brigadier D. Juan Antonio de la Mata, Teniente de Rey de la Plaza de Panamá, el Gobierno militar y político de ella, y la Comandancia general d</t>
  </si>
  <si>
    <t>Josef Martín Ruiz</t>
  </si>
  <si>
    <t>ón Caruncho y á D. Josef Benito Montenegro*, á Teniente de fusileros en el de Cuenca al Subteniente D. Josef Martin Ruiz: á Subtenientes de granaderos y de Bandera en los de Jaén y Ciudad-Rodrigo á los Subtenientes D. Antonio de la Peña y D. Juan Obregon, y á Don Francisco María de Arroquia y Oses;</t>
  </si>
  <si>
    <t>Josef Martínez</t>
  </si>
  <si>
    <t>ancesa establecida por la Sociedad, que baxo la dirección de su maestro D. Juan Vigier, sostuvieron D. Josef Martínez, D. Manuel Campos y D. Josef Escovar, habiendo sido preguntados de todas las partes de la gramática Francesa, y respondido con facilidad é inteligencia, traduciendo y leyendo igua</t>
  </si>
  <si>
    <t>ería de Hibernia al Cadete D. Josef María Rosas ; y en el de Málaga á los Cadetes del Fixo de Zeuta D. Josef Martínez , y del de Voluntarios de Castilla D. Ramón Barraguer. El Rey se ha servido nombrar Subtenientes del Real Cuerpo de Ingenieros del exército á D. Diego Sande, que lo era del Regimi</t>
  </si>
  <si>
    <t>Josef Martinez de Mazas</t>
  </si>
  <si>
    <t>servido nombrar para el De2nato primera silla de la Catedral de Jaén, vacante por fallecimiento de D. Josef Martinez de Mazas, á D. Gregorio González Beltraniila y Angulo, Dignidad de Arcediano titular y Canónigo de la Catedral de Almería: para la Ración de la Catedral de Cuenca , vacante por ascenso de</t>
  </si>
  <si>
    <t>Josef Martinez Henao</t>
  </si>
  <si>
    <t>ncias de fusileros á los Subtenientes D. Gerónimo Valladares, D. Estéban Pastor, Don Santos Rábago, D. Josef Martinez Henao, y al Teniente agregado Don Ignacio Simó: en el de Lorca la Subtenencia de granaderos al Subteniente de fusileros D. Joaquín Chico;y en los de Plasencia, Avila, Salamanca, Granada</t>
  </si>
  <si>
    <t>Josef Martínez Tejada</t>
  </si>
  <si>
    <t>BIks López Telegrin y su hijo D. Agustín , D. Josef Martínez Tejada, Don Saturio Refusta y D. Antonio Hernando Ximenez , vecinos todos de aquella villa, aprontaron ademas, por subscripción y acciones de á 50c rs., la cantidad de 13®, con la quai s</t>
  </si>
  <si>
    <t>Josef Martínez y Manuel García</t>
  </si>
  <si>
    <t>o Calvez: Subteniente de la misma á D. Antonio Sánchez : Teniente y Subteniente de la de Truxiilo á D. Josef Martínez y Don Manuel García. En el Regimiento de dragones de Buenos- Ayres se ha servido el Rey promover á Sargento mayor al Capitán, graduado de Coronel, D. Agustín de Pinedo: á Capitán al Ayudante D. Manue</t>
  </si>
  <si>
    <t>Josef Martínez, Juan</t>
  </si>
  <si>
    <t>Juan Josef Martínez</t>
  </si>
  <si>
    <t>ato primera silla y Canongía unida de la Colegial de Soria, Diócesis de Osma, vacante por muerte de D. Juan Josef Martínez, á D. Vicente Casquete y Villaran , Dignidad de Chantre de la misma Colegial: para esta resulta í D. Diego Moreno Alvarez; y para una Canongía de la Colegial de Uxijar, en el Arzo</t>
  </si>
  <si>
    <t>olque, durante la noche, los quatro navios Paula, Guerrero, Asia y S. Ramón, al mando del Brigadier D. Juan Josef Martínez, y con el res,</t>
  </si>
  <si>
    <t>¿so Josef Casis de la Torre: para la Maestrescolía á D. Pedro Juan de Batista: para la Tesorería á D. Juan Josef Martínez; y para la Canongía de este á D. Isidro Josef del Rio, Cura del Sagrario de la misma Iglesia. También se ha dignado S. M. nombrar para una Ración vacante en la Metropolitana de Sa</t>
  </si>
  <si>
    <t>Josef Masdcvall</t>
  </si>
  <si>
    <t>e S. M. nomr , 1 jyiijío cn su viseé á Ccir.tantinopla el año oc 17061 su curación por el .'_4 deíW D. Josef Masdcvall; reflexiones sobre la naturaleza de anueílas enf^rn^dades; v aplicación de ios mismos remedies, á otras análogas muv frecuentes, con 'particularidad en las navegaciones por el L.c</t>
  </si>
  <si>
    <t>Josef Matías de Paredes</t>
  </si>
  <si>
    <t>n Rodríguez de Cea; Compañía de granaderos á D. Juan Carrion, y de fusileros á D. Manuel Caballero, D. Josef Matías de Paredes, D. Diego de Sosa, D. Mauricio Zamalloa, D. Teodoro Martínez dei Campo, D. Mariano Mallea, Don Josef Marcelino de Molina y D. Manuel Melchor Vargas; Ayudantía á D. Isidro Quevedo;</t>
  </si>
  <si>
    <t>Josef Mauricio Chone de Achá</t>
  </si>
  <si>
    <t>arinas, á 20 rs. Conducta de España, comparada con la de Inglaterra en el presente rompimiento: por D. Josef Mauricio Chone de Achá, Comisario Ordenador de los Reales Exércitos, é individuo dermérito de la Real Sociedad Matritense. En ¿ste papel se bosqtiexaiv ligeramente Jos primeros progreso* de. la marina d</t>
  </si>
  <si>
    <t>Josef Mauricio Chone de Acha</t>
  </si>
  <si>
    <t>crito intitulado Conducta de España, comparada con la de Inglaterra en el presente rompimiento, por D. Josef Mauricio Chone de Acha, Comisario Ordenador de los Reales Exércitos, ¿ individuo de mérito de la Real Sociedad Matritense. Se hallará á 8 rs. en rustica y r 2 en pasta en el despacho de la Imprenta Real</t>
  </si>
  <si>
    <t>Josef Maymó</t>
  </si>
  <si>
    <t>a. D. Miguel García, muerto. Guardias Marinas. DvGerónimo Salas , muerto: D. Josef María Pardo id.: D. Josef Maymó, herido : D. Manuel Briones id.: D. Pedro Saez;Baranda id.: D. Aniceto Diaz Pimienta id.: D. Francisca Rúa id. Primer Piloto. D. Joaquin Hurtado, contuso. También ha dado parte al</t>
  </si>
  <si>
    <t>Josef Mayoli</t>
  </si>
  <si>
    <t>Hernández, D. Josef loaquin Ruiz y D.Jo sef María Rengel; y á Subtenientes de bandera á los Cadetes D. Josef Mayoli y D. Josef Fernandez, y á D. Juan Tomey, vecino de la demarcación del mismo Regimiento. Asimismo se ha dignado S. M. promover á Capitán de Ja Compañía de infantería fixa de Acapulco a</t>
  </si>
  <si>
    <t>Josef Melendez</t>
  </si>
  <si>
    <t>ubtenencias en el mismo Cuerpo al Sargento primero de granaderos D. Manuel Hernández, á los Cadetes D. Josef Melendez y D. Josef Bausa , este de la Compañía fixa del Peñón, y al Soldado distinguido del de Reales Guardias Waloras D. Pedro Thibeau: en los de la Corona y Extremadura á los Cadetes D. Mau</t>
  </si>
  <si>
    <t>Josef Mencía</t>
  </si>
  <si>
    <t>de la Carrera y S. Juan de la Pervera, en el Obispado de Oviedo, por renuncia de D. Josef Solana, á D. Josef Mencía^ Cura Párroco de la villa de Pajares, en dicho Arzobispado de Toledo : para el Beneficio Sacristía del lugar de IIolgueraven la Diócesis de Coria, por fallecimiento de D. Antonio</t>
  </si>
  <si>
    <t>Josef Mendez</t>
  </si>
  <si>
    <t>lana; el empleo de Alférez de granaderos á D. Casimiro Contreras; y sencillos á D. Miguel Riquelme, D. Josef Mendez, D. Matías Aguirre, D. Mariano Llanos, D. Lorenzo Portugal, D. Francisco Gamarra, D. Pedrb Godiel, D. Juan de Dios Va'dés, D. Matías Velazquez, D. Diego Mexía, Don Vicente Bellido</t>
  </si>
  <si>
    <t>Josef Meneses</t>
  </si>
  <si>
    <t>Panlagua y D. Alexo Castilla ; Subtenencia de granaderos á D. Juan de Dios Tapia; y de fusileros á D. Josef Meneses, D. Mariano Hinojosa, D. Andrés Losa, D. Manuel Calderón, D. Estéban Carvajal, D. Francisco Calderón, D. Domingo del Castillo y D. MarianoGab do; y de bandera á D. Eladio de la Ri</t>
  </si>
  <si>
    <t>Josef Mesa</t>
  </si>
  <si>
    <t>naderos á D. Fermín Albares; de fusileros á IX Dámaso Mesa, D. Marcelo Sanabria , Don Miguel Parra, D. Josef Mesa, D. Mariano Cosío, D. Pascual Zárate; y de bandera á D. Gregorio Olivera: la Tenencia Coronela del de caballería de Chancay al Marques de Casa-Boza: Compañía en el de Chota á D. M</t>
  </si>
  <si>
    <t>Josef Miguel Alca</t>
  </si>
  <si>
    <t>descubrimiento de América: el extracto del tratado de los Tropos de César Dumarsais, traducido por D. Josef Miguel Alca; y unas observaciones sobre el Origen y diversos estilos de arquitectura. Desde este número queda abierta la subscripción para el tercer trimestre: los que no quisiesen experiment</t>
  </si>
  <si>
    <t>Josef Miguel Carrion</t>
  </si>
  <si>
    <t>to de D. Vicente de Heredia, á D. Marrano Salazar; y para la Media-Ración, que este dexa en ella, á D. Josef Miguel Carrion. S. M. se ha dignado conferir el empleo de Capitán del Batallón de Milicias disciplinadas de infantería de blancos de Maracaybo, en la provincia de Venezuela , al Teniente del pro</t>
  </si>
  <si>
    <t>Josef Miguel Pagan</t>
  </si>
  <si>
    <t>regorio Cebolledo; á Alférez de carabineros á D. Antonio Estéban; y á Alféreces al Sargento primero D. Josef Miguel Pagan y al Cadete D. Vicente Ramírez de Arellano. Don Francisco Xavier Trelles ha dado cuenta al Excmo. Sr. Generalísimo Príncipe de la Paz, que el dia 21 de Marzo se dexó ver del puerto</t>
  </si>
  <si>
    <t>Josef Miguel Pérez</t>
  </si>
  <si>
    <t>ón, que vacó por jimerte de P. Juan Manuel de España, en la Catedral de ia Puebla de los Angeles, á D. Josef Miguel Perez, Medio-Racionero mas antiguo de la pj-opia Iglesia. . ' : ;. : S. M. se ha servido,conferir el empleo de Teniente de Rey de la plaza de la Ha vana, y Cabo subalterno del Capitán G</t>
  </si>
  <si>
    <t>Josef Mijangos</t>
  </si>
  <si>
    <t>a— España, se ha. servido S. M. promover á Subteniente de bandera al Sargento primero de granaderos D. Josef Mijangos.. £1 Rey se ha dignado conferir, la Sargentía mayor veterana, del Regimiento de Milicias de dragones de Lima.á D. Cesáreo de la Torre y Cevallos, Capitán del. de infantería de Gui</t>
  </si>
  <si>
    <t>Josef Miret y Sadaba, Juan</t>
  </si>
  <si>
    <t>Juan Josef Miret y Sadaba</t>
  </si>
  <si>
    <t>2 cristales de materia vacuna qüe el Capitán general de Extremadura dirigió en 7 del mes de Junio á D. Juan Josef Miret y Sadaba, Alcalde mayor de ia villa de Brozas, hizo practicar én 11 del mismo á su presencia en las casas consistoriales de la propia villa ai Médico de Exército y titular de la misma D. J</t>
  </si>
  <si>
    <t>Josef Moldes</t>
  </si>
  <si>
    <t>promovido e! Rey á Cadete de número ai supernumerario D. Juan Montes, y á supernumerario al Guardia D. Josef Moldes. El Rey se ha dignado nombrar al Sr. D. Juan Diego Duro y Solano pa ra la plaza efectiva de Ministro dei Consejo de Hacienda, vacante por fallecimiento del Sr- D. Andrés Tirado Ma</t>
  </si>
  <si>
    <t>Josef Montalvo y Ovando</t>
  </si>
  <si>
    <t>ernumerario D. Julián" Poveda, y á Supernumerario al Guardia D. Fernando Ayala. El Alférez de Navio D. Josef Montalvo y Ovando,. Comandan te del falucho núm. 109 del apostadero de Algeciras, ha dado cuenta de que en la noche del dia 18 de Julio , hallándose en él golfo dé Vera, tornó al abor-, dage al fal</t>
  </si>
  <si>
    <t>Josef Mor de Fuentes</t>
  </si>
  <si>
    <t>de Octubre: Silva dedicada al Excmo. Sr. D. Antonio Escaño, Teniente General dé la Real Armada, por D. Josef Mor de Fuentes. En esta composición/ impresa con todo esmero , se ha procurado dar una idea cabal de las circunstancias dé' la acción, y ‘del héroycd desempeño delbs Gefes, Oficiales, soldados y</t>
  </si>
  <si>
    <t>Josef Morales y Setien</t>
  </si>
  <si>
    <t>ana deOrduña: para una Canongía de la Colegial de Soria, Diócesis de Osma, vacante por promoción de D. Josef Morales y Setien al Priorato de ella, á D. Juan Antonio Encabo, Racionero y Cura de la misma; y para el Beneficio de la villa de Morente, en el Obispado de Córdoba, vacante por fallecimiento de D.</t>
  </si>
  <si>
    <t>Josef Moreno</t>
  </si>
  <si>
    <t>f Chamizo y D. Antonio Nuñez; y á esta resulta al Cadete D. Manuel Que ral ta y al Sargento primero D. Josef Moreno. En el de Cuba ha conferido S. M. la Sargentía maj'or al Capitán del de la Havana D. Juan Josef de Estrada; y ha promovido á Capitanes á los Tenientes D. Domingo Branly, Ayudante</t>
  </si>
  <si>
    <t>Josef Moreno del Castillo</t>
  </si>
  <si>
    <t>án, D. Francisco Cardona; Tenencia al Alférez D. Antonio Yaques, y empleos de Alférez á los Cadetes D. Josef Moreno del Castillo y D. Cárlos Rubira. Deseosa la Real Junta de hospitales General y Pasión de esta Corte de promover y mejorar el importantísimo estudio de la Anatomía, providenció que á pesar del crec</t>
  </si>
  <si>
    <t>Josef Morillas y Navarrete</t>
  </si>
  <si>
    <t>uarez de Deza y Ye— bra, á D. Rodrigo Riquelme, Oidor de la Audiencia de Sevilla: para esta plaza á D. Josef Morillas y Navarrete: para la de Oidor supernumerario de la misma Audiencia de Sevilla, que este obtenia,á D. Lúeas Hiscio Fernandez, Alcalde del Granen de la de Galicia; y para esta re.suW ta á D. Ma</t>
  </si>
  <si>
    <t>Josef Mortemar</t>
  </si>
  <si>
    <t>as D. Domingo lbarrola; y Tenencia en el segundo Batallón de Voluntarios de Cataluña al Subteniente D. Josef Mortemar. En el segundo Batallón de Voluntarios de Barcelona se ha servido el Rey promover á Teniente al Subteniente D. Casimiro Monté. El Rey se ha servido conceder Tenencia en el Regimie</t>
  </si>
  <si>
    <t>Josef Mosquera</t>
  </si>
  <si>
    <t>en el segundo de Cataluña al Cadete D. Luis Fortuny y Rio; y en el de Gerona al de la propia clase D. Josef Mosquera: Tenencia en el primero de Barcelona al Subteniente D. Cosme López: la Sargentía mayor del de Barbastro al Capitán primero, graduado de Teniente Coronel, D. Francisco Merino: el e</t>
  </si>
  <si>
    <t>Josef Moure Arias</t>
  </si>
  <si>
    <t>n la Havana, hipotecando para su pago algunas haciendas, que administra desde aquella época el Lie. D. Josef Moure Arias, Abogado en dicho Orcellon, quien sin embargo que ha escrito á la Havana en solicitud de dichos interesados, no ha tenido razón. J Don Francisco de las Carreras,.Español, murió de</t>
  </si>
  <si>
    <t>Josef Mulier, Carlos</t>
  </si>
  <si>
    <t>Carlos Josef Mulier</t>
  </si>
  <si>
    <t>niente de granaderos al de fusileros D. Cárlos Muller: en el de Wimpffen á Subteniente de bandera á D. Cárlos Josef Mulier : en el de Reding á Teniente de granaderos al de fusileros D. Jacobo Rrugger; y esta resulta al Subteniente de granaderos D. Francisco Schnuriger; y en el de Betschart á Teniente</t>
  </si>
  <si>
    <t>Josef Muñoz de Toro</t>
  </si>
  <si>
    <t>ntería de Hibernia Ayudantía al Teniente D. Pedro Dejouy; y en el de Toledo Tenencia al Subteniente D. Josef Muñoz de Toro. En ios Regimientos de caballería de línea se ba servido el Rey conferir, en el de Santiago, el empleo de Teniente Coronel al Sargento mayor del de Alcántara, graduado de Coronel,</t>
  </si>
  <si>
    <t>Josef Muzquiz</t>
  </si>
  <si>
    <t>dete Josef Antonio Cristen. Ei Rey ha conferido Compañía en el Regimiento de dragones de Numancia á D. Josef Muzquiz, Cadete de la Compañía Americana de Reales Guardias'de Corpá. En el Regimiento de caballería del Rey se ha servido S. M. conceder empleo de Alférez al Portaestandarte D. Tadeo Tod</t>
  </si>
  <si>
    <t>Josef Navarro</t>
  </si>
  <si>
    <t>or su mandado.=D. Miguel de Mendinueta. = D. Manuel dei Pozo.=:D. Domingo Fernandez de Campomanes.= D. Josef Navarro. = D. Antonio Ignacio de Cortavasría. = Registrada, D- Josef Alegre. =: Teniente de Canciller mayor, D. Josef Alegre. = Es copia de su original, de que certifico. = D. Bartolomé M</t>
  </si>
  <si>
    <t>mbrado el Rey Teniente del Regimiento de caballería de la Reyna al Guardia de la Compañía Americana D. Josef Navarro. Por Real decreto de 23 de Enero de este año se sirvió el Rey t para recompensar á D. Juan María de Mora, vecino de la ciudad de Granada, él precio de una de las Contadurías de la</t>
  </si>
  <si>
    <t>. Alférez de Navio................................. D. Francisco Carmona. fD. Juan Josef Carranza. |D. Josef Navarro. • Alféreces de Fragata.....................i.D. Sebastian Rodríguez de Ar&amp;sli ID. Gabriel de Pazos. {.D. Manuel Díaz. Alféreces de Fragata y primeros PÍ-5d. jos^fCa^zat Aotos....</t>
  </si>
  <si>
    <t>Josef Nicolás de Azara</t>
  </si>
  <si>
    <t>yers Mlddleton, Bibliotecario principal de la Universidad de Cambridge, traducida por el Excmo. Sr. D. Josef Nicolás de Azara: 4 tomos en 4.0, con 24 retratos de personages célebres, y 29 cabeceras y finales, grabados por los mejores profesores: segunda edición en papel superfino. Se hallará en el despac</t>
  </si>
  <si>
    <t>Josef Nicolás del Moral</t>
  </si>
  <si>
    <t>n de la Catedral de la Puebla de los Angeles, que vacó por fallecimiento de D. Joaquín Rodríguez, á D. Josef Nicolás del Moral, Cura en la misma Diócesi. S. M. se ha servido nombrar para el Deanato de la Iglesia de la Concepción de Chile, vacante por ascenso de D. Andrés Quintian al Obispado de Cuenca, á</t>
  </si>
  <si>
    <t>Josef Nicolás Veranes</t>
  </si>
  <si>
    <t>para la C-anongía Doctoral de la Catedral de Cuba, vacante por muerte de D. Nicolás de VillaIon , á D. Josef Nicolás Veranes, Racionero de la propia Iglesia. En el Regimiento de infantería de la Havana se ha servido el Rey conferir la Sargentía mayor al Teniente Coronel D. Mauricio de Zúñiga, que obtení</t>
  </si>
  <si>
    <t>ignado S. M. nombrar para una Ración vacante en la Metropolitana de Santiago de Cuba por ascenso de D. Josef Nicolás Veranes, á D. Manuel González ; y para la Media-Ración que este dexa á D. Toribio del Castillo, Pro-Sochantre de ella: para otra Ración vacante en la propia Iglesia por translación de D.</t>
  </si>
  <si>
    <t>Josef Nieto</t>
  </si>
  <si>
    <t>el Regimiento de infantería de Návarra al Teniente; del mismo Cuerpo, graduado de Teniente Coronel, D. Josef Nieto. En el Regimiento de dragones del Rey se lia servido S. M. conceder Tenencia al Alférez D. Juan Canellas; y empleo de Alférez al Sargento primero D. Josef Gómez. t En América, El</t>
  </si>
  <si>
    <t>Josef Noceda</t>
  </si>
  <si>
    <t>sintaxis; D. Joaquin Sevilla, D. Antonio González Rendon, D. Joser María Montero, D. Ramón Ribera, D. Josef Noceda, D. Josef Valero y D. Domingo Cepillo en rudimentos y todo género de oraciones. ! Madrid J6de Julio. S. M. se ha servido nombrar para el De2nato primera silla de la Catedral de Ja</t>
  </si>
  <si>
    <t>Josef Noguera</t>
  </si>
  <si>
    <t>, , , , , 66. 12. _ Josef Noguera.......... Mariano... Maria Teresa, , , Mam esa, , , Idem. * » j &gt; 66. 12. Manuel iglesias. .... Otro. ..... MariaAñgelaCasals, Barcelona, , Idem, , , , , 66.</t>
  </si>
  <si>
    <t>Josef Oníáony</t>
  </si>
  <si>
    <t>ido concedér; Tenencias en los Regimientos de Infantería de Extremadura y Malaga á los Subtenientes D. Josef Oníáony, D. Lorenzo Gómez y D. Rambri Vidondo; y Subtenencia ¿U él de Málaga al Cadete de la Compañía de caballería de Zeuta D. Benito Menacho 'y Aguado. En América. El Rey se ha servido</t>
  </si>
  <si>
    <t>Josef Ortés de Velasco</t>
  </si>
  <si>
    <t>ardias Walonas D* Antonio Gilman: el Seminarista mayor D. Iñigo Órtés de Velasco, los Gefes de sala D. Josef Ortés de Velasco, D. Francisco Barraycua, D. Alonso Alvarado y D. Sebastian Gorvea; los Gefes de trozo D. Manuel Fernandez, D. Josef Fernandez y D. Josef Martínez; y los Seminaristas D. Manuel Abb</t>
  </si>
  <si>
    <t>Josef Ortiz y Sanz</t>
  </si>
  <si>
    <t>mpendio cronológico de la historia de España, desde los tiempos mas remotos hasta los nuestros, por D. Josef Ortiz y Sanz, Presbítero, de la Real Biblioteca de S. M.: 7 tomos en 8.° marquilla. Se hallará en la librería de Fuentenebro y. compañía, calle de las Carretas. EN LA EMPRENTA REAL.</t>
  </si>
  <si>
    <t>Josef Oset</t>
  </si>
  <si>
    <t>dem , , , y 66» 12. Josef Oset............ Pedro.........Margarita. » » * .. Granuliers, , Mataró , » 1 66* 12» Josef Tomás. ............ Pablo........... Maria Borras. . . R</t>
  </si>
  <si>
    <t>Josef Osorio</t>
  </si>
  <si>
    <t>an Manuel Lozano, D. Ventura del Castaño, D. Mariano Cruceta, D..SantiagoRizo, D. Eugenio Ibarrcia, D. Josef Osorio, y-'D. Martin Arambunn En el de los Valles de Acari y Chala Ayudantía ai Teniente del mismo D. Josef AntoninoNeyra. En el de caballería de Cañete, también de Milicias, Tenencias a</t>
  </si>
  <si>
    <t>Josef Pacheco</t>
  </si>
  <si>
    <t>ro al supernumerario D. Vicente Iglesias; á Supernumerarios al Brigadier Don josef Lasala, y Cadete D. Josef Pacheco; á Brigadier al Subrigadier D. Pedro de Torres; á Subrigadier al Cadete D. Agustín Irumberri; á Cadetes de número á los supernumerarios D. Juan Josef y D. Manuel Ripperdá, y á Sup</t>
  </si>
  <si>
    <t>Josef Padilla</t>
  </si>
  <si>
    <t>Juez de lo Civil en la ciudad de Cádiz, y por la escribanía pública del número de ella, que exerce D. Josef Padilla, penden los autos de testamentaría de D. Juan Josef Baquero, vecino y del comercio que fue de la misma, á los. quales está agregado un papel de comunicato, que dexó el difunto, en</t>
  </si>
  <si>
    <t>Josef Palomares, Manuel</t>
  </si>
  <si>
    <t>Manuel Josef Palomares</t>
  </si>
  <si>
    <t>de S. FelipeIdea del palpito parroquial, y estímulo de los pastores de almas, que expone y publica D. Manuel Josef Palomares, Prior Dignidad de la insigne Iglesia Colegial de Baeza, Diócesi dé Jaén; segunda edición. Se hallará en las librerías de la viuda é hijo de Quiroga, .calle dé las Carretas, y en</t>
  </si>
  <si>
    <t>Josef Paneli</t>
  </si>
  <si>
    <t>l Armendariz y D. Francisco Fernandez Cortacero: en el de Ñapóles al Sargento primero de granaderos D. Josef Paneli; y en el de Hibernia al Soldado distinguido dei de Reales Guardias Españolas Don Josef de S. Juan y Planzon. Para el empleo de Subinspector Comandante del departamento del Real Cu</t>
  </si>
  <si>
    <t>Josef Paredes</t>
  </si>
  <si>
    <t>i— llacevallos y D. Antonio Carrasco: á Capitán de fusileros del de Soria al Teniente de granaderos D. Josef Paredes: ¿Teniente de granaderos del de Betanzos al de fusileros D. Felipe de Senra: á Teniente de fusileros de los de Ciudad-Rodrigo y-Plasencia á los Subtenientes D. Gaspar Escapa y Lea</t>
  </si>
  <si>
    <t>Josef Pe</t>
  </si>
  <si>
    <t>de Heredia, D. Gregorio Hernández Prieto, D. Manuel Bermejo, D. Francisco Bravo, D. Hilario Chavez, D. Josef Pe</t>
  </si>
  <si>
    <t>Josef Pedros</t>
  </si>
  <si>
    <t>Id. id. Josef Pedros.......... Hijo de Josef y de María Gresis, natu­</t>
  </si>
  <si>
    <t>Josef Peirson</t>
  </si>
  <si>
    <t>ranaderos , graduado de Capitán, D. Diego Clarke, y Subtenencia de bandera al Cadete del de Ultonia D. Josef Peirson: en el de Ultonia Ayudantía al Teniente, graduado de Capitán, D. Armando Franquen: en el de Málaga Subtenencia de bandera al Cadete D. Josef de Zayas; y en el de Nápoles Ayudantía</t>
  </si>
  <si>
    <t>Josef Pelotieri</t>
  </si>
  <si>
    <t>Goizueta y D. Narciso Basagoitta ; Sargentía mayor á D. Ramón del Valle ; Compañía de carabineros á D. Josef Pelotieri; y sencillas ú D. Mariano Oviedo, D. Estéban Pacheco , D. Francisco Noriega, D. Antonio de la Borda, D. Josef Colombo, D. Antonio García Muñiz, D. Fernando Belon y D.Juan Canabal;</t>
  </si>
  <si>
    <t>Josef Pérez de Arroyo</t>
  </si>
  <si>
    <t>de Bie, en consideración á su aptitud y circunstancias. En Amírica. El Rey se ha servido conferir á D. Josef Perez de Arroyo el empleo de Contador de Diezmos del Obispado de Popayan, vacante por jubilación de su padre D. Andrés Perez de Arroyo. No permitiendo las circunstancias de la guerra actual que las</t>
  </si>
  <si>
    <t>Josef Pérez del Portillo</t>
  </si>
  <si>
    <t>de Dios Camborda, Don Josef Bobadilla, D. Silverio Mogrovejo, D. Paulino Roxas, D. Tomas Herencia, D. Josef Perez del Portillo, D. Simón Aguirre y D. Manuel Oreilana; el empleo de Alférez de granaderos á D. Casimiro Contreras; y sencillos á D. Miguel Riquelme, D. Josef Mendez, D. Matías Aguirre, D. Marian</t>
  </si>
  <si>
    <t>Josef Pérez Valiente, Pedro</t>
  </si>
  <si>
    <t>Pedro Josef Pérez Valiente</t>
  </si>
  <si>
    <t>ques de Salinas, actual poseedor de dichos mayorazgos, y no á los hijos y herederos del difunto Sr. D. Pedro Josef Perez Valiente, Ministro que fué del Supremo Consejo y Cámara de Castilla, los quales disfrutaban antes sus rentas en virtud de ciertas permutas que se han deshecho. Se arriendan 423 fanegas de</t>
  </si>
  <si>
    <t>Josef Pestaña, Martín</t>
  </si>
  <si>
    <t>Martín Josef Pestaña</t>
  </si>
  <si>
    <t>lféreces á los Portaguiones D. Francisco Saez y D. Marcos de Sobremonte; y á Portaguiones al Cadete D. Martin Josef Pestaña, y al Alférez agregado al propio Cuerpo D. Ramón Vázquez Pagóla. El día 24 de Diciembre del año próximo pasado falleció'en esta Cor</t>
  </si>
  <si>
    <t>Josef Pigneras Gómez</t>
  </si>
  <si>
    <t>25* En Alicante.... D. Juan Casou y compañía. En Avila..... .......... D. Josef Pigneras Gómez. En Badajoz.......... . D. Francisco Fernandez de la Peña y de S. Miguel. En Barcelona....... D. Ramón Ltordella é hijo. En Biírgos.............D. Andrés Frayle. En Cádiz.........</t>
  </si>
  <si>
    <t>misionados siguientes : . r j En Alicante....,..... D. Juan Casou y compañía. En Avila:............ D. Josef Pigneras Gómez. En Badajoz......... D. Francisco Fernandez de. la Peña y de S. Miguel. , ’ En B'arcelona....... D. Ramón Llordella é hijo. i En Burgos i*,.w.... D. Andrés Fray le. r En Cádiz....</t>
  </si>
  <si>
    <t>Josef Povil y Correger</t>
  </si>
  <si>
    <t>Cepeda y Ruliere, D. Francisco Andrada Wanderwilde, D. Cipriano Palafox, Marques de Fuente el Sol, D. Josef Povil y Correger, D. Juan Lliñas y Repiso, D. Joaquín Alvarez Maldonado Abadelanzana, D. Romualdo Miranda y Mon, y D. Rodrigo Sánchez de Arjona y Vargas. ,,E1 Comandante general de Marina del Depa</t>
  </si>
  <si>
    <t>Josef Prat y Quadras</t>
  </si>
  <si>
    <t>Rey se ha servido nombrar para las Varas de Alcalde mayor de las ciudades de Valencia y'Barcelona á D. Josef Prat y Quadras y D. Antonio Minoves y Servos. jEn América. En el Regimiento de dragones de España fixo de Métrico se ha servido el Rey promover á Capitán al Teniente D. Gabriel Martínez; y en el Cue</t>
  </si>
  <si>
    <t>Josef Pretel</t>
  </si>
  <si>
    <t>Id. id. Josef Pretel.......... Hijo de Pedro y de Paula García, natu-</t>
  </si>
  <si>
    <t>Josef Prino</t>
  </si>
  <si>
    <t>ra^ en los Regimientos de infantería de Toledo y León al Sargento segundo distinguido del de Aragón D. Josef Prino, y al Cadete del de Africa D. Juan Cruz Tolra Lafita. En la Compañía suelta del Rey no de Valencia se ha dignado S. M. promover á Capitán Comandante á D. Mariano Alemán, Teniente</t>
  </si>
  <si>
    <t>Josef Puig</t>
  </si>
  <si>
    <t>66. 12. Josef Puig...................Otro. ,,,, Francisca Prats, , Selva , , , , Tarragona , 66. 12. Francisco Mas............Otro.,,,, Maria Nauvina, ,, Monroi</t>
  </si>
  <si>
    <t>Josef Puyol</t>
  </si>
  <si>
    <t>dem, , , , 06. 1,2. Sargento. Josef Puyol................Otro...... Francisca, , , , , , Barcelona, , Idem, , , , 199. 2. Cabo.....Francisco Llort...........Ignacio.... Magdalena, , , , , Barcelona, , I</t>
  </si>
  <si>
    <t>Josef Quintana</t>
  </si>
  <si>
    <t>azadores de Almansa Compañías á los Teniente y Ayudante, graduados de Capitanes, D- Antonio Baeza y D. Josef Quintana: en el de cazadores de la Rey na Tenencia al Alférez D. Juan Ferrast; y empleos de Alférez en el de cazadores de Pavía y húsares Españoles al Cadete del Regimiento de Reales Guard</t>
  </si>
  <si>
    <t>Josef Quintana, Manuel</t>
  </si>
  <si>
    <t>Manuel Josef Quintana</t>
  </si>
  <si>
    <t>ndo que el 3.0 y último de este tratado saldrá ántes de 2 semanas. Pelayo: tragedia en 5 actos, por D. Manuel Josef Quintana, representada por la primera vez en el coliseo de los caños del Peral el dia 19 de Enero de 1805. Se hallará suelta, y unida i las poesías líricas del autor, con que hace juego, e</t>
  </si>
  <si>
    <t>eciente al dia 20 de Mayo. Contiene el examen crítico de la tragedia intitulada Pelayo, escrita por D. Manuel Josef Quintana: una noticia de la obra de ICotzebue Intitulada el Año mas memorable de mi vida, traducida al español por D. R. J.; y variedades. Se hallará, con los anteriores, en las librerías</t>
  </si>
  <si>
    <t>Josef Quintano Ruiz</t>
  </si>
  <si>
    <t>ey se ha servido nombrar para una Canongía de la Catedral de Falencia, vacante por fallecimiento de D. Josef Quintano Ruiz, á Don Juan Nepomuceno de S. Juan, Guardia de Corps de la Compañía Americana: para una Ración de la Catedral de Santo Domingo de la Calzada, vacante por promoción de D. Benito Fer</t>
  </si>
  <si>
    <t>Josef Rafael</t>
  </si>
  <si>
    <t>Cura del Obispado de. Guadaiaxara: para igual Prebenda: de la de Durango^en. la Nueva— Vizcaya , á D. Josef Rafael, de Labarrieta, Cura en la. Diócesis de Valla— dolid de. Mechoacan; y para otra Media-Ración de la Catedral de. la Plava— na á D. Josef Gabriel de Aybar,, Racionero de la de Cuba.</t>
  </si>
  <si>
    <t>Josef Rafael de Zayas</t>
  </si>
  <si>
    <t>erto Príncipe, en •la propia -isla / á Capitanes á los Subtenientes D,Domingo Pina,de granaderos, y D. Josef Rafael de Zayas; á Subteniente de granaderos al de fusileros D. Cayetano de Quesada; á Subtenientes de fusileros al de bandera Doh Estéban oe Varona, y al Cadete D. Luis Escovar; y á Subtenientes</t>
  </si>
  <si>
    <t>Josef Ramírez</t>
  </si>
  <si>
    <t>fantería de Extremadura la Sargentía mayor al Capitán de granaderos , graduado de Teniente Coronel, D. Josef Ramírez, y Compañía al Ayudante, graduado de Capitán, D. Ignacio Texero: en el de la Reyna Compañía al Teniente de granaderos, con grado de Capitán, D. Francisco Xaraqúemada: en el de Zam</t>
  </si>
  <si>
    <t>Josef Ramón Hidalgo Loque</t>
  </si>
  <si>
    <t>torio de la Orden de Santiago; y para la de Brozas, en el de la de Alcántara, de primíera clase ¿ á D. Josef Ramón Hidalgo Loque. La Real Academia del Derecho Español, con arreglo á sus estatutos, ha adjudicado, en junta extraordinaria de 8 del corriente, una medalla académica de plata de 4 onzas á su indiv</t>
  </si>
  <si>
    <t>Josef Ramos</t>
  </si>
  <si>
    <t>dríguez y D. Josef Moreno; y en los de Farnesio y Santiago empleos de Portaestandarte á los Cadetes D. Josef Ramos y D. Salvador de Roxas , que lo es del de Borbon. Igualmente se ha servido S. M. conceder en-el Regimiento de Pavía, quarto de cazadores, Tenencia al Alférez D. Luis Antentas; y emple</t>
  </si>
  <si>
    <t>Josef Ramos, Félix</t>
  </si>
  <si>
    <t>Félix Josef Ramos</t>
  </si>
  <si>
    <t>y empleos de Portaestandartes en los de Borbon, Farnesio y Santiago á los Cadetes D. Antonio Gómez, Don Félix Josef Ramos y D. Josef Antonio Ximenez,que lo es del del Infante. En el discurso de un año, contado desde i.° de Diciembre de 180^3 hasta fin de Noviembre de 1804,ha habido en esta Corte 1653 mat</t>
  </si>
  <si>
    <t>Josef Real Gómez</t>
  </si>
  <si>
    <t>l Rey-no de Murcia. Los pretendientes podrán acudir «on sus memoriales al Escribano de Ayuntamiento D. Josef Real Gómez &gt; quien les informará de sus circunstancias v condiciones. * ■Sermones panegíricos de varios misterios, festividades y santos : su autor el Fr. Pantaleon García, del’Orden de S. F</t>
  </si>
  <si>
    <t>Josef Rebellón</t>
  </si>
  <si>
    <t>e su ministerio: para el Beneficio de Villazalama, en la Diócesis de León, vacante por promoción de D. Josef Rebellón al Curato de S. Salvador de Boadilla, en la propia Diócesis, ú Don Juan Pereyra,con igual carga de residencia personal y de ayudar al Párroco; y para la Prestamera de la villa de</t>
  </si>
  <si>
    <t>Josef Regales y Cregenzan</t>
  </si>
  <si>
    <t>e ha servido nombrar para la plaza de Oidor de la Audiencia de Aragón, vacante por fallecimiento de D. Josef Regales y Cregenzan, á D. Juan Garrido López, Alcalde del Crimen mas antiguo de ella; y para esta resulta á D. Serafín de Chavier. No permitiendo las circunstancias de la guerra actual que las embarc</t>
  </si>
  <si>
    <t>Josef Resino</t>
  </si>
  <si>
    <t>os D. Cristóbal González: de Teniente de fusileros en el de Toledo al Subteniente de la misma clase D. Josef Resino : de Subtenientes de granaderos en los de Válladolid y Truxillo á los Subtenientes de fusileros D. Fernando Cojo y D. Francisco Valdivia de la Cerda; y de Subtenientes de bandera</t>
  </si>
  <si>
    <t>Josef Revilla</t>
  </si>
  <si>
    <t>rmaechea; á Alféreces á los Portaguiones D. Manuel Coterillo y D. Antonio Isla:, y á Portaguiones á D. Josef Revilla y D. Josef María Trias, vecinos de la jurisdicción del propio Cuerpo. También ha nombrado el Rey para la plaza de Regente de la Audiencia del Cuzco,, vacante por haberla renunciado D.</t>
  </si>
  <si>
    <t>Josef Rezabal y Ugarte</t>
  </si>
  <si>
    <t>e Cuenca, S. Salvador de Oviedo, y del Arzobispo de la de Salamanca, con varios índices, por el Sr. D. Josef Rezabal y Ugarte, Caballero de la Real y distinguida Orden de Carlos ni, del Consejo de S. M., y Regente de la Real Audiencia de Chile: un tomo en 4.0 marquilla. Se hallará en la librería de Sanch</t>
  </si>
  <si>
    <t>Josef Rico</t>
  </si>
  <si>
    <t>las se contiene: un tomo en 4° mayor apaisado, con 53 láminas de música, grabadas á la francesa por D. Josef Rico. Se hallará en las librerías de Sancha, calle dei Lob &gt;, y en la de Castillo, frente á las gradas de S. Felipe, á 80 rs. en rústica; y en Cáoiz en la de Pajares. . . ^ Costinuacio</t>
  </si>
  <si>
    <t>Josef Rigual</t>
  </si>
  <si>
    <t>n de las ceremonias y disciplina eclesiástica de la Semana Santa, por el Dr. D. Josef Rigual, Presbítero*, un tomo en 8.°, que comprehende 500 páginas, á 9 rs. en pergamino y 11 en pasta. Ensayo para bien morir, por D. Antonio de la Azuela Velasco, dedicado á nuestra Señora de los Do</t>
  </si>
  <si>
    <t>Josef Ripperdá, Juan</t>
  </si>
  <si>
    <t>Juan Josef Ripperdá</t>
  </si>
  <si>
    <t>les; el de Cadete de número al supernumerario...D. Fernando Ayala;y el de supernumerario al Guardia D. Juan Josef Ripperdá. ....En el Regimiento de infantería del Príncipe se ha servido el Rey promover á Subteniente de bandera al Cadete D. Pedro Suero Lobato; y á Capitán segundo en el Batallón de Volu</t>
  </si>
  <si>
    <t>Josef Rodríguez</t>
  </si>
  <si>
    <t>n ¿í; Regimiento dé * infantería1 de Navarra -se ha servido el Rey promover á Subteniente al Cadete D. Josef Rodríguez. S.- M. sé ha servido conferir Compañía* en el Regimiento de infantería dé Cantabria al Teniente de granaderos,' graduado de Capitán, D. Ramón Armiñan; y Tenencias en los de la Co</t>
  </si>
  <si>
    <t>Joséf Rodríguez de Salas, Juan</t>
  </si>
  <si>
    <t>Juan Joséf Rodríguez de Salas</t>
  </si>
  <si>
    <t>te por promoción de D. Francisco Galvez á la Dignidad de Tesorero de la Metropolitana de Granada, á D. Juan Joséf Rodríguez de Salas: para una Ración de la Colegial de Roa en el Obispado de Osma, vacante por haber fallecido sin posesionarse de ella D. Matías Casado, á quien nombré por decreto de 20 de Mayo del</t>
  </si>
  <si>
    <t>Josef Rodríguez González, Juan</t>
  </si>
  <si>
    <t>Juan Josef Rodríguez González</t>
  </si>
  <si>
    <t>ha nombrado ,el Rey á D. Josef Almagro para el Corregimiento de letras de la villa de Madrigal ;y á D. Juan Josef Rodríguez González para el de la villa de Atienza, Asimismo ha conferido S. M. la Vara de Alcalde mayor de las villas deí -Ferrol y la Graña á D. Manuel Antonio Saavedra; y para la de Alcalde mayor</t>
  </si>
  <si>
    <t>Josef Rogg, Luís</t>
  </si>
  <si>
    <t>Luís Josef Rogg</t>
  </si>
  <si>
    <t>3%9 de bandera á D. Luís Josef Rogg y D. Josef Luis Muííer: en el de Traxler ¿ Tenientes á los Subtenientes D. Jodoco Traxler y D. Luis Cristen; y á Subteniente de granaderos al de fusileros D. Cárlos Muller: en el de W</t>
  </si>
  <si>
    <t>Josef Roldan</t>
  </si>
  <si>
    <t>e las Ordenes Militares Ayudantía al Teniente D. Juan Domínguez; y Subtenencia de bandera al Cadete D. Josef Roldan. En el Real Cuerpo de Ingenieros del exército ha promovido S. M. á Director Subinspector al Brigadier D. Josef de Ampudia, Coronel de dicho Cuerpo. En los Regimientos de caballerí</t>
  </si>
  <si>
    <t>Josef Romere</t>
  </si>
  <si>
    <t>f Toledo, al MedioRacionero (de la mis.mg Ip..,F.ra1ncíse&gt;o.Gut^rreK,de; Escovar ; y esta resulta á D. Josef Romere» SorjanQ , Presbítero! del propio Obispado ; y para dos Medias^Rap iones, de la Metropolitana dejLima , vacantes por haberlas renunciado D. JosefMaicin y D* Henrique de Lope Conch</t>
  </si>
  <si>
    <t>Josef Romero</t>
  </si>
  <si>
    <t>sef Camacho, D. Martin Terroba, D. Gregorio Zuloaga, D. Josef García y D. Juan Peralta; Ayudantía á D. Josef Romero; Tenencia de granaderos á D. Juan Estevez,y de fusileros á D. Tomas Carreri,D. Juan Anglés, Don Pascual Toledo, D. Manuel Carpió, D. Francisco Grambel,D. Josef Cordero, D. Ramón O</t>
  </si>
  <si>
    <t>Josef Rosello</t>
  </si>
  <si>
    <t>D. Andrés de Cárdenas; Ayudantías á D. Cayetano Castro y D. Josef Molina; Tenencia de granaderos á D. Josef Rosello; y sencillas á D. Alexandro Benavente, D. Mariano Aragón, D. Josef Escovedo, D. Pablo Muñoz, D. Lorenzo Lencinas, Don Josef Silva y Laguado, D. Manuel de la Barrera, D. Mariano Mu</t>
  </si>
  <si>
    <t>Josef Roso</t>
  </si>
  <si>
    <t>a id. Tenientes de Fragata. D. Rafael Bobadilla, muerto; D. Martin Urias id.: D. Pedro Moriano id.: D. Josef Roso id.: D. Manuel Ribera, herido: D. Juan del Busto id.: D. Ignacio del Valle id. Teniente de Bornbarela. D. Juan de Medina, muerto. Alféreces_de Navio. D. Luis Perez del Camino, mue</t>
  </si>
  <si>
    <t>Josef Ruano</t>
  </si>
  <si>
    <t>e Artillería se ha sérvido S. M. promover á Capitanes segundos á los Tenientes D; Pedro Gutiérrez y D. Josef Ruano; y á' Tenientes á los Subtenientes D. Antonio de Hoces, D. Josef Taberné, Don* Antonio Isasi, D; Antonio Cásanos D. Antonio Escalera, Di Mateo Ghar-1 denoux, D. Pedro Argaiz, D. P</t>
  </si>
  <si>
    <t>Josef Rubel</t>
  </si>
  <si>
    <t>en á Capitán segundo al Teniente D. Antonio Desvignes; á Tenientes de granaderos á los de fusileros D. Josef Rubel, y D. Francisco Wirtz ; á Teniente de fusileros al Subteniente de granaderos D. Francisco Scolar; á Subteniente de granaderos al de fusileros D. Juan Werly; y á Subteniente de ban</t>
  </si>
  <si>
    <t>Josef Ruiz de Conejares</t>
  </si>
  <si>
    <t>ra la Dignidad de Maestrescuela de la Iglesia Metropolitana de México, vacante por fallecimiento de D. Josef Ruiz de Conejares, al Tesorero D. Juan Antonio Bruno: para la Tesorería al Canónigo D. Juan Josef de Gamboa: para la Canongía al Racionero D. Juan Pablo Chaves; y para esta resulta á D. Josef María</t>
  </si>
  <si>
    <t>Josef Sabater</t>
  </si>
  <si>
    <t>janos de la Real Armada y del Colegio de Medicina y Cirugía de Cádiz , vacante por fallecimiento de D. Josef Sabater , que lo obtenía, al Vice-Director del mismo Colegio D. Cárlos Améller. En América. El Rey se ha servido nombrar para una Ración de la Catedral de Cuenca , en el Perú, vacante por</t>
  </si>
  <si>
    <t>Josef Salgado de Araujo</t>
  </si>
  <si>
    <t>á Subtenientes de Bandera en Jos de Segovia, Monterey, Xerez y Toledo á D. Bernabé López de Castro, D. Josef Salgado de Araujo, D. Josef de Mauleon y D. Josef Banfi. Habiendo mandado el Rey que los Catedráticos farmacéuticos, separados de los Reales Colegios de Cirugía por no necesarios en ellos, sean col</t>
  </si>
  <si>
    <t>Josef Salido</t>
  </si>
  <si>
    <t>deros, graduado de Capitán, D. Lorenzo Cenon Calvo; Tenencias en el mismo Cuerpo á los Subtenientes D. Josef Salido y D. Fernanda Mena , el primero de granaderas : la Comandancia del Batallón 'de Voiuntaribs dé Valencia al iTcuicine Ouroncl LV Miguel de Al^ cégaSárgentó mayor del de Voluntarios de</t>
  </si>
  <si>
    <t>Josef Salvaiñ</t>
  </si>
  <si>
    <t>ontblanc, i 66» 12. Josef Salvaiñ........... .. Pablo.........Teresa N............... Reus, , ,,, , Tarragona. i 66. 12. Miguel Xurriera. . .. Josef. .... Maria Veni.......... Llers,»,,,,, Gero</t>
  </si>
  <si>
    <t>Josef Sánchez</t>
  </si>
  <si>
    <t>smos remedies, á otras análogas muv frecuentes, con 'particularidad en las navegaciones por el L.c. D. Josef Sánchez, Cirujano de ía Peal Armada: un tomo en 4.0 Se hallarán en la librería de v-ampins. _ ia Co'eccion de la Biblioteca periódica de ciencias y artes, o continuación del Memorial lite</t>
  </si>
  <si>
    <t>Josef Sánchez Boado</t>
  </si>
  <si>
    <t>..... ........ D. Mariano González. D. Juan Mendivil. Alférez de Artillería...................... . D. Josef Sánchez Boado. Resumen general. Muertos. Heridos. Oficiales de Marina... 27.... 54 Oficiales del Exército *«# * Tropa y Marinería.... 122 2.... • 118^5 Totales.................. ...............</t>
  </si>
  <si>
    <t>Josef Sánchez Cevallos</t>
  </si>
  <si>
    <t>de su Real Casa y Corte, por comisión del Supremo Consejo. Abrió el acto el primer dia el discípulo Don Josef Sánchez Cevallos con un discurso de memoria sobre el método analítico: en seguida fueron examinados los alumnos hasta la clase de sintaxis, dando razón de la Gramática general de las lenguas, y de</t>
  </si>
  <si>
    <t>Josef Sánchez Teruel</t>
  </si>
  <si>
    <t>ipe, Tenencia al Alférez D. Juan de Aguilar: en el de Farnesio empleo de Alférez al Portaestandarte D. Josef Sánchez Teruel; y en el dei Infante empleo de Portaestandarte al Cadete del de Montesa D. Antonio Mora.</t>
  </si>
  <si>
    <t>Josef Sánchez Toro</t>
  </si>
  <si>
    <t>l empleo de Coronel á D. Pedro Benavente; la Tenencia Coronela á D. Santos Zaballa ; Comandancias á D. Josef Sánchez Toro y D. Josef Remigio Arias ; la Sargentía mayor á D. Mariano Escovedo ; Compañía de granaderos á D. Luis Sánchez Toro ; y sencillas á D. Sebastian Benavente , D. Gerónimo Casal, D. Nico</t>
  </si>
  <si>
    <t>Josef Sánchez, Juan</t>
  </si>
  <si>
    <t>Juan Josef Sánchez</t>
  </si>
  <si>
    <t>á Subteniente dé Compañía al de bandera D. Josef María Bayot, y á Subteniente de bandera al Cadete D. Juan Josef Sánchez. * ,; ' * En el Batallón de infantería fixo de Panamá se ha setvido el Rey promo* ver á Capitán de granaderos al de fusileros, graduado de Teniente Coronel, D. Juan Aldrete; á Gap</t>
  </si>
  <si>
    <t>Josef Santos Capuano</t>
  </si>
  <si>
    <t>elona en la de Brusí, y en Valencia en la de Jorge, i 18 rs* en pasta y 1$ en rústica. Las obras de D. Josef Santos Capuano te hallarán en la calle de S. Leonardo, junto á la Iglesia de S. Márcos, núm. 4, con la rebaxa de un seis por ciento. nota. En esta Gazeta se incluye un Suplemento publicado de ór</t>
  </si>
  <si>
    <t>Josef Saqui</t>
  </si>
  <si>
    <t>Tomas Gandía, D. Francisco Martínez y D. Domingo Postigo; y á Subtenientes á los Sargentos primeros D. Josef Saqui y D. Manuel Alvarez, de granaderos. Finalmente, en el Regimiento de Milicias disciplinadas de caballería de la propia isla ha promovido el Rey á Capitán al Teniente D. Pedro Guerra; á</t>
  </si>
  <si>
    <t>Josef Schmid</t>
  </si>
  <si>
    <t>. El Rey se ha servido promover en el Regimiento de infantería Suizo de WimpfFen á Sargento mayor á D. Josef Schmid, Capitán primero del mismo: en el de Traxier á Capitán segundo al Teniente D. Benito Weyman; á Teniente al Subteniente D. Jacobo Bueller; á Ayudante al Teniente D. Francisco Peyer</t>
  </si>
  <si>
    <t>Josef Secjueiro</t>
  </si>
  <si>
    <t>19.a Ayud. Josef Secjueiro...... Hijo de Antonio y de Ana Vergara, na­</t>
  </si>
  <si>
    <t>Josef Sedaño, Diego</t>
  </si>
  <si>
    <t>Diego Josef Sedaño</t>
  </si>
  <si>
    <t>o civil de la Audiencia de Guatemala, vacante por fallecimiento de D. Roque Jacinto de Cifuentes, á D. Diego Josef Sedaño., Asesor de la Intendencia de la Havana. La Real Sociedad Económica de Amigos del País de esta Corte celebró Junta pública general para el examen , graduación y adjudicación de pr</t>
  </si>
  <si>
    <t>á Teniente á D. Matías Luengo y Alderete, Alférez del mismo Cuerpo. ^ JSn\América* Por promoción de D. Diego Josef Sedaño, Asesor de la Intendencia de Exército de la isla de Cuba, á la plaza de Fiscal de lo civil dé la Real Atídiencia dé^Goatemala, se ha servido S. M. conferir esta Asesora’ a Dóft Fr</t>
  </si>
  <si>
    <t>Josef Seoane</t>
  </si>
  <si>
    <t>anta Cruz de la Sierra, por ascenso de D. Josef Gutierrez.á la Dignidad de Arcediano de la misma, á D. Josef Seoane, Racionero de ella. Ultimamente se ha servido el Rey conferir una plaza de Agente del número de los de Indias , vacante por muerte de D. Domingo Sánchez Barrero, á D. Ignacio Mora</t>
  </si>
  <si>
    <t>Josef Serrahínsa</t>
  </si>
  <si>
    <t>atención áTos grandes y distinguidos servicios que han hecho Don Pedro Bataller , D. Ignacio Reges, D. Josef Serrahínsa, D. Manuel Bargés, D. Juan Rull y D. Josef Julia y Pons, vocales de la Real Junta deGatidad de la ciudad de Barcelona, que preside el Capitán general del Principado de Cataluña, s</t>
  </si>
  <si>
    <t>Josef Serrano Val</t>
  </si>
  <si>
    <t>ormación de cuerpos auxiliares para defender en caso de invasión el Real arsenal de la Carraca, por D. Josef Serrano Val denebro, Brigadier de la Real Armada. Se hallará en la librería de Escribano, calle de las Carretas, 9 4 rs., y puede ir en; c,arta. * La Geometría de los niños, en que se les dan br</t>
  </si>
  <si>
    <t>Josef Severino de la Vega, Vicente</t>
  </si>
  <si>
    <t>Vicente Josef Severino de la Vega</t>
  </si>
  <si>
    <t>brar para una Racíoft de la Catedral de Toledo, vacante por fallecimiento de D. Agustín Galochoa, á D. Vicente Josef Severino de la Vega, con retención del Medio-Préstamo de Marchámalo que obtiene en la misma Diócesis: para otra de la Catedral de Osma, vacante por muerte de D. Juan Aparicio, á D. Santos Eméterio En</t>
  </si>
  <si>
    <t>Josef Severo Cabral</t>
  </si>
  <si>
    <t>Alcega, y á Alféreces á los Portaestandartes D. Agustín González y D. Santiago Mugerza, y al Cadete D. Josef Severo Cabral. El Rey se ha dignado promover á Coronel del Batallón de nueva creación de Milicias de Olancho, en el Reyno de Goatemala, á D. Juan Ignacio Araurrenecheá, Capitán graduado de Exér</t>
  </si>
  <si>
    <t>Josef Seyjas Várela</t>
  </si>
  <si>
    <t>Josef AntoninoNeyra. En el de caballería de Cañete, también de Milicias, Tenencias a los Alféreces D. Josef Seyjas Várela, y D. Miguel Santiuste;-y en ei de infantería de Lamhaye.que I enuncia á D.. Andr.es Millan , Subteniente del mismo Cuerpo. í - Hallándose' las lanchas de Laredo en la mañana del</t>
  </si>
  <si>
    <t>Josef Silva y Laguado</t>
  </si>
  <si>
    <t>D. Alexandro Benavente, D. Mariano Aragón, D. Josef Escovedo, D. Pablo Muñoz, D. Lorenzo Lencinas, Don Josef Silva y Laguado, D. Manuel de la Barrera, D. Mariano Murguía, D. Ramón Paredes, D. Mariano Figueroa, D. Valentín Toro y D. Juan Valenzuela; empleo de Alférez de granaderos á D. Carlos Velarde; y</t>
  </si>
  <si>
    <t>Josef Sobrevía</t>
  </si>
  <si>
    <t>o Romero, Dean de la Sta. Iglesia Metropolitana, Presidente de la Sociedad, acompañado de los Dres. D. Josef Sobrevía y D. Pedro Valero, Censor de la misma, y Curador Unico de dicha enseñanza, y del Secretario principal: asistieron en calidad de Examinadores los Socios D. Serapio Sinués, Catedrático</t>
  </si>
  <si>
    <t>Josef Solana</t>
  </si>
  <si>
    <t>itulados Sacristía de la Carrera y S. Juan de la Pervera, en el Obispado de Oviedo, por renuncia de D. Josef Solana, á D. Josef Mencía^ Cura Párroco de la villa de Pajares, en dicho Arzobispado de Toledo : para el Beneficio Sacristía del lugar de IIolgueraven la Diócesis de Coria, por fallecimi</t>
  </si>
  <si>
    <t>Josef Soler</t>
  </si>
  <si>
    <t>66. 12 » Josef Soler......... .. Otro...........Baldana, , , , , , Constanti,,, Tarragona,, 66. 12» Francisco Baruel. . . Miguel. ... Maria, ,,,,,, Selva,,,,,, I a</t>
  </si>
  <si>
    <t>Josef Suárez</t>
  </si>
  <si>
    <t>Id. id. , Josef Suarez......... , Hijo de Antonio y de Josefa Rodríguez,</t>
  </si>
  <si>
    <t>Josef Subirats</t>
  </si>
  <si>
    <t>n del plan de Beneficios de la Iglesia de S. Juan del Hospital de la ciudad de Valencia, se manda á D Josef Subirats, Mosen Josef Soler, D. Vicente Ibarra, Dr. D. Pedro Juan Climent y D. Juan Valentín de la Cruz que comparezcan ante su Señoría á deducir el derecho que Ies competa en razón del .t</t>
  </si>
  <si>
    <t>Josef Taberné</t>
  </si>
  <si>
    <t>nientes D; Pedro Gutiérrez y D. Josef Ruano; y á' Tenientes á los Subtenientes D. Antonio de Hoces, D. Josef Taberné, Don* Antonio Isasi, D; Antonio Cásanos D. Antonio Escalera, Di Mateo Ghar-1 denoux, D. Pedro Argaiz, D. Pablo Ventades, D. Agustín Salazar, Don Juan Pusterla, D. Pedro del Barco,</t>
  </si>
  <si>
    <t>Josef Taboada y Gil</t>
  </si>
  <si>
    <t>l Beneficio de S. Verísimo de Sergude, en el Arzobispado de Santiago, vacante' por fallecimiento de D. Josef Taboada y Gil, á D. Josef Francisco de Arbizu, Capellán de Altar de su Real Capilla: para&lt;el Beneficio Préstamo del-lugar de Carcaboso, en la Diócesis de Coria, vacante por muerte;de Don Pedro</t>
  </si>
  <si>
    <t>Josef Talens</t>
  </si>
  <si>
    <t>dicho Cuerpo al Subteniente de granaderos D. Andrés Vejerano; y en el de Burgos á los Subtenientes D. Josef Talens y D. Antonio Madera, este de granaderos; y Subtenencia de bandera en el de Soria al Cadete D. Josef Golf. El Rey se ha servido promover en el Regimiento Suizo de Wimpffen á Subtenient</t>
  </si>
  <si>
    <t>Josef Tallón</t>
  </si>
  <si>
    <t>7 20 que, tasada en io3 rs., la que se vende á voluntad de su dueño, podrá informarse de D. Josef Tallón, que vive en S. Lorenzo de la puerta de Toledo. Todas las personas, Cuerpos y Comunidades que tuviesen que pagar réditos de censos, ó de qualquiera clase de bienes á los mayorazgo</t>
  </si>
  <si>
    <t>Josef Tarazona</t>
  </si>
  <si>
    <t>de Pajáres; agregando ahora en Pamplona; al Administrador general.de*lg Real;Lotería, y en Tudela á D. Josef Tarazona , Oficial del Correo. »■:. *D. Bernardo Valentín Murugarrem* quei fué vecino y del comeréio Je la Pue-. bla de los Angeles, én el Reyno de México, ó sus herederos, si hubiese fall</t>
  </si>
  <si>
    <t>Josef Tasier</t>
  </si>
  <si>
    <t>Capitán’, D. Alonso Iniesta: empleos de Alférez en los del Infante y España á ios Portaestandartes D. Josef Tasier y D. Miguel María Campero; y empleos de Portaestandarte en los del Rey y Reyna á los Cadetes del de Calatrava é Infante D. Joaquín Casasola y D. Joaquín Fonseca. i —La Real Sociedad e</t>
  </si>
  <si>
    <t>Josef Tello</t>
  </si>
  <si>
    <t>y para él Préstamo “de Narros del Monte , anexo de Langa, en Ujmisma Diócesi, vacante por muerte de D. Josef Tello , á D. Miguel Pío Rodríguez, Capellán mayor de la Real de Fontiveros, en la propia Diócesi. El Rey ha nombrado para el Oficio regular de Obrero del Real Monasterio de Santa María</t>
  </si>
  <si>
    <t>Josef Terradellas</t>
  </si>
  <si>
    <t>de Barcelona, vacante por promoción de D. Josef Espinos á otra de la Catedral de aquella capital, á D. Josef Terradellas, Beneficiado de Sta. María del Mar de la misma ciudad: para un Beneficio de la Catedral de Gerona, baxo la invocación de S. Ibo y S. Honorato, vacante por muerte de D. Juan Genove</t>
  </si>
  <si>
    <t>na, vacante por promoción de D. Josef Espinos á otra de aquella Catedral, y por no haberla admitido D. Josef Terradellas, que fué nombrado para ella, á D. Pedro Riera, Capellán y Director dé Religiosas Capuchinas de dicha ciudad. En consideración á los servicios y méritos del Teniente General de los</t>
  </si>
  <si>
    <t>Josef Tixero</t>
  </si>
  <si>
    <t>dragones se ha servido igualmente S. M. promover á Portaguiones, en el del Rey al Sargento primero D. Josef Tixero: en el de la Reyna al Cadete D. Josef María Naranjo; y en el de Álmansa al Cadete D. Josef María Iribarren. En América. S. M. se ha servido nombrar para una Media-Ración de la Met</t>
  </si>
  <si>
    <t>Josef Toledo</t>
  </si>
  <si>
    <t>S. M. se ha dignado nombrar para una Ración deda Catedral de la Paz, vacante por falleciiTiiento de D. Josef Toledo, al MedioRacionero (de la mis.mg Ip..,F.ra1ncíse&gt;o.Gut^rreK,de; Escovar ; y esta resulta á D. Josef Romere» SorjanQ , Presbítero! del propio Obispado ; y para dos Medias^Rap iones</t>
  </si>
  <si>
    <t>egal, una balandra Inglesa, y dirigiéndose á ella el barco Centella, del mando del Alférez de Navio D. Josef Toledo, la dio una descarga, é inmediatamente la abordó, consiguiendo rendirla á breve rato. Esta balandra, nombrada Hoope, tenia hechas 17 presas á Españoles, é impedida la navegación c</t>
  </si>
  <si>
    <t>Josef Toledo, Juan</t>
  </si>
  <si>
    <t>Juan Josef Toledo</t>
  </si>
  <si>
    <t>rra al Cadete D. Josef B^rreyro: en el de Cantabria al Cadete del batallón de Voluntarios de Gerona D. Juan Josef Toledo; y esi ei de la Princesa al Cadete del primer batallón de Voluntarios de Aragón D. Josef de Peñas y Espejo. En cumplimiento de las Reales Cédulas de S. M. de 15 de Juiioy 29 de No</t>
  </si>
  <si>
    <t>Josef Tomás</t>
  </si>
  <si>
    <t>Josef Tomas............ Hijo de la Iglesia, natural de Valencia:! 50 24</t>
  </si>
  <si>
    <t>Josef Torras y Pellicer</t>
  </si>
  <si>
    <t>to mayor de Brigada: este empleo los Capitanes primeros D. Cayetano Zappino, D. Antonio Sangenis, y D. Josef Torras y Pellicer, graduado de Teniente Coronel; á Capitán primero D. Juan Sociats, Capitán segundo; y á este empleo el Teniente D. Tomas Pascual Maupoey. S. M. ha conferido en los Regimientos prov</t>
  </si>
  <si>
    <t>Josef Trelles</t>
  </si>
  <si>
    <t>Vicente Iglesias; el de Brigadier ai Subrigadier D. Francisco González; el de Subrigadier al Cadete D. Josef Trelles; el de Cadete de número al supernumerario...D. Fernando Ayala;y el de supernumerario al Guardia D. Juan Josef Ripperdá. ....En el Regimiento de infantería del Príncipe se ha servi</t>
  </si>
  <si>
    <t>Josef Uncibay</t>
  </si>
  <si>
    <t>Pedro de la misma ciudad: para otra de la referida Iglesia, vacante por muerte de,D. Juan Aguado, á D. Josef Uncibay, Cura Párroco de Cuevas baxas, en ei mismo Obispado; y para la Prestamera, denominada Guadalmazanes de Guadalcazar, en el Obispado de Córdoba , vacante por fallecimiento de D. Mar</t>
  </si>
  <si>
    <t>Josef Valero</t>
  </si>
  <si>
    <t>quin Sevilla, D. Antonio González Rendon, D. Joser María Montero, D. Ramón Ribera, D. Josef Noceda, D. Josef Valero y D. Domingo Cepillo en rudimentos y todo género de oraciones. ! Madrid J6de Julio. S. M. se ha servido nombrar para el De2nato primera silla de la Catedral de Jaén, vacante por falle</t>
  </si>
  <si>
    <t>f Josef Valero,.,...,... Hijo del mismo, natural de la villa de Ma-n</t>
  </si>
  <si>
    <t>Josef Vállalonga</t>
  </si>
  <si>
    <t>rar para la Dignidad de Hospitalero de la Metropolitana de Tarragona, vacante por fdicc i miento de D. Josef Vállalonga, á D. Guillermo Rocabruna, Racionero de ellat para la de Arcediano de Terrantona en la Catedral de Lérida, vacante por renuncia de D. Gonzalo del Rio y Carrillo, á D. Francisco Ló</t>
  </si>
  <si>
    <t>Josef Valong</t>
  </si>
  <si>
    <t>l de Santa María del Romeral de la villa de Monzon, Diócesi de Lérida, vacante por fallecimiento de D. Josef Valong2, á D Joaquín Joven y Naya, contribuyendo al Racionero Vicario de la misma Iglesia con 4® rs. de vn. anuales; y para una Pavordía de la Catedral de Mallorca, vacante por muerte de</t>
  </si>
  <si>
    <t>Josef Vandembrourk</t>
  </si>
  <si>
    <t>&gt; En América. El Rey se ha dignado conceder la Ayudantía de la JPIazá de Panamá al Capitán graduado D. Josef Vandembrourk, Capitán de Llaves de la misma. En el Regimiento de Milicias Provinciales de infantería de Paucartam— bo, en el Reyno del Perú, se ha dignado el Rey promover á Teniente de granade</t>
  </si>
  <si>
    <t>Josef Vargas</t>
  </si>
  <si>
    <t>ias que pide su objeto, se ha executado con la mayor celeridad y solidez por el zelo del Corregidor D. Josef Vargas, á quien así por esto, como por haberse construido otros siete cementerios que estan ya en uso en las siete aldeas de su jurisdicción, ha elogiado con las mas vivas expresiones de</t>
  </si>
  <si>
    <t>Josef Vasco, Francisco</t>
  </si>
  <si>
    <t>Francisco Josef Vasco</t>
  </si>
  <si>
    <t>YIÓ2 varólos Reales íetratoá ¿on la misma formalidad á casa del Teniente dé S. A. D. Francisco Josef Vasco, y colocados baxo el dosel, se sirvió un abundante y exquisito refresco á la nobleza de ambos sexos, Cabildos, Prelados y Oficialidad de varios Cuerpos convocados para tan plausib</t>
  </si>
  <si>
    <t>Josef Vázquez</t>
  </si>
  <si>
    <t>quadro original que pintó el Caballero de Arpiñas, y grabada á puntos, al estilo de BartcIozi, por D. Josef Vázquez. Esta estampa, ademas de la bella composición que contiene el original, es sumamente expresiva y de devoción. Se hillará, con las demas del Ecce Homo y Mater Dolorosa, de D. Barto</t>
  </si>
  <si>
    <t>Andradé; D. Pablo T/opeñ ; D.' Francisco.Aguirre , D. Antonio Monasterio, Di Manuel Vito Rarbajosa, D. Josef Vázquez, D. Domingo Perez4 D. Antonio Roxásy Di Antonio* Claros, D. Alexo Fariñas, D. Santiago de Alboniga y‘Romero , Di Antonio María Vitoria Hernaez, D. Mamerto Vázquez, D. Antonio Cast</t>
  </si>
  <si>
    <t>Josef Vejarano</t>
  </si>
  <si>
    <t>isco Arráez y D. Manuel Pazr á Tenientes de granaderos en los de Sevilla y Ecija á los de fusileros D. Josef Vejarano y D. Antonio Pareja: á Teniente de fusileros en el de Ronda al Subteniente de granaderos D. Francisco Berlanga: X Subteniente de, granaderós -éñ el de Segpvia al de fusileros 0. Matía</t>
  </si>
  <si>
    <t>Josef Velez</t>
  </si>
  <si>
    <t>Id. id. Josef Velez.......... Hijo de Francisco y de Ana María Martí­</t>
  </si>
  <si>
    <t>Josef Ventura</t>
  </si>
  <si>
    <t>profesores modernos, ilustrada con muchas observaciones prácticas, y con 24 láminas finas: su autor Don Josef Ventura, Cirujano que fué del hospital general de la Pasión, Comadrón en esta Corte: 2 tomos en 4.°=:Perfecto diario del cristiano, distribuido en los dias de la semana, con ei orden que</t>
  </si>
  <si>
    <t>Josef Ventura Cabello</t>
  </si>
  <si>
    <t>rvido nombrar para el Obispado de Guayana, vacante por fallecimiento de D. Josef García Mohedano, á D. Josef Ventura Cabello, Canónigo de aquella Iglesia: para la Dignidad de Tesorero de la del Cuzco á D. Feliciano Paz y Pozo: para la Canongía que este dexa al Racionero D. Manuel de la Sota; y para esta</t>
  </si>
  <si>
    <t>Josef Viana</t>
  </si>
  <si>
    <t>olegial de Uxijar, en el Arzobispado de Granada, vacante por fallecimiento de D. Mariano Navarro, á D. Josef Viana, Cura propio y Vicario de la ciudad de Almuñecar, en el mismo Arzobispado. S. M. se ha servido nombrar para la Canongía, que en la Iglesia de Palencia ha resultado vacante por mue</t>
  </si>
  <si>
    <t>Josef Vicente de Arcega</t>
  </si>
  <si>
    <t>Metropolitana de Manila, en Filipinas, vacante por ascenso á Ración de ella de D. Tomas Casañas, á D. Josef Vicente de Arcega, Sacristán mayor de dicha Catedral. También ha conferido el Rey la plaza de Regente de la Audiencia de México, vacante por fallecimiento de D. Cosme de Mier y Trespalacios, á D. M</t>
  </si>
  <si>
    <t>Josef Vicente de Góngora</t>
  </si>
  <si>
    <t>lla al Deanato de la de Jaen,á Don Dionisio de la Coba: para la Canongía que este obtiene en ella á D. Josef Vicente de Góngora, Beneficiado de Santa María de Jaraíz en el Obispado de Plasencia: para una Ración de la Catedral de Osma, vacante por dimisión que ha hecho de ella D. Santos Hemeterio Encabo, pa</t>
  </si>
  <si>
    <t>Josef Vicente Piñey</t>
  </si>
  <si>
    <t>do nombrar para la Canongía, que en la Santa Iglesia de Santiago ha resultado vacante por muerte de D. Josef Vicente Piñey</t>
  </si>
  <si>
    <t>Josef Vidad y Bou</t>
  </si>
  <si>
    <t>, graduado de Capitán, D. Rodulfo Conde; y en el de Valencia Tenencia al Subteniente de granaderos Don Josef Vidad y Bou.</t>
  </si>
  <si>
    <t>Josef Vigil</t>
  </si>
  <si>
    <t>ado de Cápitan, D. Vicente Linares: y Subtenencias de bandera en el de Valencia al Sargento primero Don Josef Vigil; y: en el de Navarra al Sargento primero de granaderos I)on Pedro Valero, y al Cadete D. Julián Tordera. En el Regimiento de infantería Suizo de Courten se ha servido S. M* conced</t>
  </si>
  <si>
    <t>Josef Viladevall</t>
  </si>
  <si>
    <t>sona , , , 132. 24. Josef Viladevall......... Joaquín. . Catalina Taberné. San Jordr,-, Gerona ,,, 66. 12- Cabo....Francisco Valí.............Ludan. . . Francisca Altimira. San Quirch ,</t>
  </si>
  <si>
    <t>Josef Vildosola</t>
  </si>
  <si>
    <t>la Mancha, D. Juan Bautista Salinas y su línea, deberán hacerlo, para que. sea legítimo su pago, á D. Josef Vildosola, Oficial segundo de la Nunciatura en esta Corte, que vive en la calle de la Ruda, num. i, como Apoderado general que es del Sr. Marques de Salinas, actual poseedor de dichos mayor</t>
  </si>
  <si>
    <t>Josef Villalobos</t>
  </si>
  <si>
    <t>mente conferir empleo de Teniente en el de húsares de María Luisa al Alférez, graduado de Teniente, D. Josef Villalobos; y á Alférez en el de húsares V oluntarios al Sargento primero D. Miguel Torres. Por el Ministerio de Hacienda, con fecha de 2 de Octubre de 1784, se ha comunicado á los gefes civ</t>
  </si>
  <si>
    <t>Josef Villalon</t>
  </si>
  <si>
    <t>yudante, graduado de Capitán, Don Pedro Sotomayor; y empleo de Portaestandarte en el de Calatrava á D. Josef Villalon, Cadete del de España. En los Regimientos de caballería de línea se ha servido S. M. conceder en el del Infante Tenencia al Alférez D. Josef Clairac: en los del Príncipe y Montesa</t>
  </si>
  <si>
    <t>Josef Weissembach, Francisco</t>
  </si>
  <si>
    <t>Francisco Josef Weissembach</t>
  </si>
  <si>
    <t>sco Scolar; á Subteniente de granaderos al de fusileros D. Juan Werly; y á Subteniente de bandera á D. Francisco Josef Weissembach: en el de Betschart á Subteniente al Cadete D. Domingo Schnuringer; y en el de Reding á Subteniente al Cadete D. Bonifacio Ulrích. En el Regimiento de caballería de laReyna se ha</t>
  </si>
  <si>
    <t>Josef Xavier de Torres</t>
  </si>
  <si>
    <t>Metropolitana de Manila,, en Filipinas,, vacante: por fallecimiento de D.. Juan Anselmo Medrano, á D. Josef Xavier de Torres.:;, para la Tesorería que dexa á D. Manuel Francisco Tubil: para su Canongía á: D. Juan. Garcés; y para la. Ración que este, dexará á D.. Tomas Francisco» Casañas, Medio-Racionero</t>
  </si>
  <si>
    <t>Josef Ximenez</t>
  </si>
  <si>
    <t>Josef Ximenez.. Hijo de Manuel, natural del lugar de S. Lú- &gt;</t>
  </si>
  <si>
    <t>("Josef Ximenez....... Hijo de Josef, nat. de Prebera ; Reyno de) :</t>
  </si>
  <si>
    <t>Josef Ximeno</t>
  </si>
  <si>
    <t>una breve explicación ái pie de los sucesos mas principales en él acaecidos, dibuxada y grabada por D. Josef Ximeno, quien está</t>
  </si>
  <si>
    <t>Josef Yost</t>
  </si>
  <si>
    <t>Francisco Gugger: Teniente y Subteniente de granaderos en el vacante de Courten á los de fusileros D. Josef Yost y,D. Ludovico Jacinto Quartery^ y Capitán ségundo en ei de Traxler al Teniente de granaderos í). Josef Roten fflue. ^ En el Regimiento de dragones de la Reyna se ha servido S. M. co</t>
  </si>
  <si>
    <t>Josef Zarate</t>
  </si>
  <si>
    <t>de Noya ; y de-fusileros á D. Francisco García deJPonce, D. Antonio Zainudio, D. Francisco de Lira, Don Josef Zarate y D. Manuel Nuñez; Subtenencia de granaderos á D. Fermín Albares; de fusileros á IX Dámaso Mesa, D. Marcelo Sanabria , Don Miguel Parra, D. Josef Mesa, D. Mariano Cosío, D. Pascual Zá</t>
  </si>
  <si>
    <t>Josef Zufía</t>
  </si>
  <si>
    <t>la población por la cantidad de subsistencia, y de las causas que suelen impedir sus aumentos: 7.0 D. Josef Zufía de los diferentes ramos del comercio de granos, y de los efectos que en él puede producir la libertad mercantil. Dia 18 de Abril exercitáron con igual concurso: 8.° D. Gerónimo de las Po</t>
  </si>
  <si>
    <t>Josef, Archiduque</t>
  </si>
  <si>
    <t>Archiduque Josef</t>
  </si>
  <si>
    <t>n fia político. Se reduce á hacer los contratos preliminares para el matrimonio proyectado entre el Archiduque Josef, Palatino de Hungría, y úna Princesa de Rusia, hermana del Emperador. Nadie puede desempeñar mejor esta Comisión que el Príncipe Ferdinando de Wurtemberg, hermano de la Emperatriz</t>
  </si>
  <si>
    <t>oravia y de la Silesia._-S. A. I. el Archiduque Garios conservará el Ministerio de la Guerra ; y al Archiduque Josef se le ha encargado la direc-; cion de la Artillería y de los Ingenieros. ? Augsbnrgo ztf de Marzo. El Vice-Almirante Mr. de Tchisehagaff, Ministro de Marina, ha remitido á la Acad</t>
  </si>
  <si>
    <t>Josef, Juan</t>
  </si>
  <si>
    <t>Juan Josef</t>
  </si>
  <si>
    <t>o nombrar para una. de las catorce Capellanías det. número y Coro, de la Metropolitana de Granada á D. Juan Josef de. Herrera.. En el Regimiento de caballería, de la, Reyna se ha servido el Rey conceder Ayudantía ai Teniente, graduado de Capitán,. D. Carlos Decombes:: en el de Borbon empleo de A</t>
  </si>
  <si>
    <t>de Torres; á Subrigadier al Cadete D. Agustín Irumberri; á Cadetes de número á los supernumerarios D. Juan Josef y D. Manuel Ripperdá, y á Supernumerario al Guardia D. Juan Montes. El Rey se ha servido nombrar para la Vara de Alcaide mayor de la vi</t>
  </si>
  <si>
    <t>Josef, Príncipe</t>
  </si>
  <si>
    <t>Príncipe Josef</t>
  </si>
  <si>
    <t>s Nacionales y de las guardias de Honor. S. M. I., acompañado de SS. AA. II., el Condestable, y del Príncipe Josef, de las Dignidades ¿el Imperio y de los Gefes de palacio, se transfirió á la misma galería, y pasó revista á todas las filas de las Diputaciones, siéndole presentadas cada una de</t>
  </si>
  <si>
    <t>u casa y de los Ministros. Sentado S. M. en el trono, cubiertos y sentados todos los asistentes, el Príncipe Josef, Gran Elector, pidió á S. M. el permiso de presentarle á jurar los individuos del Cuerpo Legislativo. Un Qiiesto,r fue llamando sucesivamente los Legisladores, los que, puestos en</t>
  </si>
  <si>
    <t>e S. M. I., llegó á Turin el 4 de Febrero para preparar los alojamientos á S. M. el Emperador, y al Príncipe Josef, á quienes esperan en aquélla ciudad hácia mediados de Marzo* Ocuparán el palacio de Stupinis, situado á dos leguas de Turin. Este palacio, que era en otro tiempo el sitio donde i</t>
  </si>
  <si>
    <t>compañaron á la nueva sala* Sentado en su trono, y rodeado de los Príncipes y Grandes Oficiales, el Príncipe Josef presentó á los dos nuevos Senadores Mr. de Semonville y al General Ferino, que prestaron el juramento acostumbrado en manos de S. M. I. • .Concluida esta ceremonia, el Secretario</t>
  </si>
  <si>
    <t>una nuera edición con las obras ya publicadas; porque estas se consideran una propiedad pública. El Príncipe Josef, que fué el 31 de Marzo con su esposa á visitar ai Papa con motivo de so partida , volvió el dia i.° del corriente á despedirse de S. S. Desde el alojamiento del Papa pasó S. A. I</t>
  </si>
  <si>
    <t>países extrangeros, lo que forma una ley de reciprocidad. El dia 11 salió de París para Bruselas el Príncipe Josef, acompañado del Senador Roederer y de otros Oficiales dé su casa, pespues de que presida el Colegio Electoral, se detendrá algunos dias en la capital de su Senatoria, y de allí,pa</t>
  </si>
  <si>
    <t>denales. Brusélas iS de Abril, Ayer, á las f de la tarde, hizo su entrada solemne en esta ciudad el Príncipe Josef, precedido de las Autoridades civiles y militares, y de destacamentos numerosos de la guarnición, que le hiciéron los honores prescritos.__ El Colegio Electoral del Dyle, presidid</t>
  </si>
  <si>
    <t>rpo del centro ; el campamento de Brújas el de la derecha, y el de Montreuil el de la izquierda. El Príncipe Josef ha vuelto á esta capital. Durante su detención en Nancy, los Oficiales de su Regimiento le han obsequiado con todo género de diversiones. La Sociedad de emulación de Rúan celebró</t>
  </si>
  <si>
    <t>a bandera Francesa en Argel con tanta actividad como nobleza, se halla en este momento en París. El Príncipe Josef, Gran Elector, permanecerá en esta capital, por disposición del Emperador su hermano, para presidir las juntas del Senado. ESPAÑA. Madrid 2$ de Octubre. En el Regimiento de infant</t>
  </si>
  <si>
    <t>se han reunido los miembros del Senado en virtud de una conv.qcacion extraordinaria de S. A. I. el Príncipe Josef, Gran Elector» lian asistido á esta junta S. A. I.-el Principe Luis, Condestable, S. A. S. el Príncipe Archi-Canciller del Imperio, y parte de los Ministros. Se abrió la sesión, p</t>
  </si>
  <si>
    <t>medios de la execucion.^. A conseqüencia de lo resuelto se presentó ántes de ayer una Diputación al Príncipe Josef, y le entregó la qatta, de enhorabuena; S. A. 1. se ha.encargado:ae remitirla al Emperador. JOiarío del exército, Munich d. 26 de Qptubre, El Emperador llegó á Munich el 24 de Oct</t>
  </si>
  <si>
    <t>darle en el campo de batalla , y en el mismo momento del triunfo : siendo presidido per S. A. I. el Príncipe Josef, Gran Electo?, y asistiendo á esta sesión S. A. I. el Condestable Príncipe Luis, y S. A. S. el Señor Archi— Canciller del Imperio, y estando presentes los Ministros; nos ha encarg</t>
  </si>
  <si>
    <t>Josefa de Oromiota, María</t>
  </si>
  <si>
    <t>María Josefa de Oromiota</t>
  </si>
  <si>
    <t>Ignacio de Vicuña y á D. Felipe de JBetolaza, vecinos de la ciudad de Vitoria, y testamentarios de Doña María Josefa de Oromiota, difunta; y en Madrid á D. Josef Gómez de Herrera, calle ancha de los Peligros, núm. 21, para comunicarles cierta disposición que dexó á su favor la susodicha. Se halla vacante el</t>
  </si>
  <si>
    <t>Josefa Gutiérrez Miguel</t>
  </si>
  <si>
    <t>forme a derecho, y les parará entero perjuicio. - Se desea saber el paradero de Josefa Gutiérrez Miguel, natural del lugar de Ce</t>
  </si>
  <si>
    <t>Josefa, María (princesa)</t>
  </si>
  <si>
    <t>Princesa María Josefa</t>
  </si>
  <si>
    <t>miendan particularmente esta^ colección, se ha insertado en ella el Elogio fúnebre de Ja Serenísima Princesa Doña María Josefa, Infanta de España, pronunciado en la Capilla Real de los Españoles en Stockolmo, por el Abad Maquart, profesor de Retórica, iy Rector de la Universidad de Rems; y la Plática que</t>
  </si>
  <si>
    <t>Josefde Ayala, Manuel</t>
  </si>
  <si>
    <t>Manuel Josefde Ayala</t>
  </si>
  <si>
    <t>S. de orden de S. M. &amp;c* El 8 de Marzo último falleció en esta Corte, á los 77 años de edad, el Sr. D. Manuel Josefde Ayala, Caballero pensionado de la Real distinguida Orden de Cirios m, y Ministro de Capa y Espada en el Supremo Consejo de Indias. Sirvió á S. M. por espacio de 42 años, empezando su ca</t>
  </si>
  <si>
    <t>JosefFelipe Mangudo</t>
  </si>
  <si>
    <t>nombrar para una Ración de la Catedral de Sigiienza, vacante por fallecimiento de D. Blas Urraca, á D. JosefFelipe Mangudo: para una Canongía de la Colegial de Antequera, Diócesi de Málaga , vacante por muerte de D. Josef del Rio, á D. Josef López Mañas , Racionero de ella: para la Ración que este dex</t>
  </si>
  <si>
    <t>JosefMaicin</t>
  </si>
  <si>
    <t>spado ; y para dos Medias^Rap iones, de la Metropolitana dejLima , vacantes por haberlas renunciado D. JosefMaicin y D* Henrique de Lope Concha, áD. JoSef Antonio de la Viá y D. Cayetano Erasó, Curas ámbos en aquella Diócesi... - ' , - , , ,v . ■. . . ■ t. El Re¿y se iba servido¡nombrar SubuMpectó</t>
  </si>
  <si>
    <t>JosefRuiz de la Puerta</t>
  </si>
  <si>
    <t>de la Colegial de la ciudad de Sta. Fe, en el Arzobispado de Granada, vacante por fallecimiento de D. JosefRuiz de la Puerta, á D. Fernando Josef Calvo: para una Media-Ración de la Catedral de Granada, vacante por muerte deD. Juan Pedro Palacios ,áDon Miguel de la Vega , Cura de la Parroquial de S. Pedr</t>
  </si>
  <si>
    <t>Josei Suix</t>
  </si>
  <si>
    <t>en la imprenta y librería de D. Lorenzo de San Martin, calle de la Montera; y en Barcelona, casa de D. Josei Suix, en la Líbretería, á 4 rs. cada excmplar en rústica. Tratado elemental, .ó Principios de Física , fundados en los conocimientos mas ciertos, así antiguos como modernos, y confirma</t>
  </si>
  <si>
    <t>Joser María Montero</t>
  </si>
  <si>
    <t>Roco en traducción de autores y reglas de sintaxis; D. Joaquin Sevilla, D. Antonio González Rendon, D. Joser María Montero, D. Ramón Ribera, D. Josef Noceda, D. Josef Valero y D. Domingo Cepillo en rudimentos y todo género de oraciones. ! Madrid J6de Julio. S. M. se ha servido nombrar para el De2nato</t>
  </si>
  <si>
    <t>Joser Zabalza</t>
  </si>
  <si>
    <t>Antonio Lariz; y en el de húsares Españoles empleo de Alférez al Cadete del de húsares de Lusitania D. Joser Zabalza. ; El Rey se ha servido conferir el Gobierno Militar y Político de la ciudad de Motril al Brigadier D. Josef Joaquín de Virues, Sargento máyor del Regimiento de Milicias de Ronda.</t>
  </si>
  <si>
    <t>Joset Antonio Osio</t>
  </si>
  <si>
    <t>en el Regimiento de dragones Provinciales de Puebla se ha dignado, promover á Alférez al Portaguión D. Joset Antonio Osio , y a Portaguión á D. Josef Martin Niño de Ribera. ■ El Rey se ha dignado conceder al Brigadier D. Juan Antonio de la Mata, Teniente de Rey de la Plaza de Panamá, el Gobierno mili</t>
  </si>
  <si>
    <t>Joubert</t>
  </si>
  <si>
    <t>istema militar, y dar fin á las quejas y descontento del pueblo. Ha llegado aquí estos dias pasados Mr. Joubert, primer intérprete de lenguas orientales del Ministerio Francés, y ha participado al Reiss-EtFendi que trae una carta dei Emperador Napoleón para Selim 111, con orden expresa de e</t>
  </si>
  <si>
    <t>Jourdan, Mariscal</t>
  </si>
  <si>
    <t>Mariscal Jourdan</t>
  </si>
  <si>
    <t>n. Todos los caminos están llenos carros y de tropas. Hace pocos dias que pasó por aquí á Italia el Mariscal Jourdan.__ Ayer llegó el primer cuerpo de la columna de tro— 'pas Francesas que ha de asistir á la coronación. Se compone dé cazadores de la guardia Imperial.__ La segunda división de la</t>
  </si>
  <si>
    <t>Milán, 81 idei Mayo» ¡Esta tardé: han entrado en esta ciudad SS. MM.: II. El - Príncipe Eugenio, el Mariscal Jourdan, todos los Generales y ios Oficiales del Estado mayor Francés é Jfaliánd saliéróríá recibirlos á un quarto de legua fuera de la ciudad. En el camino estaba formada la tropa de inf</t>
  </si>
  <si>
    <t>e la escalera. Poco después de llegar SS. MM. á palacio, el Emperador dió audiencia á Mr. Melzi, al Mariscal Jourdan, á los Generales Comandantes de las tropas que hay en Italia, á los Miembros de la Consulta de Estado y á los Ministros.__ Las personas nombradas para hacer en la coronación las f</t>
  </si>
  <si>
    <t>buenos maestros. El Mariscal Bessieres hace executar las maniobras que el Emperador le ordena, y el Mariscal Jourdan manda la infantería.__ Se cree que el Emperador permanecerá mañana en el campamento, y después pasará á visitar las plazas de Peschiera, Verona, Legnagb y Mantua. FRANCIA. Génova</t>
  </si>
  <si>
    <t>Joven de Salas, Francisco</t>
  </si>
  <si>
    <t>Francisco Joven de Salas</t>
  </si>
  <si>
    <t>jar, á D. Josef Guillen de Toledo; y para la Vara de Alcalde mayor de la ciudad de Alcalá la Real á D. Francisco Joven de Salas. En América. El Rey se ha servido nombrar para la plaza de Ministro togado del Consejo de Indias, vacante por fallecimiento del Sr. D. Jorge Escovedo, al Sr. D. Antonio López Quin</t>
  </si>
  <si>
    <t>Joven y Naya, Joaquín</t>
  </si>
  <si>
    <t>Joaquín Joven y Naya</t>
  </si>
  <si>
    <t>Romeral de la villa de Monzon, Diócesi de Lérida, vacante por fallecimiento de D. Josef Valong2, á D Joaquín Joven y Naya, contribuyendo al Racionero Vicario de la misma Iglesia con 4® rs. de vn. anuales; y para una Pavordía de la Catedral de Mallorca, vacante por muerte de D. Rafael Llompard, á D. l</t>
  </si>
  <si>
    <t>Jover y Placies, Pablo</t>
  </si>
  <si>
    <t>Pablo Jover y Placies</t>
  </si>
  <si>
    <t>sillas á D. Alonso Martin Marques Brioso: para la Vara de Alcaide mayor de la ciudad de Antequera á D. Pablo Jover y Placies; y para la de las ciudades de Vera y Moxacar á D. Francisco de Paula Padial. En América. El Rey se ha dignado conferir el Gobierno Militar y Político de la antigua California, en</t>
  </si>
  <si>
    <t>a de Becerril de Campos á D. Vicente Girón : para la Vara de Alcalde mayor de la ciudad de Murcia á D. Pablo Jover y Placies: para la de la ciudad de Almuñecar y villa de Salobreña á D, Pedro Benito y Vidal: para la de la Población de Algeciras á D. Josef García Infante: para la de la villa de Fortuna á</t>
  </si>
  <si>
    <t>Jtfafl Ximenó</t>
  </si>
  <si>
    <t>. D. Pedro y D. Juán Esponera. En'Leon............... D. Pedro Gil de Tejada. ' En Málaga.......... D. Jtfafl Ximenó. ' Eñ Mahon........... Doña Catalina Germán' y Hugáfde". En Murcia........... Sres»Moreda y Ladalid. ; . En Oviedo. ..../.id..-D.^Manuel Riibiáno. En Patencia...... Viuda de D» Ni</t>
  </si>
  <si>
    <t>Juan Alonso</t>
  </si>
  <si>
    <t>l de Borbon Ayudantía al Teniente D. Juan de Pozas; y empleo de Portaestandarte al Sargento primero D. Juan Alonso : en el ae Algarbe empleo de Alférez al Portaestandarte D. Francisco Escofes, y el de Portaestandarte al Sargento primero D. Juan de Cuellar. También se ha servido S. M. conferir</t>
  </si>
  <si>
    <t>Juan Antonio</t>
  </si>
  <si>
    <t>Ja fuentecilla de Ja calle de Toledo. Quien quiera comprarla, acuda á la misma, donde vive su dueño D. Juan Antonio.Puchol. Origen, progresos y estado de las Rentas de,la Corona de, España, su gobierno y administración, por D. Francisco Gallardo Fernandez ,Oficial de da Secretaría de Estado y d</t>
  </si>
  <si>
    <t>ar para la Vara de. áUcalie mayor de la villa de los Santos, territorio de la .Orden de Santiago, á D. Juan Antonio Do«oso: para la de la villa de:Castuera á D. Pedro Pascual Casales: para la .de l Gobierno de Valenc ia de Alcántara á D. Fi an cisco Garacciolo Perez, ambas en el territorio de la O</t>
  </si>
  <si>
    <t>as está señalado el día 26 del presente, á las once de, su-mañana, en la escribanía de provincia de D. Juan Antonio.Díaz Noriega. Nu svas Efemérides de España históricas y literarias: tomo i.° Contiene la hís</t>
  </si>
  <si>
    <t>Juan Estéban</t>
  </si>
  <si>
    <t>sidencial de la villa de Oropesa, Diócesi de Avila, vacante por muerte de D. Dionisio Taravajano, á D. Juan Estéban; y para un Beneficio simple servidero en la villa de Ximena, Diócesi de Cádiz, vacante por fallecimiento de D. Miguel Rodríguez y Alvarez, á D. Alonso Acedo del Olmo, Teniente de</t>
  </si>
  <si>
    <t>Juan Francisco</t>
  </si>
  <si>
    <t>dad. í ; El Corregidor, el Marques de Embid , D. Rafael, D. Josef y D. Mar nuel Garces de Marcilla, D. Juan Francisco y D. Joaquín Asensio-de Ocon, padre é hijo , D. Joaquín Montesoro y Moreno, D. Faustino .Cotorro de la Gala, D. Domingo y D. Antonio Hernández,hermanos, Don</t>
  </si>
  <si>
    <t>Juan Martín</t>
  </si>
  <si>
    <t>a6... Juan Martín............. Hijo de Antonio , nat. de Godoñ de la Parral</t>
  </si>
  <si>
    <t>Juan Pablo</t>
  </si>
  <si>
    <t>se siguió; y á fin de que perciban, y solventar con ellos ó sus herederos, acudan á la librería de D. Juan Pablo, frente de los Gremios. Historia eclesiástica desde el establecimiento de la Iglesia hasta los tiempo» presentes, escrita en francés por el Abad Berault-Bercastel, Canónigo de la</t>
  </si>
  <si>
    <t>Juan Simón</t>
  </si>
  <si>
    <t>Id. id. Juan Simón........... Hijo de Mateo y de Antonia Sevillano,</t>
  </si>
  <si>
    <t>Juan'Manuei Parreño</t>
  </si>
  <si>
    <t>go Pichardo, y Subtenencias dé .bandera en los de la Corona, León y Ordenes Militares á los Cadetes D. Juan'Manuei Parreño, D. Josef María de Oya y D. Tomas de Irazoqui, este del de Mallorca. El Rey se ha servido conferir la Tenencia Coronela del Regimiento de infantería de Aragón áD. Juan Rengel,!Com</t>
  </si>
  <si>
    <t>Juan, Archiduque</t>
  </si>
  <si>
    <t>Archiduque Juan</t>
  </si>
  <si>
    <t>Stein, de infantería , :y de varios esquadrones de húsares .de Blankenstein. Dase por seguro que el Archiduque Juan, baxo cuyas órdenes irá ei General Mack, ha de tener el mando del exércíto del Tirol. Ya están en marcha las tropas destinadas para el campamento de .Bad</t>
  </si>
  <si>
    <t>pamento de W els. El Príncipe Carlos ha comprado ya los caballos necesarios para sus «quipages ; el Archiduque Juan saldrá para su destino á fines de este mes; y los 30 batallones que hay en las fronteras de Turquía tienen ya orden de marchar al primer aviso. Están concluidos ya 5c© fusiles de</t>
  </si>
  <si>
    <t>s exércitos Austríacos, uno de los quales lo mandará el Emperador y el General Mack , el segundo el Archiduque Juan y el General Lindenan, y el tercero el Archiduque Carlos y el General Schwidt. París 12 Setiembre* •Mr. Bacher , Encargado !de Negocios dé S. M. en Ratisboria, ha recibido orden de pr</t>
  </si>
  <si>
    <t>entrado en Hall, donde ha tomado ricos y grandes almacenes, cuyos inventarios no se tienen aun. El Archiduque Juan, que mandaba en el Tirol, se ha escapado por Luchstal, habiendo&gt;ncargado á un Coronel que entregase á los Franceses todos;los almacenes, y recomendando á su generosidad 1200 enfer</t>
  </si>
  <si>
    <t>Juan, Príncipe</t>
  </si>
  <si>
    <t>Príncipe Juan</t>
  </si>
  <si>
    <t>o-ya".una.posicion ventajosa en las cercanías de Bregént'z * adonde también ha llegado del Tirol el Príncipe Juan , hermano deTEmperador; pero no se ha detenido sino dos dias, y se ha vuelto á Felckirck y-de aquí á Inspruck. Stuttgardt 11 de Octubre. El Emperador de Austria ha- celebrado vari</t>
  </si>
  <si>
    <t>Juana Barrera</t>
  </si>
  <si>
    <t>vende en la librería de Castillo, frente á las gradas de S. Felipe, á 6 rs. en rústica. Retrato de Doña Juana Barrera, niña muy particular por haber sufrido á los Sí años y medio de su edad el mas riguroso examen público de gramática y ortografía castellana, siendo preguntada por su Catedrático X</t>
  </si>
  <si>
    <t>Juana López</t>
  </si>
  <si>
    <t>co, en donde se tiene noticia falleció, se han practicado por los albaceas del D. Josef, que Jo son Doña Juana López, D.-Alonso Antonio de Ortega y D: Manuel de Pedáneo, vecinos de dicha Isla de León, varias diligencias para adquirir noticias del paradero de dichos legatarios, que no Han tenido</t>
  </si>
  <si>
    <t>Juana Ximenez del Rio y María Berard y Mallen</t>
  </si>
  <si>
    <t>os premios cediéron la parte pecuniaria de ellos D. Fermín Nebot, Doña María de la Concepción Dolz, Doña Juana Ximenez del Rio y Doña María Berard y Mallen, lo que se adjudicó á otros beneméritos, á quienes no alcanzaron los demas premios. Continuóse publicando la adjudicación de 12 premios ofrecidos,6 á las escuelas y enseñanzas de</t>
  </si>
  <si>
    <t>Juanes Quartero, Julián</t>
  </si>
  <si>
    <t>Julián Juanes Quartero</t>
  </si>
  <si>
    <t>acudirá prontamente al Ayuntamiento deja jnisrna. Se desea saber si vive o. no Julián Juanes Quartero, Soldado en el Regimiento de Africa, para,entregarle ciertos bienes que le corresponder, y quedaron por muerte de un hermano suyo llamado Pedro Juanes Quartero, los que por ignorarse el pa</t>
  </si>
  <si>
    <t>JuanNepomuceno Morales</t>
  </si>
  <si>
    <t>1(04 4 D.. Pedro Robüátiaíio Gallardo, D. Manuel Mexía Moreno, D. JuanNepomuceno Morales y D. Josef Valcárcel y Arias. ;i S. M. ha concedido honores de Comisario Ordenador de sus Exércitos í P. Miguel Manuel Calvo, Director honorario, y Contador de las Reales Fábricas de</t>
  </si>
  <si>
    <t>Juarros, Juan de Dios</t>
  </si>
  <si>
    <t>Juan de Dios Juarros</t>
  </si>
  <si>
    <t>servido nombrar para el Arcedianato de la Metropolitana de Guatemala, vacante por fallecimiento de D. Juan de Dios Juarros, á D. Isidro Sicilia: para la Chantría á D. Antonio Carbonel: para la Maestrescolía á D. Antonio García:para la Tesorería á D. Blas Josef Clá; y para la Canongía que este dexa á D</t>
  </si>
  <si>
    <t>JúaU de Répide</t>
  </si>
  <si>
    <t>D. Manuel de ¡Torres, Teniente Corregidor de esta villa, por la escribanía de su número, que exerce D. JúaU de Répide. £1 Ayuntamiento de la ciudad de Santander y su Real Consulado tienen acordado sacar á público remate los solares y posesiones, comunes de ambos Cuerpos, que resultan para aumento</t>
  </si>
  <si>
    <t>Judas Navarro la Operación</t>
  </si>
  <si>
    <t>resencia en las casas consistoriales de la propia villa ai Médico de Exército y titular de la misma D. Judas Navarro la Operación é incisión de la vacuna, con 4 picaduras que se hicíéron á un niño; y habiendo quedado solo una prendida con el legítimo humor, se fue propagando de unos en otros á impulsos del c</t>
  </si>
  <si>
    <t>Julavera, Ramón</t>
  </si>
  <si>
    <t>Ramón Julavera</t>
  </si>
  <si>
    <t>, 66. 12» Ramón Julavera.... Rafael. ... Antonia Felin. . .. Valls,» ,,,» Tarragona ,, 66. 12» Antonio Parreu.........Josef. .... Maria Argenten . . Pratdit, ,,,,. Montblanc,,</t>
  </si>
  <si>
    <t>Julio Alberto Vincenz</t>
  </si>
  <si>
    <t>Pedro Riedy y D. Gaspar de la Tour; y en el de Traxler á Subtenientes al Cadete D. Luis VV irch y á D. Julio Alberto Vincenz. . ._ Edicto~ llamando á oposicio)l á 5 Cátedras vacantes en la Real Casa de Pages. =D.Vicente Joaquhl Osorio y Moscoso Fernande'z' de Córdoba, Marques de Astorga, Conde de Altami</t>
  </si>
  <si>
    <t>Junot, General</t>
  </si>
  <si>
    <t>General Junot</t>
  </si>
  <si>
    <t>s de oro, que.la hará ménos dichosa que una visita tan inesperada.’* PORTUGAL. ¿Lisboa :2o de AbriL General Junot, Embaxador del J£mperad*rdcdos -Franceses ,lie—</t>
  </si>
  <si>
    <t>Justo</t>
  </si>
  <si>
    <t>os y Fany , dos niños Ingleses, abandonados en una isla de América: relación imitada del ingles por D. Justo de le Barra: 3 tomos en 8.° Se hallarán en la librería de Arribas, calle de las Carretas» á 27 rs. en pasta. Historia eclesiástica, desde el establecimiento de la Iglesia hasta el pr</t>
  </si>
  <si>
    <t>Justo de Moraies, Manuel</t>
  </si>
  <si>
    <t>Manuel Justo de Moraies</t>
  </si>
  <si>
    <t>, que entre los concurrentes á ambos premios , se ha adjudicado el de Sop^rs. á Manuel Justo de Moraies, vecino y labrador de Navalmoral cíe Pusa, provincia de Toledo , por haber acreditado competentemente, que en una huerta de regadío, suya propia, plantó como 8 arrobas de patatas gallegas</t>
  </si>
  <si>
    <t>Justo Josef Banqucri</t>
  </si>
  <si>
    <t>n que se manifiestan los intereses de la Real Hacienda y los de Granada, su costa y Alpujarras, por D. Justo Josef Banqucri, Abogado de los Reales Consejos, y Académico de la .Real Academia de Derecho Español de esta Corte. Se hallará en la librería de Cerro, calle de Alcalá; y en Granada en la de Pojo</t>
  </si>
  <si>
    <t>Justo Racax</t>
  </si>
  <si>
    <t>D. Alexandro Benisia: en el primer batallón de Voluntarios de Aragón a segundo Ayudante al Teniente D. Justo Racax , y á Subtenientes á los Cadetes D. Rafael, de Ja Peña Zorrilla y D. Isidro Diego: en el primero de Voluntarios de Cataluña á Teniente al Subteniente D. Antonio Ferrer; y á Subten</t>
  </si>
  <si>
    <t>Kaester</t>
  </si>
  <si>
    <t>ndido ahora por la mitad. Ha hecho mucha sensación en Leipsick el espectáculo mnemónico que ha dado Mr. Kaester. Los concurrentes han opinado que los esfuerzos de su memoria le hacen igual ó superior al Lie. Duchet, quien profesa hoy dia este arte nuevo. Las últimas cartas que hemos recibid</t>
  </si>
  <si>
    <t>Kalkreuth, General</t>
  </si>
  <si>
    <t>General Kalkreuth</t>
  </si>
  <si>
    <t>neutralidad y la paz en el norte de Alemania: el mando en ge fe de este exército se ha confiado al General Kalkreuth. El 8 del corriente se celebró un gran Consejo de Estado, al qual asistiéron todos los Ministros y muchos Generales. Al momento se despacharon correos á Petersburgo y á Viena. El</t>
  </si>
  <si>
    <t>Kaver</t>
  </si>
  <si>
    <t>as á la Exenta. Sra. de Mazarredo: las sonatas militares dé las tomas de Oczakow, por los Rusos, de Mr. Kaver: la toma de Marengo, y el.ataque Prusiano, todas con.acompañamiento de violín y baxo: hay asimismo otras muchas obras para todos instrumentos y canciones para gui. tarra y piano.</t>
  </si>
  <si>
    <t>Kayser, Remigio</t>
  </si>
  <si>
    <t>Remigio Kayser</t>
  </si>
  <si>
    <t>esta clase al Cadete D. Juan Baptista Josef Conde de Thurn: en el de Traxler á Ayudante al Teniente D. Remigio Kayser; y á Teniente al Subteniente de granaderos D. Tobías Buman: en el de Courten á Subteniente de granaderos al de fusileros D. Francisco Xavier Riedmaten: en el de Betschart á Tenien</t>
  </si>
  <si>
    <t>Keirh y del General Don, Lord</t>
  </si>
  <si>
    <t>Lord Keirh y del General Don</t>
  </si>
  <si>
    <t>allaban , y llegaron á Ramsgate á las 11 y media j é inmediatamente se embarcaron á las órdenes del Lord Keirh y del General Don. Llevan provisiones de boca para un mes. Toda la artillería volante destinada á esta expedición proyectada llegará el sábado á Cantorbery, para juntarse con las tropas de esté Cue</t>
  </si>
  <si>
    <t>Keith, Almirante</t>
  </si>
  <si>
    <t>Almirante Keith</t>
  </si>
  <si>
    <t>la esquadra que cruza delante de Brest está en buen estado. Igualmente se han recibido noticias del Almirante Keith. El Almirantazgo ha publicado el aviso siguiente : ,, Lord Nelson sé hallaba el 19 á la altura de la isla del Toro S. G. de Cerdeña: sabia ya la salida de la esquadra de Tolon, y</t>
  </si>
  <si>
    <t>en la dirección del Estrecho de Gibraltar, y á i%q millas de distancia de nosotros,” Se dice que el Almirante Keith ha mandado que no se acometa á la esquadrilla enemiga estando al alcance de las baterías de tierra. La salida del convoy destinado á la Jamayca, que debia verificarse el 22, se ha</t>
  </si>
  <si>
    <t>midable si consigue entrar en el Mediterráneo, y unirse á la de Cartagena. La esquadra que manda el Almirante Keith consta de 70 buques prontos á hacerse á la vela á la primera señal. La esquadra ligera destinada contra la esquadrilla de Boloña, al mando del Almirante Douglas, se compone de dos</t>
  </si>
  <si>
    <t>Keith, Lord</t>
  </si>
  <si>
    <t>Lord Keith</t>
  </si>
  <si>
    <t>celerar la expedición de los navios que entren en aquel puerto. Se ha nombrado para este encargo al Lord Keith. Estos dias últimos se ha juntado varias veces el Consejo del Rey: el Embaxador de Rusia ha asistido á todas las juntas. HOLANDA.. Fiesinga jo de Abril. La actividad con que se pr</t>
  </si>
  <si>
    <t>Kellerman, General</t>
  </si>
  <si>
    <t>General Kellerman</t>
  </si>
  <si>
    <t>a en la caballería del Prípcipe Murat. Esta tenia delante los húsares y cazadores á las órdenes del General Kellerman, y las divisiones de dragones de Valther y Beaumont, y en reserva las divisiones de coraceros de los Generales Nansouty y Hautpoult con 80 piezas de artillería ligera.,, i...,. El</t>
  </si>
  <si>
    <t>Kellermanñ, General</t>
  </si>
  <si>
    <t>General Kellermanñ</t>
  </si>
  <si>
    <t>e en la aldea de Hallem ; pero se ¡ ha retirado á la deGcQ lling, donde esperaba el Mariscal que el General Kellermanñ lecortasela retirada, y le cogiese prisiemero. Los habitantes aseguran que en medio de su inquietud el Emperador de Alemania se habia adelantado hasta Wels, donde supo el desastre</t>
  </si>
  <si>
    <t>Kellermann, General</t>
  </si>
  <si>
    <t>General Kellermann</t>
  </si>
  <si>
    <t>nifiestan sumo valor é intrepidez. Luego que el Mariscal Bernadotte llegó á Saltzburgo , destacó al General Kellermann al frente de su vanguardia para ir al alcance de una coluna enemiga que se retiraba por el camino de Carintia. Habíase puesto al abrigo del fuerte de Passling, en el desfiladero d</t>
  </si>
  <si>
    <t>Kellermann, Mariscal</t>
  </si>
  <si>
    <t>Mariscal Kellermann</t>
  </si>
  <si>
    <t>reparar la grande historia de Napoleón. Strasbiirgo 20 de Octubre. ,, Ayer partió de esta ciudad el Mariscal Kellermann para acelerar la organización delexército de reserva en los departamentos del Rhin; su ausencia será de pocos dias. La guardia nacional hace-ya su servicio en los quatro departame</t>
  </si>
  <si>
    <t>Kellernían, Mariscal</t>
  </si>
  <si>
    <t>Mariscal Kellernían</t>
  </si>
  <si>
    <t>á! en Maguncia, mandado por el Senador Mariscal’Lefebvre ;y el tercero en Strasburgo por'el Senador Mariscal Kellernían.—:—En Rennes se formará un campo volante de granaderos, á las órdenes del-Genera! de Brigada Boyer; otro campo volante de granaderos se formará en la ciudad Napoleón, y otro en Al</t>
  </si>
  <si>
    <t>Kellerraann, Mariscal</t>
  </si>
  <si>
    <t>Mariscal Kellerraann</t>
  </si>
  <si>
    <t>Princesas lo sostendrán los criados de sus,casas: la Dama y la Señora de honor de la Emperatriz: el Mariscal Kellerraann, llevando la corona de Cario Magno: el Mariscal Perignon, el cetro de Cario Magno: el Mariscal Lefebvre,la espada de Cario Magno: el Mariscal Bernadotte, el collar del Emperador:</t>
  </si>
  <si>
    <t>Kenigge, Barón</t>
  </si>
  <si>
    <t>Barón Kenigge</t>
  </si>
  <si>
    <t>mas de enfermedades epidémicas, ó han estado gravemente enfermos. El célebre Ingles Mr. Twedel y el Barón Kenigge han muerto. El General Ruso Sprengporten , el mismo que estuvo en París en calidad de Agente diplomático de Paulo 1, el Americano Smith, y el Coronel Ingles Poller están detenidos</t>
  </si>
  <si>
    <t>Kerñion, Pedro</t>
  </si>
  <si>
    <t>Pedro Kerñion</t>
  </si>
  <si>
    <t>o de Grandi-pré ; y el Sargento primero D. Juan Fernandez ; y á Subtenientes de bandera íos Cadetes D. Pedro Kerñion, D. Henrique de Graiid-pré, D. Alexo Lessacier yD. Carlos de. Villers, y los Sargentos primeros. D. Diego Barredo, de granaderos, y D. Juan Perez. Por Real Provisión de los Señore</t>
  </si>
  <si>
    <t>Kicola, Luis</t>
  </si>
  <si>
    <t>Luis Kicola</t>
  </si>
  <si>
    <t>40 rsi, todo costeado por los individuos de la Junta y algunos zelosos vecinos; y fueron premiados D. Luis Kicola, D. Miguel Cabellos, D. Vicente Tortilla, D. Ensebio Carda, D. Juan Bautista Cruz, Doña Peregrina Gosalbó, Doña Teresa Lamaneta y Doña Manuela Lamaneta. Después recitáron los niño</t>
  </si>
  <si>
    <t>KiéniAáyer, General</t>
  </si>
  <si>
    <t>General KiéniAáyer</t>
  </si>
  <si>
    <t>completarhente. Él cuerpo del General KiéniAáyer, que parece acostumbrado á las retiradas, ha padecido ménos que los demas; pero las tropas Rusas, que al principio opusieron la mas viva resistencia, sufriéron mucho ántes de imit</t>
  </si>
  <si>
    <t>Kienmayer, General</t>
  </si>
  <si>
    <t>General Kienmayer</t>
  </si>
  <si>
    <t>urgo y Donawert para continuar sus operaciones e» la orilla izquierda del Rhin baxo las órdenes del General Kienmayer. Se ha disuelto el exército Hessés que se había reunido en Cassel, y han vuelto á sus guarniciones ordinarias las tropas que lo componían. El Mariscal Bernadotte se ha quedado tre</t>
  </si>
  <si>
    <t>que estos no se nos escaparán. Luego que entró en Munich el Mariscal Bernadotte fué al alcance del General Kienmayer, le tomó los equipages y algunos prisioneros.__ Ei Ge-* ñera! Kienmayer ha evacuado al país, y ha vuelto á pasar el Inn. Así se ha cumplido lo que prometió el Emperador, y el enem</t>
  </si>
  <si>
    <t>Kiitel, Juan Jorge</t>
  </si>
  <si>
    <t>Juan Jorge Kiitel</t>
  </si>
  <si>
    <t>en el de Reding á Capitán primero al Capitán segundo D. Bernardo Godlin; y á Subteniente al Cadete D. Juan Jorge Kiitel. En América. El Rey se ha servido nombrar para-una Media-Ración de la Metropolitana de Carácas, vacante por promoción de D. Santiago de Zuloaga á Canónigo Doctoral de ella, á D. D</t>
  </si>
  <si>
    <t>Kikker, Almirante</t>
  </si>
  <si>
    <t>Almirante Kikker</t>
  </si>
  <si>
    <t>calma, que le obligó á arriar bandera. En el Consejo de Marina se han recibido hoy pliegos del Vice-Almirante Kikker, Comandante de las fuerzas marítimas en el Helder y en el Texel, anunciando haber encallado en un banco de arena, nombrado de Zuider Haaks, un navio Ingles de línea llamado elRomn</t>
  </si>
  <si>
    <t>King, Lord</t>
  </si>
  <si>
    <t>Lord King</t>
  </si>
  <si>
    <t>o varias veces, con mucho calor, nuestro sistema de defensa. En la de los Pares , el 9 de este mes, Lord King habló contra el bilí del exército de reserva , que consi</t>
  </si>
  <si>
    <t>y no contribuir solo coii dinero.” Concluyó pidiendo que se formase una junta, como habia propuesto Lord King; cuya propuesta se desestimó á la mayoría de 127 votos contra 75. El 12 se desestimó en la Cámara de los Comunes el bilí sobre los caballos de labor. Votáron por los Ministros 73</t>
  </si>
  <si>
    <t>Kirvanski, Príncipe</t>
  </si>
  <si>
    <t>Príncipe Kirvanski</t>
  </si>
  <si>
    <t>tos de que se compone principalmente aquel depósito. Se cuenta un acto de justicia executado por el Príncipe Kirvanski, Gobernador de Simbirsk, que le hace mucho honor. Una pobre muger, casi octogenaria, á quien la suerte acababa de arrebatar para la guerra el hijo único que la mantenía con su tra</t>
  </si>
  <si>
    <t>Klaproth</t>
  </si>
  <si>
    <t>ademia Redi de las ciencias y bellas letras de Berlín, que se han enriquecido con sus producciones. Mr. Klaproth nació en Cassel el 30 de Diciembre de 1^28, f tomó posesión de la cátedrá de Goetinga en 17 52* Mutister 16 de Marzo. El Barón de Vink, Presidente de la Cámara Real, ha remitido l</t>
  </si>
  <si>
    <t>Klé-i, Teniente General</t>
  </si>
  <si>
    <t>Teniente General Klé-i</t>
  </si>
  <si>
    <t>dos , antojársele establecerse en climas mas benignos. El Emperador ha recibido con mucho agrado al Teniente General Klé-i ñau, á quien había conocido quando mandaba el Regimiento de Wurmser; á los Tenientes Generales Giulay , Gottesheim, Ries, los Príncipes de Lichtenstein &amp;c. &amp;c. Les ha consolado de</t>
  </si>
  <si>
    <t>Klein, General</t>
  </si>
  <si>
    <t>General Klein</t>
  </si>
  <si>
    <t>mente á Neresheim, y el dia 17 á las 5 de la tarde llegó á aquel punto. La división de dragones del General Klein cargó al enemigo, y dos banderas, un Oficial General y-u® hombres quedaron de nuevo en nuestro poder en el combate'de Neresheim. El Príncipe Fernando y 7 de sus Generales no tuvie</t>
  </si>
  <si>
    <t>si raya en ternura : son el objeto de su culto, como un don recibido de las manos de una amante. El General Klein ha .hecho una correría en Bohemia con su división de dragones. En todas partes por donde han pasado, los Rusos están aborrecidos; estremecen las devastaciones que hacen......8¿c.</t>
  </si>
  <si>
    <t>Klenau, General</t>
  </si>
  <si>
    <t>General Klenau</t>
  </si>
  <si>
    <t>General Klenau, que debía dirigirse á Neuburgo para cortar la retirada de Jos Regimientos Electorales. „ Habia ya llegado el momento en que S. A. E. cesando de descansar con sobrada confianza en</t>
  </si>
  <si>
    <t>Klufeer</t>
  </si>
  <si>
    <t>lir la falta de numerario efectivo, como para procurar al Estado nuevas riquezas artificiales. Pero Mr. Klufeer, Consejero privado, acaba de escribir y de publicar en Tubinga una memoria , la qual demuestra los peligros é inconvenientes que resultarán si llega á adoptarse dicho proyecto. GR</t>
  </si>
  <si>
    <t>Knapp, Gerónimo</t>
  </si>
  <si>
    <t>Gerónimo Knapp</t>
  </si>
  <si>
    <t>á Supernumerario al Guardia D. Josef Boseli: y en la Flamenca á Exénto Supernumerario al Brigadier D. Gerónimo Knapp; á Brigadier al Subrigadier D. Simón Delile; á Subrigadier al Cadete D. Josef Franquesa; á Cadete de número al Supernumerario D. Joaquín Colomé; y á Supernumerario al Guardia D. J</t>
  </si>
  <si>
    <t>KnobelsdorfF, General</t>
  </si>
  <si>
    <t>General KnobelsdorfF</t>
  </si>
  <si>
    <t>or, que ha sido asesinado por su hermano.” HOLANDA. " Haya 14 de Enero. Ha llegado á esta ciudad el General KnobelsdorfF, Ministro del JRey de Prusia, cerca de la Puerta Otomana, devuelta de Paris, donde ha estado comisionado recientemente por su Gobierno. También ha venido el Conde de Keller, antig</t>
  </si>
  <si>
    <t>Koening</t>
  </si>
  <si>
    <t>nea, 6 fragatas y 4 corbetas. El Caballero Corral, Ministro de España cerca de la Sublime Puerta, y Mr. Koening , Encargado de Negocios de Suecia,, han sido llamados por sus Cortes respectivas. El Príncipe Alexandro Sapieha ha llegado á esta capital, y piensa volverse muy en breve al Africa</t>
  </si>
  <si>
    <t>Koschelew, General</t>
  </si>
  <si>
    <t>General Koschelew</t>
  </si>
  <si>
    <t>dias de nuestra salida de Owhyhee, y cerca de 5 meses de haber zarpado del Brasil. A propuesta del General Koschelew, Gobernador de Kamtschatka, se ha abierto una subscripción entre nosotros p2ra establecer un hospital y un lazareto; á la media hora se habían recogido ya 4® rublos. Espero conclu</t>
  </si>
  <si>
    <t>Kosciusko, General</t>
  </si>
  <si>
    <t>General Kosciusko</t>
  </si>
  <si>
    <t>eral Imperial. Algunos han pasado ya por Ulma para ir á la Austria. Se cuenra entre ellos al famoso General Kosciusko. S. A. S. el Príncipe reynante de Latour y Taxis murió de repente el 13 del próximo Octubre, estando de paseo en las inmediaciones de Ratisbona. GRAN BRETAÑA. JLondres iS de "Novi</t>
  </si>
  <si>
    <t>Kotzebue</t>
  </si>
  <si>
    <t>idente del Consejo áulico del Imperio, á la qual le ha promovido S. M. I, Ayer llegó á esta capital Mr. Kotzebue, quien permanecerá unos 15 días aquí. Hamburgo 1$ de Febrero. El Gobierno Prusiano está tratando seriamente en buscar el modo de mejorar la situación de los deiinqiientes presos e</t>
  </si>
  <si>
    <t>antes de fallar en pro ó en contra de un sistema tan extraordinario. ALEMANIA. jLeipsük de Agosto. Mr. Kotzebue,en su periódico intitulado el Pensador libre_,ha insería'do el siguiente artículo, el qual, hasta la decisión de los naturalistas, da mucho que reir á costa de este escritor, que</t>
  </si>
  <si>
    <t>Krusenstern, Capitán</t>
  </si>
  <si>
    <t>Capitán Krusenstern</t>
  </si>
  <si>
    <t>e Mayo. Deseando S. M. I. dar una prueba de lo satisfecho que está con la expedición mandada por el Capitán Krusenstern, ha resuelto despachar un correo áKamtschatka el n del corriente, encargado de entregar á dicho Capitán la banda de la Qrden de’Santa Ana, de segunda clase, y al Chambelán de Resa</t>
  </si>
  <si>
    <t>Ku, Teniente General</t>
  </si>
  <si>
    <t>Teniente General Ku</t>
  </si>
  <si>
    <t>su reunión con el primer cuerpo de exército Ruso , compuesto de 56® hombres,, baxo las órdenes del Teniente General Ku~ &lt; tusow , se verificará ántes del 20 de Octubre (este exército constará de un - total de i40® hombres):' el segundo cuerpo dje.exército, Ruso de, 58®.hombres , baxo las órdenes d</t>
  </si>
  <si>
    <t>Kutusow, General</t>
  </si>
  <si>
    <t>General Kutusow</t>
  </si>
  <si>
    <t>asegura que 30® Calmukos, Baschkires y de otros pueblos tributarios están igualmente en marcha. El General Kutusow habla ya entrado, á fines de Agosto, en los países Austriacos al frente de 80® Rusos , que manda en gefe___ El 25 de Setiembre debe estar enWilna el Emperador Alexandro, quien ase</t>
  </si>
  <si>
    <t>Kutúsow, General</t>
  </si>
  <si>
    <t>General Kutúsow</t>
  </si>
  <si>
    <t>e. El Emperador.de las:Rusias habrá salido ya de Berlín de resultas de haber recibido un correo del General Kutúsow, quien representó á S. M. I. la gran sorpresa que i le había causado el llegar al teatro de la guerra, y no encontrar mas que un.cuerpo de 15 á 18® Austríacos fugitivos y desalent</t>
  </si>
  <si>
    <t>Kutusów, General</t>
  </si>
  <si>
    <t>General Kutusów</t>
  </si>
  <si>
    <t>ó á mediados de Octubre por Lemberga, para ir á marchas forzadas á incorporarse con el exército ael General Kutusów. Toda estaL coluna es dé 13® nombres, Hemos recibido noticias de Italia, y au'n: cartas1 de Venecia con fecha de 3 del corriente, y en todas se da pbr seguro qpe Venecia será ocup</t>
  </si>
  <si>
    <t>nubio; los Franceses que han querido oponerse á esta reunión han sido batidos por la caballería del General Kutusow. Escriben de Berlín,, Qon fecha de 1.9 del corriente, que p2ra prevenir la falta de trigo que podría haber en los Estados Prusianos, sobre todo en los parages adonde se juntarán l</t>
  </si>
  <si>
    <t>En casi todos los pueblos por donde han pasado los cuerpos Franceses destacados en seguimiento del General Kutusow, han encontrado Rusos heridos y enfermos abandonados á la suerte. El General Kutusow no ha podido hacer en beneficio de estos desgraciados otra cosa mas que mandar poner sobre las</t>
  </si>
  <si>
    <t>la Crampa, Domingo</t>
  </si>
  <si>
    <t>Domingo la Crampa</t>
  </si>
  <si>
    <t>iente de granaderos D. Manuel Aroche; y en el de Irlanda Subtenencia d&amp; bandera al Sargento primero D. Domingo la Crampa.</t>
  </si>
  <si>
    <t>la Cuesta, Francisco</t>
  </si>
  <si>
    <t>Francisco la Cuesta</t>
  </si>
  <si>
    <t>Id. Id. Francisco la Cuesta. Hijo de Miguel y de Florentina Gutiér­</t>
  </si>
  <si>
    <t>la Medina, Manuel</t>
  </si>
  <si>
    <t>Manuel la Medina</t>
  </si>
  <si>
    <t>Id. id. Manuel la Medina. Hijo de Domingo y de Teresa Valdes,</t>
  </si>
  <si>
    <t>la Puente, Domingo</t>
  </si>
  <si>
    <t>Domingo la Puente</t>
  </si>
  <si>
    <t>Id. id. Domingo la Puente. Hijo de Bernardo y de Francisca Gu­</t>
  </si>
  <si>
    <t>Labat, Pedro</t>
  </si>
  <si>
    <t>Pedro Labat</t>
  </si>
  <si>
    <t>mada dé 14 cañones de á 3 reforzados, 24 fusiles, 24 pistolas, y las aírmas blancas necesarias, por D. Pedro Labat, vecino y del comercio de la ciudad de Santander, han hecho al Comandante militar de Marina delTercio naval de ella, la relación siguiente del combate que por dos horas y media ha</t>
  </si>
  <si>
    <t>Lacambra, Joaquín</t>
  </si>
  <si>
    <t>Joaquín Lacambra</t>
  </si>
  <si>
    <t>s alumnos disertaron so-, bre los puntos que les había cabido por suerte, á saber: en él primee,día D. Joaquín Lacambra, Practicante de Farmacia, de los seres simples: D011 Francisco Marzo, idem , de la análisis y síntesis: D. Ignacio Aranda, ídem, de la. formación y constitución de la atmósfera te</t>
  </si>
  <si>
    <t>Lacava, Ignacio</t>
  </si>
  <si>
    <t>Ignacio Lacava</t>
  </si>
  <si>
    <t>rs. el tomo en rústica. Curso completo de anatomía del cuerpo humano, por el Dr. 0* Jayme Bonelís y D. Ignacio Lacava, en 5 tomos en 8,° francés. En el discurso preliminar se da una breve historia de la anatomía, desde su origen hasta el siglo.xvm:en ios,5, tratados, que comprehenden toda la anat</t>
  </si>
  <si>
    <t>Lacayo, Miguel</t>
  </si>
  <si>
    <t>Miguel Lacayo</t>
  </si>
  <si>
    <t>Teniente Coronel del Batallón d,e Mi-r licias disciplinadas de infantería de Granada de Nicaragua á D. Miguel Lacayo, Capí tan del mismo Cuerpo. El B.EY.se ha dignado promover, en el Batallón de infantería, fiyo, de Guatemala á Capitán de granaderos al de fusileros; D. Juan Fernandez Vil-r ¿hez;</t>
  </si>
  <si>
    <t>Lacepede</t>
  </si>
  <si>
    <t>ión se retira para extender la minuta de la arenga á S. M. I. y R----- El proyecto de que da cuenta Mr. Lacepede se presenta al Senado, y se adopta. Está concebido en estos términos: „ Señor, resonaban aun en nuestros oídos las palabras memorables que V- M.</t>
  </si>
  <si>
    <t>Lacombe-Saint-Michel, General</t>
  </si>
  <si>
    <t>General Lacombe-Saint-Michel</t>
  </si>
  <si>
    <t>casi ninguno gravemente. Debo dar elogios particulares á la actividad y á la conducta valerosa del General Lacombe-Saint-Michel, Comandante de Artillería, y del General Chasseloup, Comandante de Ingenieros. (Sigue elogiando á varios Oficiales.)__ Inmediatamente lie mandado hacer la cabeza del puente; y en</t>
  </si>
  <si>
    <t>Lacrosse, Almirante</t>
  </si>
  <si>
    <t>Almirante Lacrosse</t>
  </si>
  <si>
    <t>iro de fusil. El numero de buques Ingleses se hubiera aumentado infaliblemente en esta rada , si el Almirante Lacrosse no hubiese, por medio de una maniobra diestra, atraido una parte de sus fuerzas al lado de Boloña___ Aunque el enemigo tenia duplicado número de buques y de mucho mas porte, no ha</t>
  </si>
  <si>
    <t>visión de la esquadrilla y los cruceros Ingleses, que sé habian aumentado considerablemente. ,__ El Almirante Lacrosse hizo disponer á mediodía una división de 5 pramas, 30 cañoneras y unos 40 peniches armados con obuses del mayor calibre , mandada por el Capitán de Navio Moras. El Teniente de Nav</t>
  </si>
  <si>
    <t>Lacuée</t>
  </si>
  <si>
    <t>royecto de ley relativo á la conscripción militar del año 14, y manifestar sus motivos; lo que hizo Mr. Lacuée en el discurso que pronunció después ; que en substancia no es mas que una copia del proyecto de ley para la conscripción del año 13.—El dia 8,</t>
  </si>
  <si>
    <t>Lacuée, Coronel</t>
  </si>
  <si>
    <t>Coronel Lacuée</t>
  </si>
  <si>
    <t>eral" Malher mandó acometerle al Regimiento 59; y la pelea se trabó con tesón y cuerpo á cuerpo. El Coronel Lacuée murió al frente de su Regimiento, e/quaí .se apoderó del puente á pesar de la gran resistencia del enemigo, quedando en nuestro poder la artillería, y dueños de la bella posición</t>
  </si>
  <si>
    <t>Ladrón de Guevara, Diego Felipe</t>
  </si>
  <si>
    <t>Diego Felipe Ladrón de Guevara</t>
  </si>
  <si>
    <t>yor de la villa de Moratalla, de tercera clase, á D. Bernardo Josef Hervás: para la de Bienvenida á D. Diego Felipe Ladrón de Guevara: para la de Pedro-Muñoz i D. Anselmo Perez Mozun; y para la de S. Cebrian de Castrotorafe á Don Manuel Juan Barrado de Cereceda: estas tres de primera clase &lt;5 entrada, y todas en</t>
  </si>
  <si>
    <t>Lafignera, Manuel</t>
  </si>
  <si>
    <t>Manuel Lafignera</t>
  </si>
  <si>
    <t>e obtenia,á D. Lúeas Hiscio Fernandez, Alcalde del Granen de la de Galicia; y para esta re.suW ta á D. Manuel Lafignera. Asimismo ha venido S. M. en nombrar para la plaza de Jaez Civil de la ciudad de Cádiz, vacante por promoción del citado D. Rodrigo Riquelme á la Regencia de la Chancillería de Gr</t>
  </si>
  <si>
    <t>Lafiguera, Manuel</t>
  </si>
  <si>
    <t>Manuel Lafiguera</t>
  </si>
  <si>
    <t>Para: una plasta de Alcalde del Crimen de 4a Real Audiencia de Galléela, vatánte pox traslación de D. Manuel Lafiguera áótrá igual en la áb Aragón, Se digno el Rey nóiUbrar á D. Francisco Anidó Fernandez. También ha concedido S. M; honores de Alende del CHríVen de te Chancille ría de Granada á D.</t>
  </si>
  <si>
    <t>Laforest</t>
  </si>
  <si>
    <t>encia y armonía entre Francia y Rusia, asunto en que hace mucho tiempo se ocupa la Corte de Berlín. Mr. Laforest, Ministro de Francia, y Mr. d’Alopoens, Ministro de Rusia, conferencian muy á menudo con Mr. de Hardenberg. Aseguran que los Ingleses mitigarán las órdenes rigurosas que hasta aho</t>
  </si>
  <si>
    <t>Laforet</t>
  </si>
  <si>
    <t>que su Ministro de Negocios extrangeros , Mr. de Hardenberg, se la na comunicado provisionalmente á Mr. Laforet, Enviado Francés en Berlín. Parece que el Gabinete Prusiano prosigue las negociaciones para reconciliar á Francia y Rusia. Las que habla entabladas entre las Cortes de Viena y de</t>
  </si>
  <si>
    <t>erador Napoleón para S. M. Prusiana. Con efecto, el domingo en la noche llegó, y se apeó en casa de Mr. Laforet, Mi-&gt; nistro Francés. Ha hecho gran diligencia en su viage, porque solo ha gastado 6 dias desde Boloña á esta capital. S. M. ha resuelto que durante los 3 dias de evoluciones y ma</t>
  </si>
  <si>
    <t>l rescripto publicado en el Principado de Anspach. Sabemos también que en la última Nota remitida á Mr. Laforet, Embaxador de, Francia, y &amp; Mr. Duroc, Enviado extraordinario del Emperador de los Franceses, S. M. declara ,,permanecer fielmente adidto al sistema político que hasta ahora ha di</t>
  </si>
  <si>
    <t>Laforey</t>
  </si>
  <si>
    <t>ta tan extraña de parte del Comandante Ingles, escribió' el General Ernouf la siguiente respuesta á Mr. Laforey, Oficial Ingles. „ Muy Señor mió: Estimaré que diga Vm. al Contra-Almirante Cochrane, que la conducta de la última esquadra Francesa ¡en estos mares ha sido extremamente leal, y q</t>
  </si>
  <si>
    <t>Lafuente, Tadeo</t>
  </si>
  <si>
    <t>Tadeo Lafuente</t>
  </si>
  <si>
    <t>RNES 19 DE JULIO DE l8o$, PUBLICADO DE ORDEN DEL REY,. íjl Médico Consultor de los Reales Exércitos D. Tadeo Lafuente, comisionado repetidas veces en calidad de Inspector de la salud pública en el Campo de Gibraltar, ha trabajado un papel intitulado:.Observaciones justificadas y decisivas sobre q</t>
  </si>
  <si>
    <t>a quina tomada:por up método absolutamente nuevo, y distinto del que «e ha usado coipupinente,, por;D. Tadeo Lafuente, Médico Consultor de los Reales ;Ejxéreitqs, pensionado por S. M., individuo del Real Colegio Médico de Madrid, Académico asociado de. la Real Academia Médica Matritente, Comision</t>
  </si>
  <si>
    <t>Lagrange, General</t>
  </si>
  <si>
    <t>General Lagrange</t>
  </si>
  <si>
    <t>e se refugiaron con el General Prevost en el fuerte del Cabrito, que dista jj. leguas de Roseau. El General Lagrange supo que no habia en la bahía de Ruppooit ningún buque, y que el fuerte del Cabrito era una roca aislada.,y. asigno tuvo por conveniente el atacarlo. Después de haberse apoderado</t>
  </si>
  <si>
    <t>Regimiento 46, y la compañía ligera del primero de las Antillas.__ El 25 le intimó la rendición el General Lagrange, á que-respondió como debía un Oficial de honor, dándole al mismo tiempo gracias por la humanidad que había usado con su muger é hijos,_-El 26 apareciéróii los cruceros enemigos;</t>
  </si>
  <si>
    <t>Lake, Capitán</t>
  </si>
  <si>
    <t>Capitán Lake</t>
  </si>
  <si>
    <t>Rajah de Burthpore manifestado su intento de dilatar el firmar el tratado de paz presentado por el Capitán Lake, los principales Oficiales de su exército y los mas de sus parciales amenazaron entregarse á la discreción de los Ingleses, si no consentía en ello. Decidicise al cabo, y la paz s</t>
  </si>
  <si>
    <t>Lake, General</t>
  </si>
  <si>
    <t>General Lake</t>
  </si>
  <si>
    <t>nuestro exército, que hallándose separada, no pudo resistir___Las cartas de Bombay anuncian que el General Lake había salido de Agrá, sin duda después de dar sus disposiciones para reparar el descalabro del Coronel Monson. El 3 de Octubre llegó á Matura, donde había permanecido Holkar algún</t>
  </si>
  <si>
    <t>nga has** tante crédito para sacar á su amigo Lord Melville de este mal paso. Lord Chatam sucede ai General Lake en el mando dél exén ito de lá India ; y de aquí á 2 años sucederá en el gobierno general á Lord Cornwallis. El; Almirante Douglas se ha hecho á la vela de Folkstone con una esquadr</t>
  </si>
  <si>
    <t>autorizado á desmentir las voces que se habían esparcido de la derrota del exército, mandado por el General Lake en la India: las últimas noticias anuncian que este General iba á marchar contra el enemigo ;pero no ha habido aun ninguna acción.” Del 8 de AbriL Al fin la isla de Sta Lucía ha caí</t>
  </si>
  <si>
    <t>en que 'qos hallamos. No se ha confirmado lo, que se habia dicho de una ventaja conseguida p0r. el General Lake¡; contra la caballería deílolkar, y de otra del Coronel Monson. Lo que sí se dice e.s que Koikar ha acometido á .Delhi; y que después de haber sido rechazado ha vuelto de nuevo y</t>
  </si>
  <si>
    <t>estado de la India oriental, esparciendo la noticia de la derrota de la caballería de Hólkar por el General Lake. Aun quando se confirmase esta buena noticia, no por eso serian menores los riesgos que nos amenazan, y la actividad de la guerra que sostenemos en el centro de la India en defens</t>
  </si>
  <si>
    <t>pérdida, entre heridos y muertos,- asciende á unos 3® hombres, de los quales.105 son Oficiales, id General Lake ha acometido por 5 veces ía fortaleza de Bburtport; de donde han sido rechazadas siempre nuestras tropas con pérdida considerable. F.i Rajah, que ocupa la cindadela, ha propuesto,</t>
  </si>
  <si>
    <t>sar de sus derrotas, conserva muchos parciales zelosos ouijnes anima igualmente el mismo rencor. El General Lake , que conoce bien el estado de las cosas, sé ve en la precisión de mantener en pie de guerra gr2n parte de su exército. También sabemos con grande sentimiento, que rey 11a una enf</t>
  </si>
  <si>
    <t>Lake, Lord</t>
  </si>
  <si>
    <t>Lord Lake</t>
  </si>
  <si>
    <t>encia, y debe mirarse como restablecida la paz en la India. Scindia ha enviado su primer Ministro á Lord Lake &gt; para tratar de las condiciones -de la paz general; „ ■■■- - SUIZA. -■■■■■■ ‘ ■ Lucerna 12, de Octubre. Nuestro Gobierno no pierde ocasión de conservar la sencillez de las costum</t>
  </si>
  <si>
    <t>go, Holkar y Scindiah, aunque en el dia son poco formidables, se mantienen armados contra nosotros. Lord Lake se halla todavía en campaña: Sir Eduardo Pelew se ocupa con grande actividad en crear grandes fuerzas navales en los puertos de la India. El Gobierno Chino no se ha desdeñado de r</t>
  </si>
  <si>
    <t>estos1 Príncipes recíprocamente correos , que se cree lleven plañe# de insurrección Pof esta causa Lord Lake mantiene todavía1 sü exército en* campaña, disponiéndose á obrar con presteza, si se verifican los rezelos del1 Gobierno. En lamparte inferior del pais dte Cómbatóre eliCápit&amp;n Ha</t>
  </si>
  <si>
    <t>Lameillerie, Capitán</t>
  </si>
  <si>
    <t>Capitán Lameillerie</t>
  </si>
  <si>
    <t>siones. FRANCIA. Parts 4 de Marzo. Las 2 corbetas apresadas por las fragatas de S. M. la Hortensia, Capitán Lameillerie, y la Incorruptible, Capitán Billiet, que intentaron proteger el convoy de 40 velas que escoltaban, se quedaron á la retaguardia para hacer frente á las fragatas Francesas que las</t>
  </si>
  <si>
    <t>Landero, Juan Manuel</t>
  </si>
  <si>
    <t>Juan Manuel Landero</t>
  </si>
  <si>
    <t>r Aguirre y Larios ,* D. Tadeo Pinol y Aycinena y D. Juan Josef Gorriz; Subtenencia de granaderos á D. Juan Manuel Landero, y de fusileros á Don Manuel Modesto Zelaya y D. Manuel de Aguirre y Larios. También ha concedido S. M. Subtenencia en las dos Compañías sueltas de Milicias disciplinadas 4e Loxa,</t>
  </si>
  <si>
    <t>Lañes y DuVal, Juan</t>
  </si>
  <si>
    <t>Juan Lañes y DuVal</t>
  </si>
  <si>
    <t>or Don Cayetano García Navarro: en 8.°, á 2 rs. en rústica. Arte de la cria de gusanos de seda, por D. Juan Lañes y DuVal: un tomo en 8.°, á 9 rs. en pasta. Se hallarán en él despacho de la Imprenta Real. En virtud de Real facultad se vende un molino harinero, llamado de Moyarniz, situado en término</t>
  </si>
  <si>
    <t>Langer</t>
  </si>
  <si>
    <t>dos maestros llamados Petschke y Junghans, sugetos muy apreciables por su zelo y por sus talentos. Mr. Langer, Director de la Academia de Bellas Artes de Dusseldorf, y artista de gran crédito, ha dado á luz en el periódico titulado el .Sincero, una carta que ha de llamar la atención de to</t>
  </si>
  <si>
    <t>menos noble que el de las otras dos; pero todas son antiguas, y ninguna de ellas indica ser copia. Mr. Langer promete publicar sus observaciones acerca de estas tres cabezas, y las reflexiones que le han ocurrido durante muchos años de estudio y de enseñanza académica sobre el grupo del L</t>
  </si>
  <si>
    <t>Lannes, Mariscal</t>
  </si>
  <si>
    <t>Mariscal Lannes</t>
  </si>
  <si>
    <t>de haber descansado un corto rato, montó á caballo el Emperador, y marchó á Marengo, acompañado del Mariscal Lannes, que manda allí un campamento, del General Marescot y de otros varios. Visitó todas las partes de la fortificación que se construye de su orden, y las inmensas obras de la ciudade</t>
  </si>
  <si>
    <t>á visitar el puerto de Boloñá y el numeroso exércifo que se halla acampado en sus inmediaciones. Al Mariscal Lannes se le ha dado el mando de un cuerpo de exército én las costas de la Mancha. . . ; Escriben de Rochefort que el Contra-A Imirante Missiessi ha dexado el mando de la esquadra de aqu</t>
  </si>
  <si>
    <t>la Guerra Berthier está nombrado gefe del Estado mayor general del exército de Inglaterra, y que el Mariscal Lannes mandará la vanguardia; ESPAÑA. Matará 2 de Agosto. En los dias 29, 30 y 31 del próximo pasado Julio los Maestros de las tres aulas de Escribir y Aritmética de estas Escuelas Pías</t>
  </si>
  <si>
    <t>nmediaciones de Carlsruhe, y se -ha puesto en inarcha para Stuttgardt, donde se halla el cuerpo del Mariscal Lannes dividido en'cojunas para continuar su marcha. Se sabe, que desde 25 de Setiembre acá los Austriacos han entrado en Kempteni Sus fuerzas se extienden cada vez mas en la Alta-Suabia</t>
  </si>
  <si>
    <t>in el mismo dia sobre el puente echado en frente de Durlach, y ha ido a Stuttgardt.__ El cuerpo del Mariscal Lannes ha pasado el Rhin en Ivehl el 25 para ir á Louisburgo.__ El Príncipe Murat, con la caballería de reserva ha pasado el Rhin en Kehl el mismo dia, y ha permanecido apostado muchos d</t>
  </si>
  <si>
    <t>Lañnes, Mariscal</t>
  </si>
  <si>
    <t>Mariscal Lañnes</t>
  </si>
  <si>
    <t>924 Donawerth. .^-.El del Mariscal Ney en Koessirigen.__ El del Mariscal Lañnes en Neresheim. -—^. El Príncipe Murat con sus dragones junto al Danubio.--— El exército goza de perfecta salud., i El enemigo .se había avanzado hasta los desfiladeros de la Selva-Ne</t>
  </si>
  <si>
    <t>ía enemiga apoyada por 4 esquadrones de coraceros de Alberto, y al instante cerca á este cuerpo. El Mariscal Lannes, que venia detras de estas divisiones de caballería, llega con la división de Oudinot, y después de un combate de dos horas, banderas, cañones , bagages, Oficiales y soldados, tod</t>
  </si>
  <si>
    <t>, pasó aceleradamente al pueblo de.Zusmershausen para interceptar el camino de LJlm á Augsburgo. El Mariscal Lannes con la. división de granaderos de Oudinot, y con la división de Suchet se situó el misino dia en el lugar de Zusmershausen. El Emperador pasó revista á los dragones en.el.iugar de</t>
  </si>
  <si>
    <t>ceder, dexó prisioneros 3® hombres y un Mayor General, y fué perseguido hasta sus trincheras. r El Mariscal Lannes ocupó las alturas que dominan el llano sobre el Lugar de Pfoél. Se tomó la boca del puente de Ulma, lo que causó sumo desorden en la plaza. Al mismo tiempo el Príncipe Murat hacia</t>
  </si>
  <si>
    <t>cial General , y le quitó dos banderas. Miéntras que maniobraba por su derecha hacia Heydeñheim, el Mariscal Lannes</t>
  </si>
  <si>
    <t>ebe á estas horas estar acometida, pues el Príncipe Murat caminaba sobre su derecha por Aalen, y el Mariscal Lannes sobre la izquierda, por Nordlingen. Se espera el resultado de estas maniobras; al Príncipe Fernando le queda poca gente. ^ v ^ r , Hoy á las 2 de la tarde el Emperador ha concedid</t>
  </si>
  <si>
    <t>ei Inn, y que ei Mariscal Bernadotte con su exército está situado entre Munich y el Inn. ir. Que el Mariscal Lannes con las tropas de su mando va al alcance del Príncipe Fernando, y estaba ayer en Aalen. ni. Que el-Príncipe Murat con sus tropas estaba ayer en Nordiingen: que los Tenientes Gener</t>
  </si>
  <si>
    <t>uerpo del General Marmont pasa esta noche en Wihsbiburgo: el del Mariscal Ney en Landsberg : el del Mariscal Lannes en el camino de Landshut á Braunau: todas las noticias que se reciben del enemigo anuncian que el exército Ruso se retira. Ha llovido mucho todo el dia : todo el pais situado entre</t>
  </si>
  <si>
    <t>e ha muerto 20 hombres y hecho muchos prisioneros, entre los quales un Capitán de húsates. El 29 el Mariscal Lannes llegó con la caballería ligera al puente de Braunau, habiendo partido de Landshut. Halló el puente cortado, por lo que inmediatamente hizo embarcar unos 60 hombres en dos barcos.</t>
  </si>
  <si>
    <t>visión del Mariscal Davoust está mas allá de Lambach. Esta noche llegará el Mariscal Soult áWelsjel Mariscal Lannes á Lintz. El General Marmont va marchando para rodear la posición del Enns. El Príncipe Murat alaba al Coronel Couroux, Comandante del Regimiento 17 de infantería de línea. Las tro</t>
  </si>
  <si>
    <t>de caballería á las órdenes del Príncipe Murat, entró en Lintz el dia r.°, y hoy ha llegado allí el Mariscal Lannes con sus tropas. Se han encontrado en esta plaza varios almacenes bien provistos, y muchos enfermos en los hospitales. Se han tomado algunos prisioneros, entre ellos 50 R?jsos. En</t>
  </si>
  <si>
    <t>12 cañones, 100 carros de municiones, 2® prisioneros, y otros 2® muertos en el campo de batalla. El Mariscal Lannes ha atacado ai enemigo por el frente, ymiéntras que le hacia rodear por la izquierda por la brigada de granaderos del General Dupas, el Mariscal Soult le hacia rodear por la derech</t>
  </si>
  <si>
    <t>tado su quartei general en Porlitz. El Mariscal Soult ha llegado con su división á Riemstschitz. El Mariscal Lannes está mas allá de Porlitz. Se han hallado en Brünn 60 cañones, 300© libras de pólvora, un grande acopio de trigo y de harina, y almacenes de vestuario muy bien provistos. El Emperado</t>
  </si>
  <si>
    <t>1120 se hallase toda cercada: dló el mando de la izquierda al Mariscal Lannes; el de la derecha al Mariscal Soult; el del centro al Mariscal Bernadotte, y el de toda la caballería reunida en un solo punto al Príncipe Murat. La izquierda del Mariscal Lannes</t>
  </si>
  <si>
    <t>batida. ; . ; . El Príncipe Murat empieza á moverse con su caballería. La izquierda, mandada por el Mariscal Lannes, marcha por Regimientos como en el exencicio. Se arma un terrible cañoneo sobre toda la línea: 200 piezas-de artillería y cerca de 200® hombres hacían un ruido espantoso ; este er</t>
  </si>
  <si>
    <t>Lanza, Francisco</t>
  </si>
  <si>
    <t>Francisco Lanza</t>
  </si>
  <si>
    <t>12.a id. Fíancisco Lanza... Hijo de D. Diego y de D.a Alfonsa, na­</t>
  </si>
  <si>
    <t>Lapierre</t>
  </si>
  <si>
    <t>200 mer Teniente de la policía Mr. Lapierre, se ha concluido en ñn. Mr. Lapierre, que se quejó judicialmente de que Mr. Spoors le había obligado, con amenazas y violencias, á firmar cierto papel, no ha podido presentar prue</t>
  </si>
  <si>
    <t>Laplanche-Mortiere, General</t>
  </si>
  <si>
    <t>General Laplanche-Mortiere</t>
  </si>
  <si>
    <t>1078 La brigada de granaderos del General Laplanche-Mortiere se ha distinguido : y á no haber sobrevenido la noche, no se hubiera salvado ningún enemigo. Varias veces se ha peleado con arma blanca: algunos batallones de granaderos Rusos han</t>
  </si>
  <si>
    <t>Láporta, Juan Bernardo</t>
  </si>
  <si>
    <t>Juan Bernardo Láporta</t>
  </si>
  <si>
    <t>chez Fano; de ia vigila de OliVe ncia á D. Afttónlo González Rodríguez, y dé la villa de Fregenal á D. Juan Bernardo Láporta. En la extracción de la Real lote ría'ejecutada' el lunes 7 del corriente, salieron los números.48, 2i, 63, ,39 y 26 ; y cón ellos han ganado los jugadores 690,172 ys. . ..i /' '</t>
  </si>
  <si>
    <t>Largo y Dont Antonio Alonso Isla, Santiago Lorenzo</t>
  </si>
  <si>
    <t>Santiago Lorenzo Largo y Dont Antonio Alonso Isla</t>
  </si>
  <si>
    <t>Cuerposde Milicias Provinciales ha promovido el Rey á Tenientes, en ei;d¿ León, á Ios-Subtenientes D. Santiago Lorenzo Largo y Dont Antonio Alonso Isla: á Subtenientes de granaderos en los de Sevilla y Xe-; rez á los de fusileros D. Antonio Eícovar y D. Domingo de Surga; y á Subtenientes de bandera en los de Xerez, Truxillo, La r</t>
  </si>
  <si>
    <t>Lariz, Antonio</t>
  </si>
  <si>
    <t>Antonio Lariz</t>
  </si>
  <si>
    <t>mente, se ha servido S-.AJ. conceder en el de cazadores de Pavía el empleo de Ayudante al Tulliente D. Antonio Lariz; y en el de húsares Españoles empleo de Alférez al Cadete del de húsares de Lusitania D. Joser Zabalza. ; El Rey se ha servido conferir el Gobierno Militar y Político de la ciudad</t>
  </si>
  <si>
    <t>Larrion, Domingo</t>
  </si>
  <si>
    <t>Domingo Larrion</t>
  </si>
  <si>
    <t>ra el Deanato de la Metropolitana de Lima, vacante por muerte de D. Francisco de Santiago Concha, á D. Domingo Larrion: para el Árcedianato que este dexa á Don Pablo Laurnaga: para la Chantría á D. Josef de Silva: para la Tesorería al Canónigo D. Bartolomé Matute: para su Canongía á D. Pedro Nolas</t>
  </si>
  <si>
    <t>Larripa, Domingo</t>
  </si>
  <si>
    <t>Domingo Larripa</t>
  </si>
  <si>
    <t>ento de infantería de Extremadura ai Sargento Mayor del mismo Cuerpo, graduado de Teniente Coronel, D. Domingo Larripa. En ios Regimientos de caballería de Línea se ha servido el Rey conceder, en el del Príncipe, Tenencia al Alférez D. Juan de Aguilar: en el de Farnesio empleo de Alférez al Portae</t>
  </si>
  <si>
    <t>Larruga, Manuel</t>
  </si>
  <si>
    <t>Manuel Larruga</t>
  </si>
  <si>
    <t>los mejores abonos que se conocen en la Europa sabia, y mas despreciado de nuestros cultivadores; y D. Manuel Larruga sobre el si ti dy forma, extensión y profundidad de un estercolero, con proporción á una determinada extensión de terreno, substancias de que puede surtirse el labrador á poca cos</t>
  </si>
  <si>
    <t>Laso, Nicolás Sebastián</t>
  </si>
  <si>
    <t>Nicolás Sebastián Laso</t>
  </si>
  <si>
    <t>nferido ia dignidad de Arcediano de Monleon en la Sta. Iglesia de Salamanca , vacante por muerte de D. Nicolás Sebastian Laso, á D. Henri— que Felipe de Potier, Director espiritual del Real Colegio de Niños Desamparados de Madrid. Genova jG de Marzo. Acabamos de saber por cartas de Corfú la próxima llega</t>
  </si>
  <si>
    <t>Laugles</t>
  </si>
  <si>
    <t>r de dos maridos , que se representó en el teatro de la calle de la Cruz: el de la obra francesa de Mr. Laugles, intitulada la Esencia de Rosa: la noticia de la muerte de Anquetil Duperron*. la de las arengas y discursos del Canciller D’Aguesseau, traducidos por D. Josef Alarcon Torrubia; y</t>
  </si>
  <si>
    <t>LauíFer</t>
  </si>
  <si>
    <t>e quanto pertenece á la expedición de este puerto. Se siguen en el dia con empeño las causas contra Mr. LauíFer,qüe siendo Gobernador de Curazao entregó la colonia á los Ingleses en la primer guerra, y contra Mr. Berranger, que mandaba en Surinam al mismo tiempo , y la entregó igualmente á</t>
  </si>
  <si>
    <t>Laureano Cabrera</t>
  </si>
  <si>
    <t>Jorge Santos García y D. Melchor Olaquibel; Tenencia de granaderos á D. Melchor Ramos;y sencillas á D. Laureano Cabrera , D. Mariano Anaya, D. Blas Cuenca , I). Faustino Aragón, D. Juan de Dios Camborda, Don Josef Bobadilla, D. Silverio Mogrovejo, D. Paulino Roxas, D. Tomas Herencia, D. Josef Perez</t>
  </si>
  <si>
    <t>Laureano del Prado, Pedro</t>
  </si>
  <si>
    <t>Pedro Laureano del Prado</t>
  </si>
  <si>
    <t>ratnbel, y de fusileros á D. Pedro Abarca y Guerra, D. Fermín Béjar, D. Josef Hermosilla y Aguirre, D. Pedro Laureano del Prado, Don Jacinto Aréstegui, D. Tomas Miguel Salazar, D. Miguel Mariano Ramiro y D. Pedro Salcedo; Ayudantía á D. Calixto Ramos; Tenencia de granaderos á D. Timoteo Ramos, D. Pedro Béj</t>
  </si>
  <si>
    <t>Lauriston, General</t>
  </si>
  <si>
    <t>General Lauriston</t>
  </si>
  <si>
    <t>esquadra de Tolon salió el 16 de Enero, llevando á bordo un exér-cito de desembarco mandado por el General Lauriston. Después de haber estado 4 dias en alta mar, sobreviniéron vientos tan Fuertes, que filé preciso volver á entrar en el puerto. Un navio y 3 fragatas se separaron de la esquadra. L</t>
  </si>
  <si>
    <t>ta esquadra combinada marchó ei dia 10, llevando á su bordo 9© soldados Franceses á las órdenes del General Lauriston , y 2280 Españoles entre infantería, caballería y artilleros. Su destino es un secreto de los Gabinetes Español y Francés, y la expedición es sin duda de la mayor importancia. ITA</t>
  </si>
  <si>
    <t>a 17, dice: „Estoy haciendo aguada; he encontrado la colonia abundantemente provista de víveres. El General Lauriston parte para la Guadalupe, á fin ae reunir todos los transportes que pueda. Según las noticias que he tenido pienso, que el General Gravina no encontrará ningún obstáculo; en .su ex</t>
  </si>
  <si>
    <t>s, plomo, 1© fusiles, y todo lo necesario para sostener un largo sitio. El emperador ha nombrado al General Lauriston, que llega de Cádiz, Gobernador de esta plaza, donde ha establecido d depósito del quartel general del exército. Diario del exército grande. Braun/m 31 de Octubre. Han llegado ya</t>
  </si>
  <si>
    <t>Laurnaga, Pablo</t>
  </si>
  <si>
    <t>Pablo Laurnaga</t>
  </si>
  <si>
    <t>primero. Para la Chantría de la Metropolitana de Lima, vacante por muerte de Don Josef Alvarado , á D. Pablo Laurnaga; y para la Tesorería que dexa áD.Josef de Silva , Canónigo Magistral de la. misma Iglesia. Para una Canongía de ■la de la Ha vana* vacante. por fallecimiento de D. Ambrosio; ¿de l</t>
  </si>
  <si>
    <t>uerte de D. Francisco de Santiago Concha, á D. Domingo Larrion: para el Árcedianato que este dexa á Don Pablo Laurnaga: para la Chantría á D. Josef de Silva: para la Tesorería al Canónigo D. Bartolomé Matute: para su Canongía á D. Pedro Nolasco de Toro : para la Ración que este dexa á D. Francisco</t>
  </si>
  <si>
    <t>Lavedan, Antonio</t>
  </si>
  <si>
    <t>Antonio Lavedan</t>
  </si>
  <si>
    <t>pasta. =Tratado de las enfermedades cutáneas, por el Dr. Josef Jacobo Plenk, añadido con notas por D. Antonio Lavedan: un tomo en 8.° marquilla, á 10 rs. en pasta. = Curso de gramática castellana en solos 80 dias, á 2 rs. = Diálogo entre el amor y un caballero viejo, hecho por el famoso autor Rod</t>
  </si>
  <si>
    <t>Lavoisier</t>
  </si>
  <si>
    <t>dor Francés cerca del Elector de Saltzburgo, con destino á esta capital. Según la relación que hizo Mr. Lavoisier á la junta de impuestos de la Asamblea constituyente, y que se ha recordado en el día en una obra de Mr. Sabatier, el importe total del consumo de París asciende, en un añorcomun,</t>
  </si>
  <si>
    <t>Lawrence</t>
  </si>
  <si>
    <t>y Petty, Porchester, A. Hamiltton, Marsham, Folkestone, y Mrs. Calcrast, Giles, Kinnaird, Ranie, el Dr. Lawrence, EreeyyyHolíand, W.Smith, E. W. Wynne , Morris, Jekill y Lord Temple. Son todos miembros de la oposición. El mensage leído por Mr. Whitbread en la Cámara de los Pares está concebi</t>
  </si>
  <si>
    <t>Lázaro Carrasco, Gerónimo</t>
  </si>
  <si>
    <t>Gerónimo Lázaro Carrasco</t>
  </si>
  <si>
    <t>Valencia: para una Capellanía de Coro de la Iglesia Primada de Toledo, vacante por fallecimiento de D. Gerónimo Lázaro Carrasco, á D. Cirilo de S. Román; y para'la Prestamera dé Sta. María de Alarcon, la del lugar de Mariana, anexo de Sotos,-y el Préstamo de Olmeda, junto á las Valeras, todos en la</t>
  </si>
  <si>
    <t>Lázaro Dou, Ramón</t>
  </si>
  <si>
    <t>Ramón Lázaro Dou</t>
  </si>
  <si>
    <t>brar para el Arcedianato del Valles, Dignidad de la Catedral de Barcelona, vacante por promoción de D. Ramón Lázaro Dou á la Maestrescoiía de la de Lérida, á D. Francisco Antonio Orteu, con retención de la Canongía que obtiene en aquella Catedral: para la Dignidad regular de Pavorde del Real Monast</t>
  </si>
  <si>
    <t>Lázaro Pertierta</t>
  </si>
  <si>
    <t>y Csnoncía de la Catedral de Ceuta , vacante por fallecimiento de D. Josef Ildefonso de Alvarado, á D. Lázaro Pertierta: para una Canongía de la Catedral de Orense,. vacante por muerte de D. Lope Rodríguez Carrillo, a D. Ramón Perez Verea y Aguiar: para una Média-Racion de la Cátedra h de Ségovia ,</t>
  </si>
  <si>
    <t>Ldgrange, General</t>
  </si>
  <si>
    <t>General Ldgrange</t>
  </si>
  <si>
    <t>&lt; podía ser sino\, Iñglesá.,.^ A&lt; las 1,0 de ¡}$¡-mañana hablan desembarcado todas las .tropas* Él: General Ldgrange baxó- á tierra con el primer batallón* Los , ene migo &amp;■ se defendieron con valor. Hicieron alguna resistencia en la punta de* S. 'Miguel, pero fueron derrotados. La ciudad fue to</t>
  </si>
  <si>
    <t>Leandro Borbon y Vállelo</t>
  </si>
  <si>
    <t>tc,á los 7Ó años y 9 «eses d* edad, el Sf. D. Leandro Borbon y Vállelo , Caballero del Orden de Calatrava, Decano del Supremo Consejo de Hacienda , y Contador general de Valores de ella. Sirvió á S. M. por espacio de mas de 56 años en diferentes dest</t>
  </si>
  <si>
    <t>Leandro Soiís, Joaquín</t>
  </si>
  <si>
    <t>Joaquín Leandro Soiís</t>
  </si>
  <si>
    <t>43 r moción de D. Joan Antonio Bringas al Corregimiento de Lorca, á Don Joaquín Leandro Soiís. En América. El Rey se ha servido nombrar para el Obispado de Córdoba del Tucuman, vacante por fallecimiento de D. Ángel Mariano Moscoso, al Maestro D. Rodrigo Antonio de Orellana</t>
  </si>
  <si>
    <t>Lebrun</t>
  </si>
  <si>
    <t>ona á socorrerlo. '{ ' fKÁncta. k •- -* •’ ' • Tiirin j de Junio. Ayer llegó á esta ciudad S. A. S. Mr. Lebrun, Archi-Tesorero del Imperio, acompañado de Mr.Fourcroi, Consejero de Estado, y de Mr* Lefebvre, miembro deL Instituto. ' v» ,¡ ; Parts 17 de Junio. ; T 1 -i: : El Conde de Cobentz</t>
  </si>
  <si>
    <t>anhelaban el honor de besarla la manó. FRANCIA. Xaénovd 22 de Tunio. El Archi-Tesórero: del Imperio Mr. Lebrun, en virtud de los poderes conferidos por S, M. I., ha mandado que hasta él nombramiento definitivo de Prefectos de los departamentos de Génova, Montenotte y de los Apeninos , los</t>
  </si>
  <si>
    <t>iniego.___De todas las personas de distinción venidas de Francia á Genova, no queda mas que S A. S. Mr. Lebrun , y en este Reyno el Senador Abrial. El primero se asegura que está nombrado Gobernador general de la 28 división militar 5 como S. A. I. el Príncipe Luis lo es de la 27. El segun</t>
  </si>
  <si>
    <t>Lebrun, Coronel</t>
  </si>
  <si>
    <t>Coronel Lebrun</t>
  </si>
  <si>
    <t>iudad de Ulma y de Memmingen. Se espera al Elector de Baviera. El Emperador ha enviado su Edecán el Coronel Lebrun para recibirle, y ofrecerle en el camino escoltas de honor. En Augsburgo y Munich se ha cantado el Te Deum. En todas las ciudades de Baviera se ha publicado la proclamación adjunt</t>
  </si>
  <si>
    <t>s cerca de Oimutz: la mitad de su exército está destruido , y lo demas en plena derrota. Dia ij. El Coronel Lebrun, Edecán del Emperador, despachado por S. M. al acabarse la batalla del 2 del corriente, que se verificó entre Briinn y Oimutz, ha traido las noticias siguientes: 40© prisioneros:</t>
  </si>
  <si>
    <t>Ledran</t>
  </si>
  <si>
    <t>do y estampado, como en el papel é impresión. Tratado de las heridas de armas de fuego, escrito por Mr. Ledran, de París* traducido al español por D. Félix Galisteo y Xiorro, profesor de Cirugía, á 8 rs. en pasta y 6 en pergamino, zzzObservaciones acerca de las enfermedades del ejército en</t>
  </si>
  <si>
    <t>Ledu, Conde</t>
  </si>
  <si>
    <t>Conde Ledu</t>
  </si>
  <si>
    <t>kreutzers y uñá ración de vino á cada soldado del Regimiento de infantería Archiduque Fernando. El Conde Ledu^ kowsky ha hecho mas, porque ha enviado al quartel de inválidos 10® florines (unos 5® duros). La Baronesa de Scio ha dado tres bayles en Viena, y su producto se ha librado á favor</t>
  </si>
  <si>
    <t>Lee</t>
  </si>
  <si>
    <t>anza de los muchos niños que se hallan allí. La administración de estas cantidades se ha confiado á Mr. Lee, eclesiástico Ingles. Una carta particular de Hamburgo, con fecha de 27 de Noviembre, dice, quedos Magistrados de aquella ciudad han recibido una carta de S. M. Prusiana, en que a</t>
  </si>
  <si>
    <t>Lefebvre, Coronel</t>
  </si>
  <si>
    <t>Coronel Lefebvre</t>
  </si>
  <si>
    <t>ellas acciones militares que se pueden citar, se han.distinguido el:Regimiento 1.8 de dragones y su Coronel Lefebvre, el Coronel del io de cazadores Colbert, á quien le mataron el caballo, el Coronel Eajonquieres del 76, y otros muchos Oficiales. El Emperador ha sentado hoy sus reales en la Abad</t>
  </si>
  <si>
    <t>Lefebvre, Mariscal</t>
  </si>
  <si>
    <t>Mariscal Lefebvre</t>
  </si>
  <si>
    <t>l Kellerraann, llevando la corona de Cario Magno: el Mariscal Perignon, el cetro de Cario Magno: el Mariscal Lefebvre,la espada de Cario Magno: el Mariscal Bernadotte, el collar del Emperador: el Coronel General Beauharnais , el anillo de S. M.: ei Mariscal Berthier, el globo Imperial: el Sumille</t>
  </si>
  <si>
    <t>cional hace-ya su servicio en los quatro departamentos de la orilla izquierda, baxo las órdenes del Mariscal Lefebvre. De esta manera, mientras que el exército grande liberta la Su abia y la Baviera, y amenaza ya al Austria, ya á la Bohemia, otro ejército, está formado en nuestras fronteras, que</t>
  </si>
  <si>
    <t>Legat, Coronel</t>
  </si>
  <si>
    <t>Coronel Legat</t>
  </si>
  <si>
    <t>. Es tanto mas necesaria su llegada á aquel establecimiento, porque sabemos que saliéron de allí el Coronel Legat, y varios Oficiales supe* riores, con algunas tropas destinadas á Batavia y á otras posesiones Ho* landesas del Asia. Las últimas noticias recibidas del Vice-Almirante Hartsink y</t>
  </si>
  <si>
    <t>Legrand, General</t>
  </si>
  <si>
    <t>General Legrand</t>
  </si>
  <si>
    <t>su quartel general Imperial del Pont-de-Brique___ El 12 pasó el Emperador revista á la división del General Legrand. , Ayer hubo un combate muy brillante entre una división de la esquadrilla y los cruceros Ingleses, que sé habian aumentado considerablemente. ,__ El Almirante Lacrosse hizo dispo</t>
  </si>
  <si>
    <t>General Vandamme, en el centro la,división del General Saint-Hilaire,y á su derecha la división del General Legrand..__.El Mariscal Davoust estaba destacado sobre la derecha ¿el General Legrand, que guardaba los caminos de Sokolnitz y de'Tenia consigo tá'división de Frianty los dragones de la d</t>
  </si>
  <si>
    <t>Lence, Antonio</t>
  </si>
  <si>
    <t>Antonio Lence</t>
  </si>
  <si>
    <t>ndado Maestro de Capilla de ella: para la Chantría de la Catedral de Lugo, vacante por promoción de Don Antonio Lence al Deanato de la misma, á D. Pedro Cavado, Cura en aquella Diócesi; y para el Beneficio simple servidero de la villa de Mombeltran, Obispado de Avila, vacante por fallecimiento de</t>
  </si>
  <si>
    <t>Lencinas, Lorenzo</t>
  </si>
  <si>
    <t>Lorenzo Lencinas</t>
  </si>
  <si>
    <t>osello; y sencillas á D. Alexandro Benavente, D. Mariano Aragón, D. Josef Escovedo, D. Pablo Muñoz, D. Lorenzo Lencinas, Don Josef Silva y Laguado, D. Manuel de la Barrera, D. Mariano Murguía, D. Ramón Paredes, D. Mariano Figueroa, D. Valentín Toro y D. Juan Valenzuela; empleo de Alférez de granade</t>
  </si>
  <si>
    <t>León Martín de Valle y Gaseo</t>
  </si>
  <si>
    <t>del lugar de IIolgueraven la Diócesis de Coria, por fallecimiento de D. Antonio Blasco de Sólís, á D. León Martin de Valle y Gaseo , con carga de precisa personal residencia; y para el Beneficio simple servidero de la Parroquia de Sto. Domingo de Silos de la ciudad deUbeda, en la de Jaén, por fallecimiento de</t>
  </si>
  <si>
    <t>León Ortiz</t>
  </si>
  <si>
    <t>Id. id. León Ortiz............. Hijo de Felipe y de Francisca Perez, na­</t>
  </si>
  <si>
    <t>Leonardo Josef Jáuregui</t>
  </si>
  <si>
    <t>abal y D. Antonio Batres y Asturias; Tenencia de grariaderos á D. Ramón de Zelaya, y de fusileros á D. Leonardo Josef Jáuregui ,D. Antonio Robles,, D. Francisco Xavier Aguirre y Larios ,* D. Tadeo Pinol y Aycinena y D. Juan Josef Gorriz; Subtenencia de granaderos á D. Juan Manuel Landero, y de fusileros á</t>
  </si>
  <si>
    <t>Leonardo Sánchez</t>
  </si>
  <si>
    <t>Capitanes á los Tenientes D. Josef Ga«* miño y D. Josef de la Bársena; á Tenientes á los Alféreces D. Leonardo Sánchez, D. Miguel Arroyo Ríos y.D. Francisco Carrillo ; á Alféreces á los Portaguiones D. Manuel Fernandez Alonso, D. Mariano de Otero y D. Pedro de Otero; y á Portaguiones á D. Antonio</t>
  </si>
  <si>
    <t>Leonardo Teran</t>
  </si>
  <si>
    <t>de de Lumiares, Grande dé España de primera clase; á D. Alfonso de Pignateli, Coronel de Húsares; á D. Leonardo Teran, Ministro de S. M. C. en Génova ; á D. Gerónimo de la Grúa; á D. Nicolás Orózco, Ministro plenipotenciario en Milán; al Caballero Viérgol, Secretario de la Legación en Milán; á Do</t>
  </si>
  <si>
    <t>Leonesi y Josef Lobrado, Mateo Gaspar</t>
  </si>
  <si>
    <t>Mateo Gaspar Leonesi y Josef Lobrado</t>
  </si>
  <si>
    <t>Se desea saber la existencia de D. Torlbio de Cueneo, D. Juan Díaz Cadórmga, Doña Dorotea Delgado, D. Mateo Gaspar Leonesi y Josef Lobrado, ó sus herederos si hubiesen fallecido, para entregar á cada uno cierta cantidad que le pertenece. A quien le interese, acudirá á D. Pedro de Sedaño, Procurador de los Reales Cons</t>
  </si>
  <si>
    <t>Leopoldo Berthier, General</t>
  </si>
  <si>
    <t>General Leopoldo Berthier</t>
  </si>
  <si>
    <t>la Corte, y recibiéron igualmente su bendición. El Mariscal del Imperio Bernadotte , acompañado del General Leopoldo Berthier, Gefe del Estado mayor del exército de Hannóver, ha entregado áMr. Denon, Director general de la fabricación de medallas, una medalla de oro y otra de plata, acuñadas en Hannóver</t>
  </si>
  <si>
    <t>Leopoldo de BerchtoldTiá, Conde</t>
  </si>
  <si>
    <t>Conde Leopoldo de BerchtoldTiá</t>
  </si>
  <si>
    <t>das en dar comidas á la Rumfort. El zelo del Conde de.Deymha tenido imitadores, y, entre otros , el Conde Leopoldo de BerchtoldTiá abierto en está" capital otra subscripción. El Emperador ha librado inmediatamente la cantidad de 6® florines; el Archiduque Carlos 2®; los Archiduques Juan, Ranerio, Luis y Rodol</t>
  </si>
  <si>
    <t>Lessacier, Alexo</t>
  </si>
  <si>
    <t>Alexo Lessacier</t>
  </si>
  <si>
    <t>an Fernandez ; y á Subtenientes de bandera íos Cadetes D. Pedro Kerñion, D. Henrique de Graiid-pré, D. Alexo Lessacier yD. Carlos de. Villers, y los Sargentos primeros. D. Diego Barredo, de granaderos, y D. Juan Perez. Por Real Provisión de los Señores del Supremo Consejo de Castilla de 30 de Setiem</t>
  </si>
  <si>
    <t>Lestido, Juan</t>
  </si>
  <si>
    <t>Juan Lestido</t>
  </si>
  <si>
    <t>Bomb* ínval. Juan Lestido......... Hijo de Benito y de Pascuala Rodríguez,</t>
  </si>
  <si>
    <t>Levasseur, General</t>
  </si>
  <si>
    <t>General Levasseur</t>
  </si>
  <si>
    <t>e granaderos del General Dupas, el Mariscal Soult le hacia rodear por la derecha por la brigada del General Levasseur de la división Legrand, compuesta de los Regimientos 3 y 18 de línea. El General de división Walther ha cargado los Rusos con una brigada de dragones, y hécfcoles 300 prisioneros.</t>
  </si>
  <si>
    <t>Lewlston Gower, Lord</t>
  </si>
  <si>
    <t>Lord Lewlston Gower</t>
  </si>
  <si>
    <t>sido apresado por la fragata Maidstone. Se ha recibido la noticia de haber llegado á Petersburgo el Lord Lewlston Gower, quien ha sido muy bien recibido, y tenido la honra de comer con S. M. í. El testamento del Lord Chedworth ha excitado la curiosidad pública. "Vivía este señor muy retirado : era</t>
  </si>
  <si>
    <t>Leycester</t>
  </si>
  <si>
    <t>as que las publicadas por el Gabinete de Francia. En la misma Cámara se ha decidido, á propuesta de Mr. Leycester, que en el asunto del Lord MeiviUe se substituya the impenchement ( ó acusación ante sus Pares) al procedimiento criminal decretad® contra dicho ex-Ministro. . El 26 pasó Mr. Whit</t>
  </si>
  <si>
    <t>Lezay</t>
  </si>
  <si>
    <t>nos de Molk. Parece que en lo que resta del mes de Noviembre se verán sucesos de mucha importancia. Mr. Lezay, Ministro de Francia en .Saltzburgo, ha tenido una audiencia del Emperador en el momento en que S. M. salía de Braunau. Hasta entonces no había dexado de residir en Saltzburgo. No</t>
  </si>
  <si>
    <t>Liado, Juan</t>
  </si>
  <si>
    <t>Juan Liado</t>
  </si>
  <si>
    <t>’ T' ' * Cabo.... Juan Liado..................Francisco.. i*- Tuyet, María ™. ^</t>
  </si>
  <si>
    <t>Liberatore, Francisco</t>
  </si>
  <si>
    <t>Francisco Liberatore</t>
  </si>
  <si>
    <t>mpañía Italiana del Real Cuerpo de Guardias de Corps ha promovido el Rey á Brigadier al Subrigadier D. Francisco Liberatore : á Subrogad i er al Cadete Garzón D. Domingo Vasallo : á Cadetes de número ai Supernumerario D. Andrés Gómez, y Guardias D. Manuel Peynado y D. Josef Burone; y á Cadete Supernume</t>
  </si>
  <si>
    <t>Liborio Miralles</t>
  </si>
  <si>
    <t>za. Día 17 de Absil, cón asistencia de ios mismos Señores,y de un grande concurso, exercitáron: 4.0 Don Liborio Miralles de los diferentes modos con que se acumula el trabajo superfluo para formar las fuentes de la riqueza , guardando las leyes del equilibrio: 5:p D. Miguel Mir de González, de las causas q</t>
  </si>
  <si>
    <t>Licenciado Alonso Fernández de Avellaneda</t>
  </si>
  <si>
    <t>s. Yid'a.y hechas ¿del ¡iílgea’bQS.Q hidalgo D. Quixote de la ^Mancha,- por el.‘Licenciado Alonso Fernandez de Avellaneda, natural de Tordesilias: nueva edicipn. .Esta obra*/ que ;eh el ,diá:rapéjias es conocida sino por la censura con que la critica Cervantes en su Quixote, contiene la quarta salida del héro</t>
  </si>
  <si>
    <t>Lichtensteiu Scc, Juan (príncipe)</t>
  </si>
  <si>
    <t>Príncipe Juan Lichtensteiu Scc</t>
  </si>
  <si>
    <t>. Hecho por duplicado entre los infrascritos el Mariscal Berthier, Ministro, de la Guerra &amp;c¿, y el Príncipe Juan Lichtensteiu Scc.Ea Austerlitz á 6 de Diciembre de 1805. Mr. de Talleyrand marcha i Nicolsburg, donde se abrirán las negociaciones.1 ESPAÑA. ; Madrid 27 de Diciembre. El Rey se ha servido nombrar</t>
  </si>
  <si>
    <t>Ligero, Joseph</t>
  </si>
  <si>
    <t>Joseph Ligero</t>
  </si>
  <si>
    <t>artínez de Aparicio. En Toledo............... Sres. Chavarri y Posadillo. En Toro.................. D. Joseph Ligero. En Valencia.......... Sres. D. Francisco Peyrolon y compañía. EnValladolid....... Sres. D. Francisco Durango é hijo mayor. En Zamora......... D. Vicente Perez de Tejada. En Zarag</t>
  </si>
  <si>
    <t>Lilis Pérez Peñuelás</t>
  </si>
  <si>
    <t>del Sr. Di Torqtfátó'Antonio Collado, Tejiente Corregidor de esta villa/y escribanía dél número dé D. Lilis Perez Peñuelás/se ha mandado publicar, por término de 30 dias contados desde el 18 de Noviembre próximo pasado, dos tierras en término del lugar de Carabanchel de abaxo: la una sita en el alto d</t>
  </si>
  <si>
    <t>Linares, Vicente</t>
  </si>
  <si>
    <t>Vicente Linares</t>
  </si>
  <si>
    <t>rvido conceder Ayudantía en el Regimiento de infantería de Toledo al Teniente, graduado de Cápitan, D. Vicente Linares: y Subtenencias de bandera en el de Valencia al Sargento primero Don Josef Vigil; y: en el de Navarra al Sargento primero de granaderos I)on Pedro Valero, y al Cadete D. Julián To</t>
  </si>
  <si>
    <t>Lindenan, General</t>
  </si>
  <si>
    <t>General Lindenan</t>
  </si>
  <si>
    <t>s, uno de los quales lo mandará el Emperador y el General Mack , el segundo el Archiduque Juan y el General Lindenan, y el tercero el Archiduque Carlos y el General Schwidt. París 12 Setiembre* •Mr. Bacher , Encargado !de Negocios dé S. M. en Ratisboria, ha recibido orden de presentar á la Dieta</t>
  </si>
  <si>
    <t>Lino Sáenz</t>
  </si>
  <si>
    <t>n González Viilagra ; la Sargentía mayor del mismo áD. Martin Garmendia, y ComÍ&gt;añía en el propio á D. Lino Saenz: Tenencia en el de lea á D. Juan Boinaga: Tenencia veterana en la Plana mayor blanca del batallón de Pardos de Lima á D. Ignacio Fraga; y Subtenencia de la misma clase en la Asamb</t>
  </si>
  <si>
    <t>Linois, Almirante</t>
  </si>
  <si>
    <t>Almirante Linois</t>
  </si>
  <si>
    <t>resado, y han llegado á Londres, se confirman las noticias que ya se tenían de la mala conducta del Almirante Linois. Después de su derrota por nuestra flota, se retiró á Batavia y desembarcó sus tropas á las órdenes de un General de división, el que se portó tan mal, que obligó á los Holandeses</t>
  </si>
  <si>
    <t>volvió á S. Malo. Según escriben de la isla del Príncipe de Gales, con fecha de 10 de Setiembre, el Almirante Linois se hallaba aun en Batavia á principios del mes de Agosto con el navio de línea el Marengo, de 84 cañones, y 3 fragatas; y el 27 de Julio habían salido de la Isla de Francia la fra</t>
  </si>
  <si>
    <t>Linóis, Almirante</t>
  </si>
  <si>
    <t>Almirante Linóis</t>
  </si>
  <si>
    <t>de Gales, y nos hacen esperar qué no son tan importantes cómo se habían anunciado las ventajas del Almirante Linóis en el Océano Indico. Según escriben de la isla deGáles,el 10 de Setiembre había salido de aquel puerto la flota procedente de la China, compuesta-de rb navios déBombay y de 6 de la</t>
  </si>
  <si>
    <t>l público. Se ha conñrmado la noticia de la presa del navio de la India el Príncipe de Gáles por el Almirante Linois, que se propone armarlo en guerra. La esquadra de Rochefort, que ahora llamamos de la Martinica , se compone de los navios Magestuoso de 120 cañones, Magnánimo de 84, SuíFren, la</t>
  </si>
  <si>
    <t>fuerzas respetables; parte de las quales se encontraba todavía en la Isla de Francia. i El.; Contra-Almirante Linois ha dado cuenta, con fecha de 27 de Diciembre , al' Ministro de la Marina de las presas que ha hecho á los Ingleses , por sí^ en su segundo crucero, y ademas las hechas por los cor</t>
  </si>
  <si>
    <t>desa de Chanclos, que ha comunicado noticias muy interesantes de la Isla de Francia. Asegura que el Almirante Linois habia apresado unas 20 embarcaciones Inglesas, entre las quales seis pertenecían á la Compañía de las Indias.__ También ha dicho que continuaba con furor la guerra entre Ingleses</t>
  </si>
  <si>
    <t>Linols, Almirante</t>
  </si>
  <si>
    <t>Almirante Linols</t>
  </si>
  <si>
    <t>as ciudades fronterizas del Asia, de que un navio de línea Francés, perteneciente á la esquadra del Almirante Linols, está cruzando, hace algún tiempo, en el golfo Pérsico, en donde ha apresado dos buques mercantes Ingleses ricamente cargados. Ha causado mucho regocijo en esta ciudad la noticia</t>
  </si>
  <si>
    <t>Lintner, Luis</t>
  </si>
  <si>
    <t>Luis Lintner</t>
  </si>
  <si>
    <t>cto se acudirá á la red de S. Luis, casa del almacén de aceyte, quarto segundo. Luis Lintner , natural de Schemnitz, en Hungría, se dedicó en su juventud primeramente al estudio de la Mineralogía, que dexá después para seguir la Cirugía; y habiéndose ausentado de .su país , hace 17</t>
  </si>
  <si>
    <t>Litta, Antonio</t>
  </si>
  <si>
    <t>Antonio Litta</t>
  </si>
  <si>
    <t>las de Gran Canciller, Mr.Melzi; de Limosnero mayor, el Arzobispo de Ravena; de Sumiller de Córps, Mr. Antonio Litta; de Caballerizo mayor, Mr. Carlos Caprara; y de Mayordomo mayor, Mr. Fenaroli.__ Todo el pueblo ha estado sumamente regocijado, y la iluminación ha sido muy vistosa» FRANCIA» Parí</t>
  </si>
  <si>
    <t>Litta, Conde</t>
  </si>
  <si>
    <t>Conde Litta</t>
  </si>
  <si>
    <t>abíase también, aunque muchos lo ignoraban, que había otra tercera cabeza del Laocoonte en casa del Conde Litta en Milán; pero nunca ha ha-; bido proporción de compararlas una con otra, y esta comparación tan importante, es la que va á- hacer el Sr. Langer , á quien ha confiada dicha cabeza a</t>
  </si>
  <si>
    <t>Littardi</t>
  </si>
  <si>
    <t>inistrador provisional del depártame Ato de Genova; Mr.Cam•biaso, Corregidor provisional de Genova; Mr. Littardi,Presidente del Consejo general del departamento de Montenotte ; Mr.; Molfíno y Presidente del Consejo general del departamento* de los Apeninos; el Arzobispo de Genova, el de Turi</t>
  </si>
  <si>
    <t>Livingston</t>
  </si>
  <si>
    <t>encia y estabilidad de tan útil establecimiento.í El tercero es el de una Academia de bellas artes. Mr. Livingston, nuestro Ministro en la Corte Imperial de Francia, es á quien ocurrió la idea de esta Academia. El público lo aplaudió tanto, que antes de llegar aquí los modelos que ha enviado d</t>
  </si>
  <si>
    <t>Lizaur, Bernardo</t>
  </si>
  <si>
    <t>Bernardo Lizaur</t>
  </si>
  <si>
    <t>ticantes mas aprovechados, comisionó la Junta á sus Consiliarios los Sres. Marques de Bondad-Real y D. Bernardo Lizaur, para presidir las oposiciones de los aspirantes, que han sido veinte y tres: un numeroso concurso ha presenciado esta prueba pública de la constanse aplicación y notorio aprovech</t>
  </si>
  <si>
    <t>Llano, Juan Antonio</t>
  </si>
  <si>
    <t>Juan Antonio Llano</t>
  </si>
  <si>
    <t>del Moral; á Teniente de granaderos al de fusileros D. Antonio Arguelles; á Teniente al Subteniente D. Juan Antonio Llano; á Subteniente de granaderos al de fusileros D. Joaquín Barrena; á Subtenientes de compañía á los de bandera D. Gerardo Hernández, D. Josef loaquin Ruiz y D.Jo sef María Rengel; y</t>
  </si>
  <si>
    <t>Llauder, Andrés</t>
  </si>
  <si>
    <t>Andrés Llauder</t>
  </si>
  <si>
    <t>ín de March, Cadete del de Cazadores voluntarios de España t en el de Almansa Ayudantía al Teniente D. Andrés Llauder ,y¡ emplea de Alférez ai Sargento primero D. Vicente Aznar. -El Rey se haservrdoriombrarMaestro Armero^ dé Artillería, de la piázat de Alicante- á: JoSef Ors.. ■ -■ El Mercurio de</t>
  </si>
  <si>
    <t>Llauger, Gaspar</t>
  </si>
  <si>
    <t>Gaspar Llauger</t>
  </si>
  <si>
    <t>y dedica al Excmo. Sr. D. Pedro Díaz de Valdés, Obisoo de Barcelona, el Dr. D. Gaspar Llauger, Presbítero, Director del Seminario Episcopal de Barcelona, y su Catedrático de Prima por la Suma de Santo Tomas. Se hallará en la librería de Fernandez, frente á las gradas de S. Felipe; en</t>
  </si>
  <si>
    <t>Lledó, Gerónimo</t>
  </si>
  <si>
    <t>Gerónimo Lledó</t>
  </si>
  <si>
    <t>Gerónimo Lledó.... Hijo de Josef, nat. de Crevillente, Reyno! ,</t>
  </si>
  <si>
    <t>Lledó, Vicente</t>
  </si>
  <si>
    <t>Vicente Lledó</t>
  </si>
  <si>
    <t>rcios. Las personas que quieran solicitarlo, remitirán sus memoriales al Procurador general de ella D. Vicente Lledó. Se desea saber del paradero de Fidipe García , natural del lugar de Setienes, Parroquia de Santiago de arriba, en-Asturias, pues hace muchos años está 'ausente de casa de su padr</t>
  </si>
  <si>
    <t>Lleonart, Francisco</t>
  </si>
  <si>
    <t>Francisco Lleonart</t>
  </si>
  <si>
    <t>. Joaquín de la Torre y Duarte y D. Josef María Canalejo; á Subtenientes de Compañía los de bandera D. Francisco Lleonart y D. Justo López ; y á Subtenientes de bandera los Cadetes D- Francisco Díaz y Don Alexandro de Campos. También se ha dignado $. M. conferir la Regencia de la Audiencia de Sta. Fe de</t>
  </si>
  <si>
    <t>Lliñas y Repiso, Juan</t>
  </si>
  <si>
    <t>Juan Lliñas y Repiso</t>
  </si>
  <si>
    <t>isco Andrada Wanderwilde, D. Cipriano Palafox, Marques de Fuente el Sol, D. Josef Povil y Correger, D. Juan Lliñas y Repiso, D. Joaquín Alvarez Maldonado Abadelanzana, D. Romualdo Miranda y Mon, y D. Rodrigo Sánchez de Arjona y Vargas. ,,E1 Comandante general de Marina del Departamento de Cádiz ha dado</t>
  </si>
  <si>
    <t>Llompard, Rafael</t>
  </si>
  <si>
    <t>Rafael Llompard</t>
  </si>
  <si>
    <t>ia con 4® rs. de vn. anuales; y para una Pavordía de la Catedral de Mallorca, vacante por muerte de D. Rafael Llompard, á D. luán Ferra. S. M. se ha servido nombrar para las Prestameras de las Parroquiales de la villa de Zafra y el lu-gar de Verde el Pino de Huete , en el Obispado de Cuenca, vacan</t>
  </si>
  <si>
    <t>Llordeíla, Ramón</t>
  </si>
  <si>
    <t>Ramón Llordeíla</t>
  </si>
  <si>
    <t>OO , _ ; En Badajoz......... D. Francisco Fernandez de la Peña y de $. Miguel. ' . En Barcelona.....D. Ramón Llordeíla é‘ hijo. 1 En Búrgós........... D. Andrés Fravle. ; . . ' ; ■*' ‘ 'En Cádiz.........1... D. Benito de la Piedra. J * 3 - • EnCartagena...... D. Bernardo*Eliza!dé. ■ ,\A " ;; En Ci</t>
  </si>
  <si>
    <t>Llordella, Ramón</t>
  </si>
  <si>
    <t>Ramón Llordella</t>
  </si>
  <si>
    <t>ez. En Badajoz......... D. Francisco Fernandez de. la Peña y de S. Miguel. , ’ En B'arcelona....... D. Ramón Llordella é hijo. i En Burgos i*,.w.... D. Andrés Fray le. r En Cádiz.............. D. Benito de la Piedra. En Cartagena...... D. Bernardo Flizalde. En Ciudad-Re al.. D. Ramón Antonio Pico.</t>
  </si>
  <si>
    <t>Llórente, Manuel</t>
  </si>
  <si>
    <t>Manuel Llórente</t>
  </si>
  <si>
    <t>e la Sierra: á Subtenientes de granaderos en los de Pontevedra, Santiago y Ecija á los de fusileros D. Manuel Llórente, D. Ramón González, y Don Miguel Ruiz Jurado; y á Subtenientes de bandera en los de Ecija, Sevilla,</t>
  </si>
  <si>
    <t>Llort, Francisco</t>
  </si>
  <si>
    <t>Francisco Llort</t>
  </si>
  <si>
    <t>. 2. Cabo.....Francisco Llort...........Ignacio.... Magdalena, , , , , Barcelona, , Idem , , ,, 132. 24. Pablo Rovira.............. Josef. .... María Jandana, , , Pratdit, , , Montblanc : 6</t>
  </si>
  <si>
    <t>Lobb, Capitán</t>
  </si>
  <si>
    <t>Capitán Lobb</t>
  </si>
  <si>
    <t>rzas, que según algunos están destinadas contra Holanda, y según otros contra el Ferrol ó Cádiz. El Capitán Lobb debe salir para el mar del Sur con una esquadrilla deT fragatas y corbetas. &lt;•.. El diá ¿8 ha llegado un correo con pliegos de la Corte de VÍéna. 'Esi digno de notarse, que en el mom</t>
  </si>
  <si>
    <t>Lofras y Bazan, Juan de Dios</t>
  </si>
  <si>
    <t>Juan de Dios Lofras y Bazan</t>
  </si>
  <si>
    <t>ió ai examen del sordo-mudo D. Juan Machado , den años de edad, discípulo del Capitán de infantería D. Juan de Dios Lofras y Bazan, Maestro-Director de este establecimiento; y habiendo satisfecho con la mayor prontitud y acierto á quantas preguntas se le hiciéron por los concurrentes, con arreglo a la noticia</t>
  </si>
  <si>
    <t>Loftus y Bazan, Juan</t>
  </si>
  <si>
    <t>Juan Loftus y Bazan</t>
  </si>
  <si>
    <t>D. Juan de Dios JLofras y Bazan, Maestro y Director del establecimiento de sordo-mudos, debe leerse D. Juan Loftus y Bazan. - A virtud de auto del Sr. D. Torquato Antonio Collado, del Consejo de S.M., Teniente Corregidor de esta villa, se cita y emplaza á los acreedores de la testamentaría del Sr. D.</t>
  </si>
  <si>
    <t>Loke</t>
  </si>
  <si>
    <t>á Bujukdere devuelta de su viage al Asia menor, han enfermado, y están de mucho peligro. Por último Mr. Loke, Cónsul general en Egipto , que había viajado de Constantinopla á Atenas, y de aquí á Malta, ha muerto, inmediatamente que ha puesto el pie en esta isla, con todos sus compañeros</t>
  </si>
  <si>
    <t>Lombard</t>
  </si>
  <si>
    <t>5 de Junio á Furth, acompañado de los Príncipes, de dos Ayudantes generales y del Secretario íntimo Mr. Lombard. Su comitiva es de 68 personas. La revista general de las tropas que hay en Franconia se efectuará en la llanura entre Nuremberg y Furth en los dias 7 y 8 de Junio. . , ,G &amp; A Ñ B</t>
  </si>
  <si>
    <t>Lombera, Juan Manuel</t>
  </si>
  <si>
    <t>Juan Manuel Lombera</t>
  </si>
  <si>
    <t>Id. íd. Juan Manuel Lom- LHijo del mismo y de Antonia Perez, na­</t>
  </si>
  <si>
    <t>Londoño, Simón</t>
  </si>
  <si>
    <t>Simón Londoño</t>
  </si>
  <si>
    <t>id.: D. Pedro Nuñez, herido: D. Josef Losada id.: D. Pedro Brigloer id.: D. Manuel Huergo, contuso: D. Simón Londoño id.: D. Pedro Rato, herido. Alféreces de Fragata. D. Benito Bermudez de Castro, muerto: D. Juan Balsola, herido: D. Nicolás del Rio id.: D. Josef de la Serna id.: Don Diego del Ca</t>
  </si>
  <si>
    <t>Loos</t>
  </si>
  <si>
    <t>llas de Berlín han ejecutado cada uno una en honor dei Dr. Gall. La mejor de ellas parece ser la de Mr. Loos, que presenta la efigie del Doctor con esta inscripción alemana: Im forschen kiinn , bescheiden im behaupten, que quiere .decir: Osado en indagar, modesto en fallar. En el reverso</t>
  </si>
  <si>
    <t>Lope Rodríguez Carrillo</t>
  </si>
  <si>
    <t>Alvarado, á D. Lázaro Pertierta: para una Canongía de la Catedral de Orense,. vacante por muerte de D. Lope Rodríguez Carrillo, a D. Ramón Perez Verea y Aguiar: para una Média-Racion de la Cátedra h de Ségovia ,; vacante per fallecimiento de D. Tomas Moreno, á Don Manuel Martínez del Arne: para el Benefic</t>
  </si>
  <si>
    <t>López de Ayala, Francisco</t>
  </si>
  <si>
    <t>Francisco López de Ayala</t>
  </si>
  <si>
    <t>la ciudad de Carmona, Diócesi de Sevilla, vacante por fallecimiento de D. Antonio Civit Plevano, á D. Francisco López de Ayala: para la Prestamera de Santa María del Manzano de la villa de Poveda de la Obispalía, en la Diócesi de Cuenca, vacante por ascenso de D. Domingo Herrera y Buedo áí Beneficio de Mó</t>
  </si>
  <si>
    <t>López de Gonzalo, Marcos</t>
  </si>
  <si>
    <t>Marcos López de Gonzalo</t>
  </si>
  <si>
    <t>se ha servido nombrar para la plaza de Oidor del Consejo de Navarra * vacante por fallecimiento de D. Marcos López de Gonzalo, á Don Ramón Antonio,Tirado, Alcalde de Corte de aquel Tribunal; y para está resulta á D. Francisco Cándido de Paz. En América. El Rey se ha servido nombrar para el Obispado de Sa</t>
  </si>
  <si>
    <t>López de la Torre Ayllon y Montemayor, Julián</t>
  </si>
  <si>
    <t>Julián López de la Torre Ayllon y Montemayor</t>
  </si>
  <si>
    <t>rs. El dia 27 de Octubre último falleció en esta Corte , á los Si años , 7 meses y 11 dias , el Sr. D. Julián López de la Torre Ayllon y Montemayor, Caballero de la Real Orden Española de Garlos ni, del Consejo de S. M. en el Supremo de Hacienda, y Director jubilado de la Renta de Correos, Estafetas y Postas de España é India</t>
  </si>
  <si>
    <t>López de Peñalver, Juan</t>
  </si>
  <si>
    <t>Juan López de Peñalver</t>
  </si>
  <si>
    <t>rdoba, ó la Conquista de Granada, escrita en francés por el Caballero Florian; publícala en español D. Juan López de Peñalver. Segunda impresión, aumentada con un tomo en que se trata de los Moros de España; y se vende suelto para los que tengan la primera edición. Se halla en la librería de Alonso, fren</t>
  </si>
  <si>
    <t>López de Reta, Agustín</t>
  </si>
  <si>
    <t>Agustín López de Reta</t>
  </si>
  <si>
    <t>verso y prosa de los cinco libros del Consuelo de la Filosofía de Severino Boecio, obra postuma de D. Agustín López de Reta, natural de la villa de Artajona en el Reyno de Navarra: la publica D. Vicente Rodríguez de Arellano, confiado en el severo examen que han hecho de esta obra los hombres de mas fi</t>
  </si>
  <si>
    <t>López de Ribas, Manuel</t>
  </si>
  <si>
    <t>Manuel López de Ribas</t>
  </si>
  <si>
    <t>9 rs. Quien quisiere hacer postura á ella, acuda ante dicho Señor por la escribanía de provincia de D. Manuel López de Ribas. Por providencia del Sr. D. Manuel de Torres, primer Teniente Corregidor de esta villa, se subasta, por término de 30 dias, una casa sita en esta Corte, calle de las Huerta?, núm.</t>
  </si>
  <si>
    <t>o de Inguanzo, del Consejo de S. M.r, su Alcalde de Casa y Corte, por la escribanía de provincia de D. Manuel López de Ribas, á deducir las acciones que les competan, dentro del término de 30 diss, que se les concede por tres términos, y el último perentorio, contados desde la publicación de este aviso;</t>
  </si>
  <si>
    <t>siere hacer postura á dicha tierra , acuda ante el mismo Sr. Juez por la escribanía de provincia de D. Manuel López de Ribas. &gt; Por la audiencia del Sr. D. Manuel María de Junco, del Consejo de S. M., Alcalde en su. Real Casa y Corte , se ha mandado sacar á pública subasta, para pago de ,acreedores, la</t>
  </si>
  <si>
    <t>te el Sr. Alcalde de la Real Casa y Corte D. Juan Antonio de Inguanzo, y escribanía de Provincia de D. Manuel López de Ribas, á deducir las acciones y derechos que les competa en los autos que por este juzgado sigue D. Francisco Amezaga, vecino y del comercio de la villa de Bilbao, contra el mismo Milza</t>
  </si>
  <si>
    <t>erficiales de area plana. Quien quisiere tratar de su ajuste, acuda á la escribanía de provincia de D. Manuel López de Ribas, donde se le instruirá del precio, circunstancias de esta venta, y darán las demas noticias que necesite. Se halla vacante la plaza de Médico titular de la villa de Consuegra, la</t>
  </si>
  <si>
    <t>López de Rivas, Manuel</t>
  </si>
  <si>
    <t>Manuel López de Rivas</t>
  </si>
  <si>
    <t>quisiere hacer postura á ella, acalda ante el referido Sr. Juez por la escribanía cíe provincia de D. Manuel López de Rivas. Arte esfígmica, ó semeiótica pulsoria, erigida en arte por medio de una cartilla alfabética, compuesta de ciertos caracteres, con los que la sabia naturaleza había al Médico mani</t>
  </si>
  <si>
    <t>López de Rodrigo, Miguel</t>
  </si>
  <si>
    <t>Miguel López de Rodrigo</t>
  </si>
  <si>
    <t>rian, que vive en la calle del Barco, núm. 4, quarto segundo, desea saber el pueblo en donde resida D. Miguel López de Rodrigo, Abogado de ios Reales Consejos, que hace mas de 6 años salió de esta Corte, por destino que parece se le confirió por su facultad, á fin de comunicarle cierta noticia, que le es</t>
  </si>
  <si>
    <t>López de Salazar, Antonio</t>
  </si>
  <si>
    <t>Antonio López de Salazar</t>
  </si>
  <si>
    <t>eñalado para su remate el dia 28 del presente, que se ha de celebrar en la escribanía del número de D. Antonio López de Salazar, desde las nueve á la una de su mañana. Quien quisiere hacer postura, acuda á la posada del referido Señor, calle de Bordadores, núm. 1, quarto segundo, ó á la citada escribanía ,</t>
  </si>
  <si>
    <t>del Sr. D. Torquato Antonio Collado, Teniente Corregidor de esta villar, y escribanía del número de D. Antonio López de Salazar, se ha señalado el dia 14 del, presente b dé doce i una de su mañana, á las puertas de la audiencia desu Señoría, para ei remate de las lincas sitas i en la villa de Almodóvar del</t>
  </si>
  <si>
    <t>elemines /valuada en 11/466 rs. ‘22 mrsíí2=Pqr:el referido juzgado, y esfc’ríbafií'á clel númerd de D. Antonio López de Salazar, se ha mandado sacar á pública subasta', por término de 30 diás Contados desdé el 20 de Noviembre último, quatró casas; sitas en ésta Corte: la upa en la calle de Toledo, que hace</t>
  </si>
  <si>
    <t>López de Sigüenza, Francisco</t>
  </si>
  <si>
    <t>Francisco López de Sigüenza</t>
  </si>
  <si>
    <t>no de Terrantona en la Catedral de Lérida, vacante por renuncia de D. Gonzalo del Rio y Carrillo, á D. Francisco López de Sigüenza, Capellán ma</t>
  </si>
  <si>
    <t>López Dolz, Juan</t>
  </si>
  <si>
    <t>Juan López Dolz</t>
  </si>
  <si>
    <t>Alvarez. En el Regimiento de caballería del Rey se ha servido S. M. promover á Ayudante al Teniente D. Juan López Dolz; y en el de Borbon á Portaestandarte al Cadete D. Luis CardónTambién se ha servido el Rey conceder empleo de Alférez en el Regimiento de dragones de la Reyna al Portaguión D./Bart</t>
  </si>
  <si>
    <t>López Falias y Guingaro, Domingo</t>
  </si>
  <si>
    <t>Domingo López Falias y Guingaro</t>
  </si>
  <si>
    <t>Domingo López, Hijo de Manuel, natural de Macenga, Prior}</t>
  </si>
  <si>
    <t>López Fando, Juan</t>
  </si>
  <si>
    <t>Juan López Fando</t>
  </si>
  <si>
    <t>asunto, que no es conforme á la citada Real Cédula, posterior 4 la publicación de aquella obra, por D. Juan López Fando, Escribano de Consolidación, extinción y descuento de Vales Reales, y del Número de esta villa. Se hallará en la librería de Burguillos, frente al cementerio de S. Sebastian, á 4</t>
  </si>
  <si>
    <t>ríate en 144S) rs. en moneda metálica. Quien quisiere hacer dicha mejora, acuda á la ■escribanía de D. Juan López Fando. Quien quisiere hacer postura en el arrendamiento de la casa atahona del Réal Sitio de Aran juez, que sale á la subasta, por el término de 4 años, y Cuyo remate está señalado para</t>
  </si>
  <si>
    <t>López Fando, Juan Manuel</t>
  </si>
  <si>
    <t>Juan Manuel López Fando</t>
  </si>
  <si>
    <t>stente en 1089 pies de; sitio. Quien quisiere hacer postura, acuda por la escriba* nía numeraria de D. Juan Manuel López Fando, que sirve D. Félix Pico de Haedo. La casa sita en esta Corte en la calle de Santa Catalina de Sena, núm. 24, manzana 220 , perteneciente sumitad á la testamentaría de D. Julian .</t>
  </si>
  <si>
    <t>López Gallardo, Manuel</t>
  </si>
  <si>
    <t>Manuel López Gallardo</t>
  </si>
  <si>
    <t>or ,deí Colegio de Sta. Isabel de Madrid , vacante por fallecimiento de D. Francisco Xavier Cano, á D. Manuel López Gallardo * Capellán de Honor de S. M. S. M. se ha servido promover en el Regimiento de infantería del Prín</t>
  </si>
  <si>
    <t>López Gonzalo, Victoriano</t>
  </si>
  <si>
    <t>Victoriano López Gonzalo</t>
  </si>
  <si>
    <t>del Arzobispado de Zaragoza. El Señor Obispo actual, D.Pedro Inocencio Vejarano,franqueó 6©; el Sr. D. Victoriano López Gonzalo, que lo es de Cartagena, y natural de aquel Señorío, 4©; su Familiar D. Santiago Peiro del Rio 1©; la Marquesa de Viliel, veci X10 \Í Barcelona, 32c, ademas de haberse subsv crito</t>
  </si>
  <si>
    <t>López Lago, Rafael</t>
  </si>
  <si>
    <t>Rafael López Lago</t>
  </si>
  <si>
    <t>Ración de la Metropolitana de Santiago, vacante por fallecimiento de D.Benito Rodríguez Carvajal, á D. Rafael López Lago, Cura Párroco de Santa Eulalia de Araño, en aquel Arzobispado: para otra Ración de la Catedral de Avila, vacante por muerte de D. Ignacio Díaz Caballero , á D. Miguel de Zafra y B</t>
  </si>
  <si>
    <t>López Perella, Diego</t>
  </si>
  <si>
    <t>Diego López Perella</t>
  </si>
  <si>
    <t>, Teniente Corregidor de esta villa, se cita y emplaza á los acreedores de la testamentaría del Sr. D. Diego López Perella, para que comparezcan en el juzgado de S. S. y escribanía del número de D. Tomas de Sancha y Prado á deducir sus respectivos derechos en el término de 20 dias; con tal que pasados</t>
  </si>
  <si>
    <t>López Pérez, Ventura</t>
  </si>
  <si>
    <t>Ventura López Pérez</t>
  </si>
  <si>
    <t>nencia en el de infantería de Zamora y y Subtenencia de ^bandera en el Inmemorial del Rey al Cadete D. Ventura López Perez. El Rey ha conferido en los Regimientos Provinciales las Tenencias de .granaderos de los de Guadix y Córdoba á los Tenientes de fusileros D. Josef del Castillo y D. Josef Castilla</t>
  </si>
  <si>
    <t>López Quintana, Antonio</t>
  </si>
  <si>
    <t>Antonio López Quintana</t>
  </si>
  <si>
    <t>Ministro togado del Consejo de Indias, vacante por fallecimiento del Sr. D. Jorge Escovedo, al Sr. D. Antonio López Quintana, Regente de la Real Audiencia de Santa Fe de Bogotá. También se ha dignado S. M. conferir la Regencia de la Audiencia de Manila, en las Islas Filipinas, vacante por muerte del Sr.</t>
  </si>
  <si>
    <t>López Salazar, Antonio</t>
  </si>
  <si>
    <t>Antonio López Salazar</t>
  </si>
  <si>
    <t>, en 25,501. Quien quisiere hacer postura á dichas tierras, olivar y casa, acuda á la escribanía de Don Antonio López Salazar. Pensamientos de Pascal sobre la religión: segunda impresión : un tomo en 8.* Se hallará en la librería de Alonso, frente á las gradas de S. Felipe. EN LA IMPRENTA REAL.</t>
  </si>
  <si>
    <t>López Trelles, Francisco</t>
  </si>
  <si>
    <t>Francisco López Trelles</t>
  </si>
  <si>
    <t>Bravo, viuda y vecina de Cudiílero, por haber beneficiado y secado 192 arrobas de cecial: 300 rs. á D. Francisco López Trelles , del mismo lugar, y Patrón de lancha, por haber extraído de entrañas de pez-gata ó lixa 23 arrobas de saín: 100 rs. á Juan Acebal, natural de Cereceda, Concejo de Pilona , por ha</t>
  </si>
  <si>
    <t>López Uralde, Diego María</t>
  </si>
  <si>
    <t>Diego María López Uralde</t>
  </si>
  <si>
    <t>illa dé Chiloeches, en el Arzobispado de Toledo , vacante por muerte de D. Basilio Martin García,?á D. Diego María López Uralde, Músico en la cuerda de baxo del Real Convento de la Encarnación: para el Priorato rural de Villapardiüo y el Medio-Préstamo del lugar de las Cuevas, ambos en el Obispado de Jaén,</t>
  </si>
  <si>
    <t>López Varela y Lemo, Joaquín María</t>
  </si>
  <si>
    <t>Joaquín María López Varela y Lemo</t>
  </si>
  <si>
    <t>dro de Otañes, D. Juan Felipe Correa, D. Félix de las Ala? y Pumanúo , D. Manuel .del Riego Pica, y D. Joaquín María López Varela y Lemo?. . S. M. se ha servido promover en el Real Cuerpo de Ingenieros 4el exército á Capitán segundo alj D. Josef Iglesias.</t>
  </si>
  <si>
    <t>López, Agustín</t>
  </si>
  <si>
    <t>Agustín López</t>
  </si>
  <si>
    <t>25 años. Premio^ d? emulación, á D. Manuel Sancho, natural de Madrid, de 10 años. . Arquitectura, á D. Agustín López, natural de Madrid, de íj áños. Gradado-de Jámmas. Premio aplico. Medalla de oro dé.uña onza, a D. Frap. cisco Rivejles, mstpraí de .Valencia,.,de 22 añps. Grabado,de\pi^aílad vPr</t>
  </si>
  <si>
    <t>ento de infantería de la Reyna .se ha servido el Rey conceder Tenencia al Subteniente de granaderos D. Agustín López. S. M. se ha servido conceder Subtenencia de bandera en; él Regimiento de infantería de las Ordenes Militares al Cadete de Reales Guardias de infantería Española D. Rafael de Córd</t>
  </si>
  <si>
    <t>López, Domingo</t>
  </si>
  <si>
    <t>Domingo López</t>
  </si>
  <si>
    <t>Id. id. Domingo López... Hijo de Fernando y de María Fernan­</t>
  </si>
  <si>
    <t>López, Francisco</t>
  </si>
  <si>
    <t>Francisco López</t>
  </si>
  <si>
    <t>iento de infantería de España , y primer Batallón de Voluntarios de Cataluña D. Antonio ChicherI, y D. Francisco López, y ai Cadete del de Ñapóles D. Miguel Allíer. También ha nombrado el Rey Teniente del Regimiento de caballería de la Reyna al Guardia de la Compañía Americana D. Josef Navarro. Po</t>
  </si>
  <si>
    <t>Id. id. Francisco López... Hijo de Francisco y de Juana Catalina,</t>
  </si>
  <si>
    <t>López, Francisco Antonio</t>
  </si>
  <si>
    <t>Francisco Antonio López</t>
  </si>
  <si>
    <t>do al Teniente D. Francisco Abalcal; y á Subteniente de bandera en el primero de Cataluña al Cadete D. Francisco Antonio López. ^ En los Regimientos de caballería de línea se ha servido el Rey conceder en el de Montesa Tenencia al Alférez D. Manuel Robirr: én el &lt;Je Santiago empleo de Alférez al Portaesta</t>
  </si>
  <si>
    <t>López, Gregorio</t>
  </si>
  <si>
    <t>Gregorio López</t>
  </si>
  <si>
    <t>para la nueva edición del Apocalipsi de S. Juan, explicado por el Veneran fcle Gregorio López, natural de Madrid: un tomo en 8.° mayor; y para las dos ediciones de la Biblia, en el mismo tamaño, en latín y castellano, y castellano solo, traducida por el limo. Sr. D. Felipe Seto: en</t>
  </si>
  <si>
    <t>a Profecía para la nueva edición del Apocalipsí de S. Juan, explicado por el V. Gregorio López, natural de Madrid :.un tomo en 8.° mayor: para las dos ediciones de la Biblia en el mismo tamaño en latín y castellano, y castellano solo, traducida por el limo. Sr. D. Felipe Scio, y par</t>
  </si>
  <si>
    <t>ujar; y para las Prestameras de Constanzana y S. Vicente , Diócesi de Avila, vacantes por muerte de D. Gregorio López, á quien se las confirió en 23 de Octubre de 1800, y no llegó á tomar posesión, á D. Vicente Hernández Vigil. Don Luis Proust, Catedrático de Química en esta Corte, dará principio</t>
  </si>
  <si>
    <t>Gregorio López..,,.. Hijo dé Diego , nat. de Vallo, PrincipadpT 2:2 12</t>
  </si>
  <si>
    <t>va edición; de este libro, traducido, con su explicación interlineal, por el V. Gregorio López, natural de Madrid: un tomo en 8.° Esta obra, que se creyó efecto de luz sobrenatural, por haber hecho el tratado mas grande de edificación de un libro muy difícil de entenderse, en la opi</t>
  </si>
  <si>
    <t>López, Henrique</t>
  </si>
  <si>
    <t>Henrique López</t>
  </si>
  <si>
    <t>Cabo i.°inv. Henrique López.. Hijo de Juan, natural de Baena, rey no</t>
  </si>
  <si>
    <t>López, Joaquín</t>
  </si>
  <si>
    <t>Joaquín López</t>
  </si>
  <si>
    <t>a villa de Guillena, en el Arzobispado de Sevilla, vacante por muerte de D. Diego Andrés Ramírez, á D. Joaquín López, Presbítero en aquella ciudad: para el de la villa de Tejada, en el mismo Arzobispado, vacante por no haber tenido efecto; el nombramiento que S. M. hizo en D. Estéban Querol, por</t>
  </si>
  <si>
    <t>López, Joaquín Isidoro</t>
  </si>
  <si>
    <t>Joaquín Isidoro López</t>
  </si>
  <si>
    <t>e Cuenca* vacante por promoción de D. Miguel de Agilitar á una Canongía de la Catedral de Zamora, á D. Joaquín Isidoro López. . . - &lt; , ;</t>
  </si>
  <si>
    <t>López, Juan</t>
  </si>
  <si>
    <t>Juan López</t>
  </si>
  <si>
    <t>e de granaderos, graduado de Capitán, D. Juan González: en el de la Reyna á Teniente al Subteniente D. Juan López;y en ei de León á Subteniente de bandera ai Sargento primero de granaderos D. Vicente Esquivel. El Rey se ha servido promover á Subtenientes de bandera en el Regimiento de infante</t>
  </si>
  <si>
    <t>la obra intitulada Recuerdos a la yid^á mortal desde la cuna al sepulcro &amp;c,; y una carta del Lie. D. Juan López á los Editores acerca</t>
  </si>
  <si>
    <t>López, Juan Nepomuceno</t>
  </si>
  <si>
    <t>Juan Nepomuceno López</t>
  </si>
  <si>
    <t>s olivos, 2 olivares, 13 aranzadas de tierras de pan y una casita. Quien quisiere comprarla acuda á Don Juan Nepomuceno López, residente en dicha villa. La villa de Tricio, en la Rioja, inmediata á la ciudad de Náxera, terreno el mas fértil de la provincia, ha.erigido un nuevo partido de Médico,con las v</t>
  </si>
  <si>
    <t>López, Manuel</t>
  </si>
  <si>
    <t>Manuel López</t>
  </si>
  <si>
    <t>erte y Querejazu , D. Luis Serrano , D. Juan Cuneros , D; josef María Verdugo , D. Ignacio Gamio, y D. Manuel López; y empleos de Alférez á D. f rancisco Horcasitas, D. Pedro Martínez Unamuzaga, Don' Pedro Cañedo, D. Manuel GonzálezÁramburu, D. Juan Manuel Lozano, D. Ventura del Castaño, D. Mar</t>
  </si>
  <si>
    <t>López, Tomás Bernardo</t>
  </si>
  <si>
    <t>Tomás Bernardo López</t>
  </si>
  <si>
    <t>. Francisco Borja Almera y Algumola, D. Francisco del Castillo y Melgar, Don Fernando de Contreras, D. Tomas Bernardo López, y D. Hipólito Martin Sánchez. # S. M. se ha servido promover á Subtenientes de bandera en los Regimientos de infantería de Saboya y de Córdoba á los Sargentos primeros D. Sebasti</t>
  </si>
  <si>
    <t>Lopuchin y de Mr, Príncipe</t>
  </si>
  <si>
    <t>Príncipe Lopuchin y de Mr</t>
  </si>
  <si>
    <t>ncargada de lar redacción del código de leyes, compuesta señaladamente del Ministro- de la Justicia Príncipe Lopuchin y de Mr. Vcvoltzoff, presentó á S. ML L, y ha comenzado ya á publicar el nuevo código en quatro idiomas; át saber, en- Ruso, Francés, Inglés y Alemán. Son'muchos* volúmenes, y sur publica</t>
  </si>
  <si>
    <t>Lord, Almirante</t>
  </si>
  <si>
    <t>Almirante Lord</t>
  </si>
  <si>
    <t>ancia. ^ ; Disposición actual de-las esquadras del Oeste: 21 navios de línea á la altura dé Brest?, Almirante Lord, Gardner: 5 en la co^ta de Irlanda, Almi-, rante Drury : 7 delante de Rochefort, Almirante Graves : 9 delante del Ferrol, Almirante Calder; y 9 delante de Cádiz, Almirante Colling</t>
  </si>
  <si>
    <t>Lorieri, Felipe</t>
  </si>
  <si>
    <t>Felipe Lorieri</t>
  </si>
  <si>
    <t>o el Rey á Subrigadier al Cadete Garzón D. Pedro Termens; á Cadetes de número á los Supernumerarios D. Felipe Lorieri y D. Francisco Puerta, y á Supernumerario ai Guardia D. Josef de la Cueva. S. M. se ha servido conferir la Comandancia del tercer batallón del Regimiento de infantería de la Princesa</t>
  </si>
  <si>
    <t>Loriga, Domingo Antonio</t>
  </si>
  <si>
    <t>Domingo Antonio Loriga</t>
  </si>
  <si>
    <t>uez y D. Josef Jalón; y á Tenientes á los Subtenientes D. Luis Mazuelo, D. Antonio Ortiz de Zarate, D. Domingo Antonio Loriga, D. Joaquín Montenegro, D. Miguel Panes, D. Ramón Cucalón, D. Joaquín de Miguel, D. Cristóbal de Reyna, D. Ramón Tovar y D. Joaquín Crame. El Emo. Sr. D. Luis de Borbon , Cardenal</t>
  </si>
  <si>
    <t>Losa, Andrés</t>
  </si>
  <si>
    <t>Andrés Losa</t>
  </si>
  <si>
    <t>ncia de granaderos á D. Juan de Dios Tapia; y de fusileros á D. Josef Meneses, D. Mariano Hinojosa, D. Andrés Losa, D. Manuel Calderón, D. Estéban Carvajal, D. Francisco Calderón, D. Domingo del Castillo y D. MarianoGab do; y de bandera á D. Eladio de la Riba y D. Bernardo Portugal. El Rey se</t>
  </si>
  <si>
    <t>Losada Pardo de Figueroa, Francisco Xavier</t>
  </si>
  <si>
    <t>Francisco Xavier Losada Pardo de Figueroa</t>
  </si>
  <si>
    <t>sáreo Escovar: á Capitanes de fusileros en los de Santiago yGuadix al Capitán, agregado al primero, D. Francisco Xavier Losada Pardo de Figueroa, y al Teniente del segundo D. Josef Castillo: á Teniente de granaderos en el de Ecija al de fusileros D. Cayetano Diaz del Castillo: á Tenientes de fusileros en los de Lorca, Mont</t>
  </si>
  <si>
    <t>Rey ha nombrado Coroneles de los Regimientos de Milicias Provinciales de Compostela y Ciudad-Real á D. Francisco Xavier Losada Pardo de Figueroa, Capitán del de Santiago; y á D. Angel Ximenez Pedrero, Capitán de granaderos del de Alcázar de S. Juan. En los Regimientos de. Milicias Provinciales ha conferido el Rey empleo de</t>
  </si>
  <si>
    <t>Losada, Julián</t>
  </si>
  <si>
    <t>Julián Losada</t>
  </si>
  <si>
    <t>n Francisco de Paula Tablada; y en el de Voluntarios de Estado á los Cadetes D; Juan Luq y Tarifa y D. Julián Losada. El Rey se ha servido conceder en el Regimiento de infantería de Voluntarios de Castilla Subtenencia de bandera al Cadete D. Narciso Doyle. Igualmente ha conferido el Rey Subtenen</t>
  </si>
  <si>
    <t>Lovernarn</t>
  </si>
  <si>
    <t>DINAMARCA. Copenhague g de Setiembre. Según las noticias dadas por el Comendador y Ayudante genera! Mr. Lovernarn, ha mandado el Rey, para que se dirijan los que naveguen en el Báltico, establecer en Cristiansoe una linterna de reverbero. Siendo la principal navegación del Báltico delante de</t>
  </si>
  <si>
    <t>Lozano, Joaquín María</t>
  </si>
  <si>
    <t>Joaquín María Lozano</t>
  </si>
  <si>
    <t>er en el Regimiento de infantería de "Voluntarios de Castilla Tenencia al Subteniente de granaderos D. Joaquín María Lozano; y en el de Ñapóles Subtenencia de bandera al Sargento primero de granaderos D. Agustín Ripoll. S. M. ha nombrado Subteniente dél Real Cuerpo de Ingenieros del Exército áD. Matías</t>
  </si>
  <si>
    <t>Lozano, Juan</t>
  </si>
  <si>
    <t>Juan Lozano</t>
  </si>
  <si>
    <t>evino. Sr. D. Manuel Felipe Mirallas, Obispo de Cartagena, predicaron el Dr. D. Juan Lozano, Canónigo de la Santa Iglesia de Cartagena, y el Lie. D. Francisco Gómez de la Torre, Prebendado de la misma, dignas del mayor aprecio, por formar debidamente el elogio de un Prelado, cuyo</t>
  </si>
  <si>
    <t>Lozano, Juan Manuel</t>
  </si>
  <si>
    <t>Juan Manuel Lozano</t>
  </si>
  <si>
    <t>f rancisco Horcasitas, D. Pedro Martínez Unamuzaga, Don' Pedro Cañedo, D. Manuel GonzálezÁramburu, D. Juan Manuel Lozano, D. Ventura del Castaño, D. Mariano Cruceta, D..SantiagoRizo, D. Eugenio Ibarrcia, D. Josef Osorio, y-'D. Martin Arambunn En el de los Valles de Acari y Chala Ayudantía ai Tenient</t>
  </si>
  <si>
    <t>Lozano, Pablo</t>
  </si>
  <si>
    <t>Pablo Lozano</t>
  </si>
  <si>
    <t>traducidos y explicados de orden superior,’ y dé'acuerdo de la Real Acá* demia de S. Fernando, por D. Pablo Lozano, Bibliotecario de S. M., y Académico de honor de la misma. En la segunda parte, que es la que contiene letreros ¿ inscripciones árabes en caractéres muy singulares, ya cúficos, ya</t>
  </si>
  <si>
    <t>Ltordella, Ramón</t>
  </si>
  <si>
    <t>Ramón Ltordella</t>
  </si>
  <si>
    <t>Gómez. En Badajoz.......... . D. Francisco Fernandez de la Peña y de S. Miguel. En Barcelona....... D. Ramón Ltordella é hijo. En Biírgos.............D. Andrés Frayle. En Cádiz................ D. Benito de la Piedra. En Cartagena........D. Bernardo Elizalde. En Ciudad-Real... D. Ramón Antonio Pico</t>
  </si>
  <si>
    <t>Lucense Rodrigo, Obispo</t>
  </si>
  <si>
    <t>Obispo Lucense Rodrigo</t>
  </si>
  <si>
    <t>ue persuaden haber sido aquellos mas antiguos en la Diócesis de Lugo, y noticia del pontificado del Obispo Lucense Rodrigo 1 en el siglo &gt;:n, y no en el ix, por D. Joaqíuii Antonio, del Camino. Y tercero, imougnacion al papel que con título de Munda y Cértinta celtibéricas dió á luz el R. P. M. Fr. Ma</t>
  </si>
  <si>
    <t>Lucio, Bernardo Antonio</t>
  </si>
  <si>
    <t>Bernardo Antonio Lucio</t>
  </si>
  <si>
    <t>or promoción de Don Pedro Nieto á la Dignidad de Capellán mayor, de Coro de la Iglesia de Toledo, á D. Bernardo Antonio Lucio, Cura de la Parroquia de Renera en este Arzobispado; y para el Beneficio de la Parroquia de S. Nicolás de Almazan de la ciudad de Huete, Diócesis de Cuenca , vacante por fallecíst</t>
  </si>
  <si>
    <t>Ludovico Jacinto Quartery</t>
  </si>
  <si>
    <t>r: Teniente y Subteniente de granaderos en el vacante de Courten á los de fusileros D. Josef Yost y,D. Ludovico Jacinto Quartery^ y Capitán ségundo en ei de Traxler al Teniente de granaderos í). Josef Roten fflue. ^ En el Regimiento de dragones de la Reyna se ha servido S. M. conce-. der empleo de Alférez a</t>
  </si>
  <si>
    <t>Lúeas de Ostria</t>
  </si>
  <si>
    <t>el Perú, y dos hermanas llamadas Dona Agustina y Doña María de las Carreras, casadas lá primera con D Lúeas de Ostria y la segunda con Don Francisco de Uriosté, vecinos ambos del dicho lugar de Nocedal. Lo que se anuncia al público, á fin de que los que efectivamente resulten herederos del dicho Don F</t>
  </si>
  <si>
    <t>Lúeas Hiscio Fernández</t>
  </si>
  <si>
    <t>s y Navarrete: para la de Oidor supernumerario de la misma Audiencia de Sevilla, que este obtenia,á D. Lúeas Hiscio Fernandez, Alcalde del Granen de la de Galicia; y para esta re.suW ta á D. Manuel Lafignera. Asimismo ha venido S. M. en nombrar para la plaza de Jaez Civil de la ciudad de Cádiz, vacante p</t>
  </si>
  <si>
    <t>Luengo y Alderete, Matías</t>
  </si>
  <si>
    <t>Matías Luengo y Alderete</t>
  </si>
  <si>
    <t>po. . Eh Jos esquadrpnés de línea de la Real Brigada de Carabineros ha promovido S. M. á Teniente á D. Matías Luengo y Alderete, Alférez del mismo Cuerpo. ^ JSn\América* Por promoción de D. Diego Josef Sedaño, Asesor de la Intendencia de Exército de la isla de Cuba, á la plaza de Fiscal de lo civil dé la R</t>
  </si>
  <si>
    <t>Luis, Archiduque</t>
  </si>
  <si>
    <t>Archiduque Luis</t>
  </si>
  <si>
    <t>á sus operaciones la Junta encargada de arreglar las fronteras militares, presidida por S. A. R. el Archiduque Luis. En los Colegios Católicos de Hungría y de Austria se ha establecido una nueva clase de Inspectores con el nombre de Eu/kilr.tato1'es. Estan .carcados J parde.larmente J de vigila</t>
  </si>
  <si>
    <t>Luis, Príncipe</t>
  </si>
  <si>
    <t>Príncipe Luis</t>
  </si>
  <si>
    <t>ndrá la gloria mas sólida de su reynado. l S. A. S. el Príncipe Electoral Carlos de Badén, S. A. el Príncipe Luis, Margrave de Badén, y el Barón de KenobeisdoríF, Ministro plenipotenciario del ftey de Prusia cerca de la Sublime Puerta, cazáron con el Emperador el 17 de este mes. El pintor Dav</t>
  </si>
  <si>
    <t>re de 180.) y de Napoleón Luis, en 19 Vendimia-, rio f del año 13 (11 de Octubre de 1804) hijos del Príncipe Luis, nuestro hermano, y convidamos al Senado á que mande, conforme á las constituciones , sentar dichos actos en sus regí:tros, y depositarlos en sus archivos. Heredarán estos Príncip</t>
  </si>
  <si>
    <t>umbran hacer á estos Príncipes de la Iglesia Romana. n ;¿La indisposición que padece en su salud el Príncipe Luis le,ha impedido visitará S. S. y i los Cardenales, como ha hecho.su hermano^ lo que Va Manifestado á uno y á otros en sus cartas. • , :: El Papa ha salido hoy de esta capital para</t>
  </si>
  <si>
    <t>mperador ha nombrado Gobernador general de los Departamentos Franceses de los Alpes á su hermano el Príncipe Luis, y al General de división Menou, Comandante general de los mismos departamentos. Por un decreto Imperial, dado en Milán el 17 del corriente, se mandan formar 25 compañías de artil</t>
  </si>
  <si>
    <t>istro de Jo Interior. . . ■ . - París £-de julio. ,- ’ . . Antes; de ayer salid de esta'capital .el Príncipe Luis para. las aguas de. St-A:mand cerca de Lila. Anteriormente habían marchado sus equipages para el Norte, adonde S. A. I. mandará un exercito. S. M. I. ha hecho librar una suma de 3</t>
  </si>
  <si>
    <t>rcer estatuto constitucional del Reyno de Italia nombramiento de Gobernador general de los Alpes al Príncipe Luis; y la continuación del título 3 del libro iii del Código civil. De España: la Real Cédula, en que S. M. habilita ú los poseedores vinculistas para comprar las fincas que quisiesen</t>
  </si>
  <si>
    <t>rimero se asegura que está nombrado Gobernador general de la 28 división militar 5 como S. A. I. el Príncipe Luis lo es de la 27. El segundo está encargado de la organización judicial del Reyno de Italia, y de poner el código Napoleón en armonía con las leyes y las costumbres de los pueblos d</t>
  </si>
  <si>
    <t>í el dia i.° á las 3 de la tarde, y llegó a Ettlingen á las 8 de la noche. El Elector de Badén , el Príncipe Luis, el Príncipe Federico , hijo de S. A. S. E. , y el Príncipe Electoral su nieto, se. hallaban en el mismo pueblo para cumplimentar al Emperador, á quien maV nifestáron su gratitud</t>
  </si>
  <si>
    <t>oría absoluta de votos los Senadores Lacepede ,Clement-de-Ris y Frangís de Neufchateau, S. A. I. el Príncipe Luis, y S. A. S. el Príncipe Archi-Canciller del Imperio----- La comisión se retira para extender la minuta de la arenga á S. M. I. y R----- El proyecto de que da cuenta Mr. Lacepede s</t>
  </si>
  <si>
    <t>Luís, Príncipe</t>
  </si>
  <si>
    <t>Príncipe Luís</t>
  </si>
  <si>
    <t>lOCf príncipe Josef, él Príncipe Luís y el Príncipe Archi-Canciller, acompañados de una lucida comitiva, y fuéron recibidos á la entrada de la Catedral por el Cardenal Arzobispo de París á la cabeza de su clero, r Mr. de</t>
  </si>
  <si>
    <t>l 7 del corriente lle^on £ esta ciudad el Elector y la Electriz de Badén, ei Príncipe heredero f el Príncipe Luis. El 8 se presentaron á la Emperatriz. Después de ef^a vlisíta, los Gentilesbombres y demás personages que forman la Corte lucipe-ifial, fueron á cumplimentar á SS. AA, EE. El 9 co</t>
  </si>
  <si>
    <t>do per S. A. I. el Príncipe Josef, Gran Electo?, y asistiendo á esta sesión S. A. I. el Condestable Príncipe Luis, y S. A. S. el Señor Archi— Canciller del Imperio, y estando presentes los Ministros; nos ha encargadoque presentemos á V. M. I. y R. el homenage de su alta admiración, de su vivo</t>
  </si>
  <si>
    <t>s que hay en el territorio de esta República. El Emperador ha confiado el mando de este exército al Príncipe Luis su hermano, Condestable de Francia. FRANCIA. Strasburgo 28 de Noviembre. Esta mañana salió de esta ciudad S. M. la Emperatriz para Carlsruhe, de donde partirá por Stuttgardt yAugs</t>
  </si>
  <si>
    <t>ÍIIJ Parts _p de Diciembre. El Príncipe Luis llegó á Lila el 3 de este mes, y salió para Amberes pocas horas después. Dia ro. Aviso recibido por el telégrafo en Strasburgo.=El Emperador ha batido los Rusos cerca de Oimutz: l</t>
  </si>
  <si>
    <t>Luisa Polo de Aguila</t>
  </si>
  <si>
    <t>viuda de D. Patricio Yangíie, 200 pesos fuertes poco mas ó menos: á D. Pedro de Robles 500 pesos: á Doña Luisa Polo de Aguila 300: al Marques de Santacos, vecino de la villa de Mompós, 150 pesos, procedentes de un pagaré, que ignoraba si estaba satisfecho; y á un Eclesiástico llamado el Doctor Nuñez, vec</t>
  </si>
  <si>
    <t>Luisa, Princesa</t>
  </si>
  <si>
    <t>Princesa Luisa</t>
  </si>
  <si>
    <t>viven de Federico el Grande, celebrará el 27 del mes próximo el aniversario de su matrimonio con la Princesa Luisa, Margrave de Brandemburgo-Schwelt, que se efectuó el 27 de Setiembre de 1755. Con tan plausible motivo habrá en la Corte una función magnífica. Se ha esparcido generalmente la voz</t>
  </si>
  <si>
    <t>Lunawfde Lu-r, Capitán</t>
  </si>
  <si>
    <t>Capitán Lunawfde Lu-r</t>
  </si>
  <si>
    <t>l ha durado 8 dias, y han naufragado mas de .37 embarcaciones» Han perecido 1200 soldados Rusos; el Capitán Lunawfde Lu-r beck, ha perecido con todo su equipage. y 11 pasaderos, entre los quales se hallaban dos Generales. Rusos. Su embarcación iba ricamente cargada&gt; de dinero. . El Embaxador de. Aust</t>
  </si>
  <si>
    <t>Luosi</t>
  </si>
  <si>
    <t>4 de Julio, En execucion de las órdenes del Emperador y Rey, el Gran Juez, Ministro dé la Justicia, Mr. Luosi, ha formado tres comisiones: la primera para la composición de ün proyecto dé código penal j y sobre el modo de instruir los procesos criminales, según previene el tercer estatuto</t>
  </si>
  <si>
    <t>Luque, Juan Antonio</t>
  </si>
  <si>
    <t>Juan Antonio Luque</t>
  </si>
  <si>
    <t>Com. i.° id. Juan Antonio Lu- 7 Hijo de Lorenzo y de Juana Miralles,</t>
  </si>
  <si>
    <t>Lutken, Almirante</t>
  </si>
  <si>
    <t>Almirante Lutken</t>
  </si>
  <si>
    <t>nte. Ayer salió del puerto la esquadra de evolución, compuesta de 10 embarcaciones, y hoy el Contra-Almirante Lutken ha enarbolado su pabellón á bordo de la fragata Frederiksteen. Mañana ó el otro dará la vela esta esquadra para el Báltico. Se asegura que andan cruzando en el Cattegat dos corsar</t>
  </si>
  <si>
    <t>Lyre, Capitán</t>
  </si>
  <si>
    <t>Capitán Lyre</t>
  </si>
  <si>
    <t>inmediatamente á Ramsgate, adonde lleg&lt;* por la noche. Uno de los transportes nombrado el NeUon, su Capitán Lyre, encalló en el puerto. A la una de la noche los batallones y t.° de la Legión Alemana, recibieron orden de embarcarse : cada batallón consta de 700-hombres. El segundo, aquartelad</t>
  </si>
  <si>
    <t>Ma, Príncipe</t>
  </si>
  <si>
    <t>Príncipe Ma</t>
  </si>
  <si>
    <t>a Santa, y continuarán luego su camino. - ¡ ; A principios de la semana última pasáron por Nancy el Príncipe Ma-^ XÍmiliano de Latour y Taxis, y ei Embajador Francés cerca del Elector de Saltzburgo, con destino á esta capital. Según la relación que hizo Mr. Lavoisier á la junta de impuestos</t>
  </si>
  <si>
    <t>Mabillard, Antonio</t>
  </si>
  <si>
    <t>Antonio Mabillard</t>
  </si>
  <si>
    <t>udante al Teniente D. Francisco Peyer: en el ele Reding á Capitán segundo al Teniente de granaderos D. Antonio Mabillard. En el Real Cuerpo de Artillería se ha servid© S. M* nombrar Ayudante mayor del quinto Regimiento al Capitán segundo del quarto Don Joaquín Velarde; y Capitán segundo del quinto a</t>
  </si>
  <si>
    <t>Macario Higuera</t>
  </si>
  <si>
    <t>os D. Alonso González; y Tenen-r cia en el segundo batallón de Voluntarios de Aragón al Subteniente Don Macario Higuera., El Rey se ha servido conceder en el Regimiento de infantería de Málaga Tenencia ^LSubteniente D. Manuel Teresa Vázquez ; y Subtenencia de bandeflreffeel de Granada al Cadete: D.</t>
  </si>
  <si>
    <t>Machado, Juan</t>
  </si>
  <si>
    <t>Juan Machado</t>
  </si>
  <si>
    <t>as, que mereció los elogios de los circunstantes, y en seguida se procedió ai examen del sordo-mudo D. Juan Machado , den años de edad, discípulo del Capitán de infantería D. Juan de Dios Lofras y Bazan, Maestro-Director de este establecimiento; y habiendo satisfecho con la mayor prontitud y ac</t>
  </si>
  <si>
    <t>Macía de Lleopart, Ramón</t>
  </si>
  <si>
    <t>Ramón Macía de Lleopart</t>
  </si>
  <si>
    <t>Corregidor. Igualmente ha nombrado S. M. para la Vara de Alcalde mayor de la ciudad de Valladolid á D. Ramón Macía de Lleopart: para la de la de Antequera á D.Juan Antonio Martínez Azpeytía ; y para el Corregimiento de la villa de Illescas, que este obtenía, á D. Ramón Quintero Gómez. S. M. se ha servido</t>
  </si>
  <si>
    <t>Macias, Francisco</t>
  </si>
  <si>
    <t>Francisco Macias</t>
  </si>
  <si>
    <t>antería de la Havana se ha servido S. M. promover á Teniente veterano de granaderos al de fusileros D. Francisco Macias; y á esta resulta á D. Francisco Garzón, Sargento primero veterano del mismo Cuerpo: en el Batallón de milicias disciplinadas de Cuba y Bayamo á Teniente de granaderos al de fusil</t>
  </si>
  <si>
    <t>Mack</t>
  </si>
  <si>
    <t>avios, colonias, comercio es lo que quiero , y esto os es tan ventajoso como á nosotros.” Respondió Mr. Mack que el Emperador de Alemania no habla, querido la guerra; pero que la Rusia le había forzado á ella. ,,En este caso, replicó el Emperador, ¿ya no sois pues una Potencia?” La mayor</t>
  </si>
  <si>
    <t>Mack y de Mr, General</t>
  </si>
  <si>
    <t>General Mack y de Mr</t>
  </si>
  <si>
    <t>y se asegura que el Archiduque Carlos estaba á punto de partir de Viena para Italia acompañado del General Mack y de Mr. de Eassbender. GRAN BRETAÑA. ¡Londres rrx de lidio. Extracto de ¿a Gazeta the Star. Copia de la carta escrita por el Doctor Caírne, Cirujano á bordo del navio Princesa Real de la</t>
  </si>
  <si>
    <t>Mack, General</t>
  </si>
  <si>
    <t>General Mack</t>
  </si>
  <si>
    <t>. Dinamarquesa va á fundar una escuela para enseñanza de los sordo-mudos. Francfort 11 de Enero* £1 General Mack ha sido nombrado Comandante en gefe de todas las tropasAustriacas, que han de formar el cordon en la Istria,Dalmacia, el Ducado de Venecia, ei Tirol &amp;c. £1 Emperador de Alemania h</t>
  </si>
  <si>
    <t>ército, la composición de los trenes de artillería, y atribuían á motivos particulares el viage del General Mack y de otros Generales, á quienes la Corte de Viená había encargado la inspección ordinaria de las tropas. Proponiéndose el Emperador de los Franceses aprovecharse de la estación favorab</t>
  </si>
  <si>
    <t>. Con este mes habrá principiado la nueva organización militar del Austria, que ha hecho adoptar el General Mack, con arreglo á las intenciones del Archiduque Cárlos. Consiste principalmente en haberse mudado algunas evoluciones del exercito, y en la nueva planta de los Regimientos, las qual</t>
  </si>
  <si>
    <t>ones de húsares .de Blankenstein. Dase por seguro que el Archiduque Juan, baxo cuyas órdenes irá ei General Mack, ha de tener el mando del exércíto del Tirol. Ya están en marcha las tropas destinadas para el campamento de .Bad</t>
  </si>
  <si>
    <t>, y se dice que se forman tres exércitos Austríacos, uno de los quales lo mandará el Emperador y el General Mack , el segundo el Archiduque Juan y el General Lindenan, y el tercero el Archiduque Carlos y el General Schwidt. París 12 Setiembre* •Mr. Bacher , Encargado !de Negocios dé S. M. en</t>
  </si>
  <si>
    <t>ando de su exército de Alemania, reunido en el campo de Viena, y mandado durante su.ausencia por el General Mack. ' '* Friburgo, en Brisgaav, 16 de Setiembre. El 7 del corriente han pasado el Inn por Burghaussen los Austríacos. Una coluna tomó el camino de Muihdorn, y se ha dirigido hacia La</t>
  </si>
  <si>
    <t>gg8 El General Mack está desde el iS del corriente en Suabia para arreglar las posiciones del exército Austríaco: ha estado en Munich, en Augsburgo, en Ultn y en Memmingen, donde se hallaba á la salida</t>
  </si>
  <si>
    <t>S. A. S. E. cerca de las Cortes de Viena y de Saltzburgo, y S. A. I. y R. el Príncipe Fernando y el General Mack: 6.° las resultas de las negociaciones continuadas en Wurtzburgo por el Barón de Buol-Schauenstein, Ministro de Austria, con el Ministro Electoral, en lasquales el primero pedia a</t>
  </si>
  <si>
    <t>tomar ninguna resolución, para apoderarse de sus tropas, y quizás de su persona. ,, Sin embargo, el General Mack declaró sobre esto á un Oficial Bávaro que se le habia enviado, que en atención á las seguridades dadas al Príncipe de Schwarzemberg, habia retardado la marcha forzada de la división</t>
  </si>
  <si>
    <t>pidiendo nuevas instrucciones. El Teniente Coronel de Ribaupierre adoptaba esta propuesta; pero el General Mack insistió en que solo se detuviesen las colanas Bávaras, mientras que el grueso de su exército continuaba su marcha. En vista de esto el Oficial Bávaro se retiró, y se rompieron la</t>
  </si>
  <si>
    <t>o le queda poca gente. ^ v ^ r , Hoy á las 2 de la tarde el Emperador ha concedido una audiencia al General Mack; al salir de esta audiencia el Mariscal Berthier ha firmado con el General Mack una adición á la capitulación, que estipula que la guarnición de Ulma saldrá mañana 20. Hay en Ulma</t>
  </si>
  <si>
    <t>na probabilidad ,de que llegue socorro á Ulma. • ... \. : ■/ ;EL Teniente General, Quartel Maestre .General Mack, dando crédito á las susodichas declaraciones, está pronto á evacuar en el dia de mañana la ciudad» de Ulma con las/ condiciones siguientes: , Qu,e el exército del Mariscal Ney, c</t>
  </si>
  <si>
    <t>ia, y la mayor parte del exéícito Ruso dicen que desembarcará en el Reyno de Ñapóles. ' ■ '. • ; El General Mack lia sacado 30© .hombres- del Tiro! para que .marchen la mayor parte hacia las orillas def lago de Constanza. En virtud de esta orden van caminando á su nuevo destino los cuerpos d</t>
  </si>
  <si>
    <t>re á su hermano Encargado de Negocios en la Corte de Viena, y Capitán del Estado mayor de S. A., al General Mack, qué estaba en Munich: llevaba una carta en la qual se invocaba la neutralidad mas perfecta, y se ofrecía fixar una línea que siguiesen las tropas Austríacas durante su marcha, y</t>
  </si>
  <si>
    <t>ue debía limitarse á dar órdenes en el pais que ocupaba, sino que también las dirigió en nombre del General Mack, con fecha de 16 y 17 de Setiembre, al Presidente de la administración de Amberg.__ Se le oraenó se enviasen semanalmente á la caxa del exército las rentas de diferente especie qu</t>
  </si>
  <si>
    <t>muchos prisioneros. Sirvió en la guerra última en el exército Austríaco , y se distinguió en él. El General Mack pasó en posta por la Baviera para ir á Viena, y habiendo encontrado al General Wreden en los puestos avanzados cerca deL Inn, tuviéron una larga conversación sobre el modo como lo</t>
  </si>
  <si>
    <t>s ha llegado por fin S. A. sano y salvo á Egra, en Bohemia. Parece que se queja ae la terquedad del General Mack en mantenerse en la plaza de Ulma, que no podia resistir ; aunque desde la penúltima guerra se ha creído por \Tarios Generales Austríacos de gran reputación (quienes, en su sentir,</t>
  </si>
  <si>
    <t>ueron rechazados sus ataques con valor, y desconcertada su ala derecha por el cuerpo que conduxo el General Mack de la izquierda de nuestro exército. El enemigo se vio forzado á- retiraré con; desorden-hacia el Danubio abaxo , dexando unos 1500 muertos en el campo de batalla. Piemos hecho de 800 á</t>
  </si>
  <si>
    <t>públicos , es lo que se lee en el Morning Chronicle en un largo artículo que extractaremos. ; „ El General Mack ha capitulado con go&amp; hombres, las reliquias de su exército, De este exército no se ha salvado mas que un cuerpo que ha pasado el Danubio para escaparse por Franconia. Podrá mirar</t>
  </si>
  <si>
    <t>epeler los riesgos que ha provocado: por la segunda vez concurre á la subversión del Continente. El General Mack, dos veces hecho prisionero ál frente dé su exército , no presenta un exemplo mas admirable del influxo de su mala estrella, que el que presenta el mismo Pitt. La fatal maña con q</t>
  </si>
  <si>
    <t>Mack, Teniente General</t>
  </si>
  <si>
    <t>Teniente General Mack</t>
  </si>
  <si>
    <t>.— Hecho poT duplicado en Elchingen fá 19 de Octubre de 7:805.. Firmado, el Mariscal Berthier. = El Teniente General Mack. , Senado Conservador. Extracto de los registros del Senado Conservador del juéves 24 de Oc^ tubre. . . -.-3 :. ■ — Á la una del dia se han reunido los miembros del Senado en virt</t>
  </si>
  <si>
    <t>Madge, Capitán</t>
  </si>
  <si>
    <t>Capitán Madge</t>
  </si>
  <si>
    <t>destronar al Rey de Candy: y tomó varias fortalezas, que proveyó con víveres y armas. Informado el Capitán Madge de lo que pasaba,reunió sus tropas,pasó las fronteras, y acometió inopinadamente al enemigo, el qual después de una corta resistencia, se vio precisado á retirarse. Los Ingleses cont</t>
  </si>
  <si>
    <t>Maestre, Juan María</t>
  </si>
  <si>
    <t>Juan María Maestre</t>
  </si>
  <si>
    <t>dráticos D. Sebastian Morera y D. Juan, de Acosta, en los que fuéron examinados D. Josef Gutiérrez, D. Juan María Maestre y D011 Manuel Sotelo, D. Vicente Martínez Gómez y el Dr. D. Francisco Velazquez, los tres primeros en los ramos de aritmética, álgebra, geometría y trigonometría, y los dos segundos e</t>
  </si>
  <si>
    <t>Maestro Lumbreras, Manuel</t>
  </si>
  <si>
    <t>Manuel Maestro Lumbreras</t>
  </si>
  <si>
    <t>lo de la misma ciudad: para una Capellanía de número y coro de Toledo, vacante por fallecimiento de D. Manuel Maestro Lumbreras , á D. Antonio Encinas; y para el Beneficio simple servidero de la Parroquial de Santiago de Villena, en la Diócesis de Cartagena , vacante por fallecimiento de D. Joaquín Cebrian</t>
  </si>
  <si>
    <t>Magín Novell</t>
  </si>
  <si>
    <t>» 66. 12. Magín Novell..... . Esteban. .. Magdalena Soler, , Barcelona, , Idem, , , , 66. 12. Pablo Serdá. ....... Otro...........Rosa,</t>
  </si>
  <si>
    <t>Magon, Almirante</t>
  </si>
  <si>
    <t>Almirante Magon</t>
  </si>
  <si>
    <t>RAN BRETAÑA. Londres 2,3 de Noviembre. El célebre corsario Francés de Dunkerque, nombrado el Contra-Almirante Magon, mandado por el Capitán Blakman, ha sido apresado por la corbeta de S. M. the Crazier, y ha entrado en Yarmouth. Se han recibido ayer noticias en esta capital de haberse celebrado</t>
  </si>
  <si>
    <t>Magón, Almirante</t>
  </si>
  <si>
    <t>Almirante Magón</t>
  </si>
  <si>
    <t>io. JLa noticia que se^ publicó de que la división de qúatró navios de linea, mandada por el Contra-Almirante Magón, se había hecho á la vela de la rada de la isla de Aix el i.° de Abril, está equivocada en un mes, pues salió el i.° de Mayo. Escriben de Rochefort el 24 del Corriente: ,, La esqu</t>
  </si>
  <si>
    <t>Mague, Duque</t>
  </si>
  <si>
    <t>Duque Mague</t>
  </si>
  <si>
    <t>nos, y al uso de la Rusia el EmperadorÁlexandro ciño por primera vez la espada á su hermano el Gran Duque Mague!El 12 paso revista el Emperador á los Cosacos del Don, que han recibido una nueva forma militar, en cuya ocasión les dio nuevas banderas.</t>
  </si>
  <si>
    <t>Maillardoz</t>
  </si>
  <si>
    <t>le de S. Martin unas 40© pesetas. El 27 dél corriente han tenido audiencia particular del Emperador Mr. Maillardoz, Enviado extraordinario de la Confederación de la Suiza, y el Senador Schulte, Enviado de la ciudad de Hamburgo; el pri</t>
  </si>
  <si>
    <t>Maitland, Coronel</t>
  </si>
  <si>
    <t>Coronel Maitland</t>
  </si>
  <si>
    <t>entales son de fecha del mes de Febrero: no contienen cosa de importancia. Holkar, acometido por el Coronel Maitland en Burtpore, -habia- abandonado aquella plaza. Según las cartas del Continente parece que lps preparativos de la invadió# sU/; continúan con, grande actividad, y que pronto- saldrá</t>
  </si>
  <si>
    <t>Maitland, General</t>
  </si>
  <si>
    <t>General Maitland</t>
  </si>
  <si>
    <t>mbres de desembarco. Escriben de la Dominica que el General -Prevost espera otra segunda visita. El General Maitland ha ido á tomar posesión del Gobierno de ía Granada. Estamos prontos á recibir al enemigo si se presenta; ayer se distribuyeron racionéis para 25© hombres entre blancos y mulatos.</t>
  </si>
  <si>
    <t>Maldonado, Manuel Maríá</t>
  </si>
  <si>
    <t>Manuel Maríá Maldonado</t>
  </si>
  <si>
    <t>y en la cosmografía. Fuérotr los más Sobresalientes el pensionista Marques de Casáres, y el externo D. Manuel Maríá Maldonado. Así estos como los demas que desempeñaron loablemente suS deberes, fueron premiados por mano y á expensas dél Caballero Presidente con libros preciosos, y estampasteis alusivas á</t>
  </si>
  <si>
    <t>Mamerto Vázquez</t>
  </si>
  <si>
    <t>nio* Claros, D. Alexo Fariñas, D. Santiago de Alboniga y‘Romero , Di Antonio María Vitoria Hernaez, D. Mamerto Vázquez, D. Antonio Castro; D.' Crisanto Viguera y D. Santiago García. Respondiéron tan acertadamente y tan á satisfacción del concurso literato, que los repetidos vivas y aclamaciones‘qu</t>
  </si>
  <si>
    <t>Mamés de Epalza, Antonio</t>
  </si>
  <si>
    <t>Antonio Mamés de Epalza</t>
  </si>
  <si>
    <t>de Orduña. Los pretendientes dirigirán sus memoriales, con Jas respectivas relaciones de méritos, á D. Antonio Mamés de Epalza ¿ Iruegas, Regidor Decano del mismo valle, y comisionado por su Ayuntamiento, para el dia 14 de Julio próximo, que se señala por último y perentorio término. El Cirujano-Médico se</t>
  </si>
  <si>
    <t>Máñdel Carrera y Rógliani</t>
  </si>
  <si>
    <t>a de Montalbahejo, en la-Diócesi dé Cuenca, vacante por fallecimiento de D.Tomas Elvira Serrano , á D. Máñdel Carrera y Rógliani: para el Beneficio simple ser-J videro de las Parroquiales de la villa de Santistéban, en la de Jaén, vacante por muerte de D.Aléxo ,Ramírez de Arellano, á D. Juan García Perez: p</t>
  </si>
  <si>
    <t>Manesty</t>
  </si>
  <si>
    <t>on expresamente asesinar á su Embaxador Hadgi Ca— lii, por lo qual ha recibido con mucha frialdad á Mr. Manesty, Enviado á Ispahan de parte del Gobierno de Bengala. A su regreso no se atrevió á transitar por él camino de Bouchir,; tomó el de Amadan, y de aquí se fué por Bagdad á Bassora. Si</t>
  </si>
  <si>
    <t>Manglano, Rafael</t>
  </si>
  <si>
    <t>Rafael Manglano</t>
  </si>
  <si>
    <t>o Marques de Cerralbo; á Supernumerario al Brigadier D. Mariano Garcés ; á Brigadier al Subrigadier D. Rafael Manglano ; á Subrigadier al Cadete D. Alexo Santa María ; á Cadetes de número á los Supernumerarios D. Toribio Sánchez y D. Josef Mendal; y á Supernumerario á D. Josef Chela. S. M. se ha s</t>
  </si>
  <si>
    <t>Manicci, Conde</t>
  </si>
  <si>
    <t>Conde Manicci</t>
  </si>
  <si>
    <t>o á Wasserburg en el Inn, y pasó la noche en Altenmarkt: seis arcos del puente estaban quemados. El Conde Manicci, Coronel del exército Bávaro, había ido de Roth á Rosenheim, dónde encontró el puente quemado, y el enemigo del otro lado. Después de un vivo cañoneo el enemigo abandonó la orilla</t>
  </si>
  <si>
    <t>Maniic</t>
  </si>
  <si>
    <t>ivas á pagos en vales Reales &amp;c, • , Oda 4 los Marinos Españoles en el combate de 11 de Octubre por D. Maniic! Josef Quintana. Se hallara en las Itbrénas dé Castillo,’frente á las gradas deS. Felipe, yde Ramos carrera de S. Gerónimo. . ______ EN LA IMPRJEÑTA REAL</t>
  </si>
  <si>
    <t>Manitel de Gracia</t>
  </si>
  <si>
    <t>pitanes en ios de León, Córdoba., Guadix’y Pontevedra á los Tenientes D. Francisco García Bernarda, D. Manitel de Gracia, D» Francisco Arráez y D. Manuel Pazr á Tenientes de granaderos en los de Sevilla y Ecija á los de fusileros D. Josef Vejarano y D. Antonio Pareja: á Teniente de fusileros en el d</t>
  </si>
  <si>
    <t>Manjon, Francisco</t>
  </si>
  <si>
    <t>Francisco Manjon</t>
  </si>
  <si>
    <t>Cevailos: Tenencias en los de Voluntarios de Estado y de la Corona á les Subtenientes de granaderos D. Francisco Manjon y D. Pascual Rovira; y Subtenencia de bandera en el de la Princesa al Sargento primero de granaderos D. Valentín Rubio. El Rey se ha servido conceder por gracia particular á D. Antoni</t>
  </si>
  <si>
    <t>Manni, Vicente</t>
  </si>
  <si>
    <t>Vicente Manni</t>
  </si>
  <si>
    <t>rio de la Academia Española, y el Vocabulario de la Academia de la Crusca, por D. J. L» B. Cormon y D. Vicente Manni: impreso en León de Francia año de 1805: 2 tomos en 1 2.0 Se hallarán en las librerías de Ramos, carrera de S. Gerónimo, y calle d# las Carretas. Estado de las fuerzas de que se c</t>
  </si>
  <si>
    <t>Manrique, Bernardo</t>
  </si>
  <si>
    <t>Bernardo Manrique</t>
  </si>
  <si>
    <t>a mayor á D. Juan Pinto del Postigo; Compañía de granaderos á D. Francisco Caracholi; y sencillas á D. Bernardo Manrique, D. Francisco Alcántara, D. Nicolás Gódiel, D. Manuel Orihuela, D. Vicente Herencia, D.Vicente Portugal,D. Miguel Carrasco y D. Martin Vargas; Ayudantías á D. Jorge Santos García</t>
  </si>
  <si>
    <t>Manrique, Diego</t>
  </si>
  <si>
    <t>Diego Manrique</t>
  </si>
  <si>
    <t>ber : ¡uná .casa éri la plaza: pública, qúe tíenfe su eritrada¿por la calle Real, y vuelve á &lt;la de D. Diego Manrique, que se cómpóne-dc Eabitacion-ljaxa, principal, cocheras y otras oficinas, ¿que tiene de sitio 31 20*pies,'tasada eh 24,566 rs.: otra en la calle que sale á Pinto, y linda á medio</t>
  </si>
  <si>
    <t>ManúehViefe'dtéAde Tortés</t>
  </si>
  <si>
    <t>de la memoria fundada £or/' EH^MajíifSPMSnpIlánd. Quien qü’isihré fiacer postura, acuda ante el Sr. D. ManúehViefe'dtéAde Tortés hTienfente ^Corregiddr dé esta villa, por la escribanía del número que exerce D. Jüan Répide/’rr“’- t • El dia 20 dé Mayo próximo, á las 8 de su mañana, se ha* de ficeíebrar junta</t>
  </si>
  <si>
    <t>Manueí del Castillo Negrete</t>
  </si>
  <si>
    <t>a capital al Alférez D. Ignacio. Ratres y Muñoz y á D. Jo-* sef A rrivillaga; á Tenientes al Cadete D. Manueí del Castillo Negrete , Don Francisco Xavier Barrutia y Croquer, D. Pedro Delgado Náxera y Don Josef María Aguirre y Larios, los tres últimos vecinos dei mismo Reyno: y en el de la Nueva Segovia á Capi</t>
  </si>
  <si>
    <t>Manuel Simón</t>
  </si>
  <si>
    <t>eniente Coronel, D. Joaquín Sarden; y en el de España empleo de Portaestandarte al Sargento primero D. Manuel Simón. El Rey se ha servido conferir el Gobierno de la plaza de Ceuta al Mariscal de Campo D. Francisco Horta, Director Subinspector del Real Cuerpo de Ingenieros. En América. El Rey se</t>
  </si>
  <si>
    <t>Manuel Vicente</t>
  </si>
  <si>
    <t>uisiere haCér postura , ácuda ante dicho Sr. Juez y citada escribanía, , ' Por la audiencia del Sr. D. Manuel Vicente*'de Torres/Téntente; Corregidor dé esta villa &gt; 7 escribanía-dél húmero de Dt Tómásde Sanchafy;PradoVse subasta una casa sita en esta Corte, calle del Avapies, con accesoria^ &amp; lá</t>
  </si>
  <si>
    <t>Manuel' Caballero</t>
  </si>
  <si>
    <t>lián Paliza, Canónigo ae la Real Iglesia de S. Isidro: para una Ración de la Catedral de Patencia á D. Manuel' Caballero, Curaé Párroco de S. Juan de Moura,en el Obispado de Orense: para una Dignidad de Arcipreste de la Colegial de Alcázar de la ciudad de Baeza, Diócesi de Jaén , á D. Manuel de Guzm</t>
  </si>
  <si>
    <t>Manuela de Mendiola y ÍL de Álvarez</t>
  </si>
  <si>
    <t>n Alvarez, vecino de Zamora , quien tiene que comunicarle asuntos interesantes» Manuela de Mendiola y ÍL de Alvarez, hija única de Juana de Subelza, deberán presentarse dentro de 30 dias precisos, contados desde esta fecha, con los dor cumcntos correspondientes, al Lie. D. Manuel Ignacio de Vicuña y</t>
  </si>
  <si>
    <t>Manuela Gómez</t>
  </si>
  <si>
    <t>o, Regidor perpetuó de dicha* villay como tat Corregidor interino en ella, en todo el presente mes. Doña Manuela Gómez, natural del lugar de Rlotuerto * Junta de Cudeyo, Obispado de Santander, se ausentó de su casa el dia 15 de Febrero de este año, sin que desde aquel día se sepa su paradero*, es</t>
  </si>
  <si>
    <t>ManuelNavarro</t>
  </si>
  <si>
    <t>de la Imprenta Real; en el Real Sitio de S. Ildefonso en la tienda del Rubio, y en Cádiz en casa de D. ManuelNavarro. Contiene la entrega de la carta del Emperador Napoleón al Sultán; viage del Emperador de Alemania .á Praga para remediar la escasez de víveres; mensage del Rey dé Inglaterra al P</t>
  </si>
  <si>
    <t>Manzanares, Salvador</t>
  </si>
  <si>
    <t>Salvador Manzanares</t>
  </si>
  <si>
    <t>olomé Amat del de infantería del Rey, D. Manuel Tena del de Zamora, D. Mariano Albo del de Sevilla, D. Salvador Manzanares dei de Africa, y Doo Antonio Lasauca del de Zaragoza.</t>
  </si>
  <si>
    <t>Manzanero, Manuel</t>
  </si>
  <si>
    <t>Manuel Manzanero</t>
  </si>
  <si>
    <t>Id. id. Manuel Manzanero. Hijo de Antonio y de Juana Muñoz,</t>
  </si>
  <si>
    <t>Maok, General</t>
  </si>
  <si>
    <t>General Maok</t>
  </si>
  <si>
    <t>cia. Se asegura que'el Archiduque Fernando, teniendo por muy arriesgada la resolución tomada por el General Maok de encerrarse en Ulirna, salid *éé aquella plaza con tanta precipitación , que olvido llevar consigo una caxita de muchísimo valor. Posteriormente, la ha.reclam^4°&lt;&gt; y .el día 5, en la</t>
  </si>
  <si>
    <t>Marañosa, Antonio</t>
  </si>
  <si>
    <t>Antonio Marañosa</t>
  </si>
  <si>
    <t>servido conferir Compañía en el Regimiento de Húsares Españoles al Ayudante , graduado de Capitán , D. Antonio Marañosa; y empleo de Teniente en el de Dragones de la Réyna al Alférez D. Alexandro Menor. S. M. se ha servido conceder á D. Josef Manuel de Goyeneche, Capitán del Regimiento de infanterí</t>
  </si>
  <si>
    <t>Marcacci</t>
  </si>
  <si>
    <t>e Regente, enviaba al Emperador—^-Después de retirado el Conde de Lima presentaron sus credenciales Mr. Marcacci, Encargado de Negocios de la Confederación Suiza, y Mr. Antonio Oriófrio , Diputado de S. Marín* El día 3 fueron SS. MM.acompañados del Príncipe Eugenio , á Brera á visitar los ob</t>
  </si>
  <si>
    <t>Marcel</t>
  </si>
  <si>
    <t>Santo Padre, pasó á visitar la Imprenta Imperial el i.° de este mes, acompañado de muchos Prelados. Mr. Marcel, Director de la Imprenta, saludó á S. S. con un discurso latino, á que contestó en el propio idioma S. B. con mucho agrado. El discurso era relativo á los monumentos tipográficos</t>
  </si>
  <si>
    <t>inos, grabados de orden de Luis xv, los anales servirán para imprimir un diccionario Chino. En fin, Mr. Marcel regaló á S. S. una colección de versos en diez lenguas, la mayor parte Europeas, impresos en rasoliso, orlados con viñetas de oro. Estos versos están consagrados en elogio del Sob</t>
  </si>
  <si>
    <t>Marcelino Percyra, Luis</t>
  </si>
  <si>
    <t>Luis Marcelino Percyra</t>
  </si>
  <si>
    <t>u Real Casa y Corte , vacante por promoción del Sr. D. Francisco Xavier Duran á otra del Consejo, á D. Luis Marcelino Percyra, Ministro supernumerario de la misma Sala. Asimismo se ha servido nombrar para la plaza de Alcalde del Crimen de la Audiencia de Galicia , vacante por traslación de D. Francisco F</t>
  </si>
  <si>
    <t>Marcelo López Cabré</t>
  </si>
  <si>
    <t>l dé Antequera: para la Dignidad de Maestrescuela de la Catedral , de'Cuenca, vacante por muerte de D. Marcelo López Cabré jas, á D. .Cristóbal Amat.y SócoH, Cura de la Par roquia de ,S. Lázaro de la-villa de Albania; y para-una Media^Racion de la Catedral de- Calahorra, vacante por fallecimiento; de,</t>
  </si>
  <si>
    <t>Marcelo Sanabria</t>
  </si>
  <si>
    <t>te y D. Manuel Nuñez; Subtenencia de granaderos á D. Fermín Albares; de fusileros á IX Dámaso Mesa, D. Marcelo Sanabria , Don Miguel Parra, D. Josef Mesa, D. Mariano Cosío, D. Pascual Zárate; y de bandera á D. Gregorio Olivera: la Tenencia Coronela del de caballería de Chancay al Marques de Casa-Bo</t>
  </si>
  <si>
    <t>March, Ignacio</t>
  </si>
  <si>
    <t>Ignacio March</t>
  </si>
  <si>
    <t>uina y han realizado perfectamente las ideas del Director son naturales de este país. El arquitecto D. Ignacio March se ocupó en dirigir la construcción del hornillo económico y demas obras pertenecientes á su arte. El cerrajero D. Francisco Coromina desempeñó la execucion de las diferentes piez</t>
  </si>
  <si>
    <t>Marcha, Domingo</t>
  </si>
  <si>
    <t>Domingo Marcha</t>
  </si>
  <si>
    <t>D. Jayme Stoffel, Teniente Coronel graduado, y Sargento mayor. del mismo; y á Subteniente al Cadete D. Domingo Marcha} :en el de Whnpffen á Capitan segundo al Teniente D. Cárlos Seolar, y á Teniente al Subteniente' de granaderos D. Josef Krutter: en el de 13etschart á Subtenientes de bandera á D.</t>
  </si>
  <si>
    <t>MarcofFú</t>
  </si>
  <si>
    <t>spreciado ninguna ocasión de agriar los asuntos en lugar de componerlos. Se recuerda la conducta de Mr. MarcofFú tiempo del rompimiento de la paz de Amiens. Si la Rusia hubiese querido intervenir en ella, la guerra no se hubiera hecho. Como la conducta de Mr. Marcoíf fue aprobada por su Sobe</t>
  </si>
  <si>
    <t>Marcoíf</t>
  </si>
  <si>
    <t>Si la Rusia hubiese querido intervenir en ella, la guerra no se hubiera hecho. Como la conducta de Mr. Marcoíf fue aprobada por su Soberano, es necesario concluir que estaba en el sistema de sa Gabinete.__ Es bien público con quanto encarnizamiento la Rusia intervino después en Ratisbona c</t>
  </si>
  <si>
    <t>Marescalcni</t>
  </si>
  <si>
    <t>ente: ,,La diputación de nuestra República fue presentada el 30 del pasado á S. M. el Emperador por Mr. Marescalcni , Ministro de Relaciones exteriores , y ha sido encargada por S. M. de reunirse á la consulta de Estado baxo la presidencia del Vice-Presidente, para deliberar con madurez acerca</t>
  </si>
  <si>
    <t>Marescot, General</t>
  </si>
  <si>
    <t>General Marescot</t>
  </si>
  <si>
    <t>el Emperador, y marchó á Marengo, acompañado del Mariscal Lannes, que manda allí un campamento, del General Marescot y de otros varios. Visitó todas las partes de la fortificación que se construye de su orden, y las inmensas obras de la ciudadela. Después pasó á las orillas del Bórmida y del Tánaro,</t>
  </si>
  <si>
    <t>Maret</t>
  </si>
  <si>
    <t>l juramento acostumbrado en manos de S. M. I. • .Concluida esta ceremonia, el Secretario de Estado. Mr. Maret leyó el ménsage y el decreto siguientes: ,,El Principado de Piombino, que posee la Francia hace muchos años, ha estado administrado sin regla y con abandono. Situado en medio de l</t>
  </si>
  <si>
    <t>r á Briinn á Mr. de TáUeyrand, que estaba en Viena. Las negociaciones; van á abrirse en Nicolsburg. Mr. Maret había venido á Austerlitz á despachar, con S. M., quien hat firmado el despacho de los Ministros y ;def Consejo de Estado. , Esta noche ha dormido el Emperador en Br.ünn., , • Dec</t>
  </si>
  <si>
    <t>Margarita Núñez Chacón</t>
  </si>
  <si>
    <t>n venta en 150,028 rs. y en renta de 4500 á 4600. Otras varias casas que pertenecen al patronato de Doña Margarita Nuñez Chacón, las quales se han tasado en esta forma: una casa de un cuerpo, tasada en venta en 84,615)rs.y en retir ta 2500: otra de 3 cuerpos,en 126,306rs. en venta y 3600en renta; y otra ta</t>
  </si>
  <si>
    <t>Mari, Felipe</t>
  </si>
  <si>
    <t>Felipe Mari</t>
  </si>
  <si>
    <t>ra en dinero ó vales Reales, la dirigirá á Sigüenza á los Administradores del hospital de S. Mateo. D. Felipe Mari y compañía, que estableciéron en esta Corte el asiento de los faetones, construyeron en el Real Sitio de Aranjuez, con Real permiso, una casa, la que por amenazar ruina se mandó por</t>
  </si>
  <si>
    <t>Maríade Cistué, Luis</t>
  </si>
  <si>
    <t>Luis Maríade Cistué</t>
  </si>
  <si>
    <t>sticia en Matemáticas, ademas de los Ik oros que se le aajudicáron, se le dio una medalla de oro: á D. Luis Maríade Cistué, por las razones que quedan expuestas anteriormente, y.por las apreciables circunstancias que concurren en su persona , se te entregó el título de Socio sin contribución, y lo mis</t>
  </si>
  <si>
    <t>Mariana de Silva Waldstein</t>
  </si>
  <si>
    <t>os. En la madrugada del 17 de Enero, próximo pasado, falleció en esta Corte la Excelentísima Señora Doña Mariana de Silva Waldstein, Condesa de Haro y Marquesa de Belmonte, á los 17 años , 2 meses y 3 dias de su edad. Aunque la muerte es un tributo inevitable que todo el género humano paga á la naturaleza, es</t>
  </si>
  <si>
    <t>Mariano</t>
  </si>
  <si>
    <t>el 30 del mismo mes á la goleta de. S. M. nombrada Estremeña, cuyo Comandante, el Teniente de Navio D. Mariano.Izasviribil/encentrándose sin fuerzas capaces de rechazar las del enemigo, tuvo que abandonar y quemar el buque con pérdida de todo lo relativo á la expedición de trabajos hidrogr</t>
  </si>
  <si>
    <t>Mariano Albo del de Sevilla</t>
  </si>
  <si>
    <t>Infante, D. Ramón Albo y D. Bartolomé Amat del de infantería del Rey, D. Manuel Tena del de Zamora, D. Mariano Albo del de Sevilla, D. Salvador Manzanares dei de Africa, y Doo Antonio Lasauca del de Zaragoza.</t>
  </si>
  <si>
    <t>Mariano Alemán</t>
  </si>
  <si>
    <t>a. En la Compañía suelta del Rey no de Valencia se ha dignado S. M. promover á Capitán Comandante á D. Mariano Alemán, Teniente Coronel agregado al Estado mayor de la plaza de Alicante; á Teniente á Don Miguel Tronquet, Subteniente de la misma; y esta Subtenencia al Sargento, graduado de Subtenie</t>
  </si>
  <si>
    <t>Mariano Alonso</t>
  </si>
  <si>
    <t>esde el 2 2 de Diciembre ú'timo, para la puja del quarto. Quien quisiere hacerla, acuda ante el Sr. D. Mariano Alonso, del Consejo de S. M., su Alcalde de Casa y Corte, y escribanía de provincia de D. Miguel Josef García de la Madrid. Estado general de la Real Armada en el año de 1805. Se hallará</t>
  </si>
  <si>
    <t>s superficiales, tasada, con la fábrica construida en él, en 149,521 rs., acuda ante el Sr. Alcalde D. Mariano Alonso, y escribanía de provincia de D. Miguel Josef García de la Madrid, en el término de 20 dias contados desde el 11 del corriente. En la villa de Villacastin, provincia de Segovia, s</t>
  </si>
  <si>
    <t>se compone de 2203^ pies superficiales, valuada, con su fábrica, en 150,128 rs., acuda ante el Sr. D. Mariano Alonso, del Consejo de S. M., su Alcalde de Casa y Corte, y escribanía de provincia de D. Miguel Josef García de la Madrid, en el término de 30 dias contados desde el 18 de éste mes. Usu</t>
  </si>
  <si>
    <t>de Vales, casa de la Aduana, al citado D. jostf de Ibdscta. Por e! iuzgado deí Sr. Alcalde de Corte D. Mariano Alonso, y Escribanía de Provincia de D. Miguel Jósef García de la Madrid, se está subastando una casa en la calle ancha y angosta de M.;j.identos, señalada con el núm. 6, de la manz. 209</t>
  </si>
  <si>
    <t>e se ha hecho postura en dicha cantidad en vales, baxo de diferentes condiciones, acuda ante el Sr. D. Mariano Alonso, del Consejo de S. M., su Alcalde de Casa y Corte, por la escribanía de D. Miguel Josef García de la Madrid; previniéndose que para su remate está señalado el 11 del corriente á l</t>
  </si>
  <si>
    <t>siglo xvm. El Sr. Intendente de esta Provincia ha aprobado el remate celebrado por el Señor Alcalde D. Mariano Alonso, de una casa sita en las calles ancha y angosta de Majaderitos, núm. 6, manz. 209, tasada en 1 £0,128 rs., y'Yémató^én 215S) rs. en vales Reales; y para la puja del quarto ha seña</t>
  </si>
  <si>
    <t>illa, cuyo sitio tiene 8865 pies, justipreciados, con su edificio, en 41,393 rs., acuda ante el Sr. D. Mariano Alonso, del Consejo de S. M., su Alcalde de Casa y Corte, y escribanía de provincia de D. Miguel Josef García de la Madrid , en el término de 30 dias contados desde el 29 del pasado. Se</t>
  </si>
  <si>
    <t>Luis de Mata Araujo, que vive en la calle del Caballero de Gracia. Presidió estos exercicios el Sr. D. Mariano Alonso, del Consejo de S. M., Alcalde de su Real Casa y Corte, por comisión del Supremo Consejo. Abrió el acto el primer dia el discípulo Don Josef Sánchez Cevallos con un discurso de me</t>
  </si>
  <si>
    <t>de sitio, valúa-, dos, con su fabrica, en 3p,4/i rs. i(&gt; mrs.,, aciida ante el Sr. Alcaide de Corte D. Mariano Alonso, y escribanía de provincia*de D. Miguel Josef García de ig</t>
  </si>
  <si>
    <t>les 156,800 rs., y los principales de dos faroles, y renta anualmente 41,544 rs., acuda ante el Sr. Don Mariano Alonso, del Consejo de S. M., su Alcalde de Casa y Corte, y escribanía de provincia de D. Miguel García de la Madrid, dentro del término de 15 días contados desde el 8 del corriente. Por</t>
  </si>
  <si>
    <t>perficiales, y se halla valuada, con su fábrica, en 96^,078 rs., acuda ante el Sr. Alcalde de Corte D. Mariano Alonso, y escribanía de provincia de D. Josef García de la Madrid, dentro del término de 30 dias contados desde el 4 del corriente. A conseqviencia de las Reales resoluciones de S. M., y</t>
  </si>
  <si>
    <t>tio se compone de 1094 pies superficiales, vál nado con su fabrica en 67,717 rs./éciidU ante el Sr. D. Mariano Alonso, del CónséjcT dé Si M., ’su'AlcáJdé^dc’Cíisa y •fcfcéribaníá-' dé? provincia de D/ Miguél' ’Joéef Gatcía de la 'Madrid; eh el término1 dé 30'dias' contados desde el f2Ó de Nóvíémb</t>
  </si>
  <si>
    <t>,carga qiieTa del capital de dos faroles, incluso el nuevo aumentó de los serenos, acuda ante el Sr.D. Mariano Alonso, del Consejo .de S. M., su Alcalde de Casa y Corte, y escribania. de provincia de Don Miguel García de la Madrid, dentro del término de 30 dias contados desde «4 3 del corriente.</t>
  </si>
  <si>
    <t>y pertenecen al Real hospital de nuestra Señora del Buen-Suceso, acuda ante el Sr. Alcalde de Corte D. Mariano Alonso, y escribanía de provincia de‘D. Miguel Josef García de Madrid, dentro del término de 30 dias contados desde el 14 del presente á la primera,, y desde el 17 á 1$ segunda. =: Asimi</t>
  </si>
  <si>
    <t>Mariano Anaya</t>
  </si>
  <si>
    <t>D. Melchor Olaquibel; Tenencia de granaderos á D. Melchor Ramos;y sencillas á D. Laureano Cabrera , D. Mariano Anaya, D. Blas Cuenca , I). Faustino Aragón, D. Juan de Dios Camborda, Don Josef Bobadilla, D. Silverio Mogrovejo, D. Paulino Roxas, D. Tomas Herencia, D. Josef Perez del Portillo, D. S</t>
  </si>
  <si>
    <t>Mariano Andreu</t>
  </si>
  <si>
    <t>dad y sala inmediata donde se dan las lecciones de esta escuela , baxo la dirección del Catedrático D. Mariano Andreu: presidió estos actos el Dr. D. Antonio Romero, Dean de la Sta. Iglesia Metropolitana, Presidente de la Sociedad, acompañado de los Dres. D. Josef Sobrevía y D. Pedro Valero, Cens</t>
  </si>
  <si>
    <t>Mariano Aragón</t>
  </si>
  <si>
    <t>y D. Josef Molina; Tenencia de granaderos á D. Josef Rosello; y sencillas á D. Alexandro Benavente, D. Mariano Aragón, D. Josef Escovedo, D. Pablo Muñoz, D. Lorenzo Lencinas, Don Josef Silva y Laguado, D. Manuel de la Barrera, D. Mariano Murguía, D. Ramón Paredes, D. Mariano Figueroa, D. Valentín</t>
  </si>
  <si>
    <t>Mariano Asturias</t>
  </si>
  <si>
    <t>de Milicias de S. Salvador; y una Compañía en el Batallón de Milicias disciplinadas de Goatemala á D. Mariano Asturias, vecino de la misma capital. En el Regimiento de Milicias disciplinadas de caballería de Buenos-Ayres se ha servido S. M. promover á Capitán ai Teniente D. Manuel Martínez García;</t>
  </si>
  <si>
    <t>Mariano Bagase</t>
  </si>
  <si>
    <t>rtículbs-siguientes: memoria sobre un género nuevo de Ja familia de las gramas, llamadaBétélua, por D. Mariano Bagase»-: nuevo reglamento del Real Observatorio Astronómico ; -co.nseqiiencias geológicas sacadas de la irnipla -librería de Alonso, frente'á las gradas de S. Felipe, donde igualmente -</t>
  </si>
  <si>
    <t>Mariano Bellido</t>
  </si>
  <si>
    <t>había sido vacunado en un pueblo distante, y le proporcionó el Alcalde mayor de ía expresada villa D. Mariano Bellido, Capitán retirado, y Abogado de los Reales Consejos, movido de su ardiente zelo de preservar á aquellos contornos de los estragos que causaba lá viruela natural por los meses de E</t>
  </si>
  <si>
    <t>Mariano Bustamante</t>
  </si>
  <si>
    <t>z, D. Antonio Talavera , D.Juan del Rivero, Don Simón Geldres, D. Manuel Calvo, D. Antonio Arguero, D. Mariano Bustamante, D» Manuel García, D. Pedro Iraciburu, D. Juan Valenzuela, Don Silvestre de Arpe y D. Juan de Dios Fonce; empleo de Alférez de carabi</t>
  </si>
  <si>
    <t>Mariano Cáceres</t>
  </si>
  <si>
    <t>Casal, D. Nicolás Montesinos, D. Eugenio Figueroa, D. Josef Alvaro de Arias, D. Juan Pablo Molina, D. Mariano Cáceres y D. Andrés de Cárdenas; Ayudantías á D. Cayetano Castro y D. Josef Molina; Tenencia de granaderos á D. Josef Rosello; y sencillas á D. Alexandro Benavente, D. Mariano Aragón, D. Jose</t>
  </si>
  <si>
    <t>Mariano Calafell</t>
  </si>
  <si>
    <t>Igualmente ha promovido S. M. á Teniente en el Batallón de Voluntarios de Barbastro al Subteniente D. Mariano Calafell; y á Subtenientes de bandera en los de Tarragona y primero de Barcelona á los Cadetes Don Francisco de Keysser y D. Josef Alavés. El Rey se ha' servido conceder en el Regimiento d</t>
  </si>
  <si>
    <t>Mariano Calderón y Cavanillas</t>
  </si>
  <si>
    <t>Coxos de Rollan, en la Diócesi de Salamanca, vacante por fallecimiento de D. Cristóbal Martínez, á D. Mariano Calderón y Cavanillas:, para el Beneficio del lugar de Codorniz, en Ja de Avila, vacante por promoción de D. Antonio Gutiérrez al de Candeleda, en la misma Diócesi, á D. Antonio María de Oxinaga, Cura</t>
  </si>
  <si>
    <t>Mariano Calvete</t>
  </si>
  <si>
    <t>preparaciones y adobos con que pueden disponerse las se* jíiiiias para lograr mayores rendimientos: D. Mariano Calvete sobre la Agricultura práctica, épocas de su decadencia y perfección; discurrió los medios de conseguirla baxo el sabio Gobierno actual en que se protege tan decididamente esta mad</t>
  </si>
  <si>
    <t>Maestro en Artes, Caballero de la Real y distinguida Orden Española de Cirios ni, de Hidráulica; y Don Mariano Calvete, cursante en Leyes , de Hídrostática. Se hace presente que D. Francisco Alastuey ha asistido constantemente con aplicación y aprovechamiento conocido en los 4 años; pero no pudo h</t>
  </si>
  <si>
    <t>Mariano Cosío</t>
  </si>
  <si>
    <t>rmín Albares; de fusileros á IX Dámaso Mesa, D. Marcelo Sanabria , Don Miguel Parra, D. Josef Mesa, D. Mariano Cosío, D. Pascual Zárate; y de bandera á D. Gregorio Olivera: la Tenencia Coronela del de caballería de Chancay al Marques de Casa-Boza: Compañía en el de Chota á D. Manuel Bernal : el</t>
  </si>
  <si>
    <t>Mariano Cruceta</t>
  </si>
  <si>
    <t>zaga, Don' Pedro Cañedo, D. Manuel GonzálezÁramburu, D. Juan Manuel Lozano, D. Ventura del Castaño, D. Mariano Cruceta, D..SantiagoRizo, D. Eugenio Ibarrcia, D. Josef Osorio, y-'D. Martin Arambunn En el de los Valles de Acari y Chala Ayudantía ai Teniente del mismo D. Josef AntoninoNeyra. En el de</t>
  </si>
  <si>
    <t>Mariano de Otero</t>
  </si>
  <si>
    <t>el Arroyo Ríos y.D. Francisco Carrillo ; á Alféreces á los Portaguiones D. Manuel Fernandez Alonso, D. Mariano de Otero y D. Pedro de Otero; y á Portaguiones á D. Antonio de Velasco y Pérea Galvez, D. Andrés de Obregoa y D. Juan ele Pesquera, vecinos de la de-* marcación dei Regimiento. S. M. se ha ser</t>
  </si>
  <si>
    <t>Mariano del Hoyo</t>
  </si>
  <si>
    <t>y para el Beneficio de la villa de Morente, en el Obispado de Córdoba, vacante por fallecimiento de D. Mariano del Hoyo, á D. Francisco Molero y López, con obligación de residencia, y demas cargas que tiene anexas. S. M. se ha servido conceder Tenencia en el Regimiento de infantería de Hibemia al S</t>
  </si>
  <si>
    <t>, denominada Guadalmazanes de Guadalcazar, en el Obispado de Córdoba , vacante por fallecimiento de D. Mariano del Hoyo, á D. Josef Juquet y Puente. El Rey se ha servido conferir la Sargentía mayor del Regimiento de infantería de Aragón al Capitán de granaderos, graduado de Coronel, D. Jayme María</t>
  </si>
  <si>
    <t>Mariano Escovedo</t>
  </si>
  <si>
    <t>ntos Zaballa ; Comandancias á D. Josef Sánchez Toro y D. Josef Remigio Arias ; la Sargentía mayor á D. Mariano Escovedo ; Compañía de granaderos á D. Luis Sánchez Toro ; y sencillas á D. Sebastian Benavente , D. Gerónimo Casal, D. Nicolás Montesinos, D. Eugenio Figueroa, D. Josef Alvaro de Arias, D</t>
  </si>
  <si>
    <t>Mariano Estevez</t>
  </si>
  <si>
    <t>cia de granaderos á D. Miguel San Román, y de fusileros á D. Julián Antezana, D. Evaristo Ximenez , D. Mariano Estevez, D. Fernando Aragón, D. Josef Callisava, D. Antonio de la Vega, D. Josef de Avila y D. Francisco Velasco; y Subtenencias de bandera á D. Domingo Terrona y D. Eusebio Cornejo. El R</t>
  </si>
  <si>
    <t>Mariano Figueroa</t>
  </si>
  <si>
    <t>Lencinas, Don Josef Silva y Laguado, D. Manuel de la Barrera, D. Mariano Murguía, D. Ramón Paredes, D. Mariano Figueroa, D. Valentín Toro y D. Juan Valenzuela; empleo de Alférez de granaderos á D. Carlos Velarde; y sencillos á D. Mariano Mollinedo, D. Manuel Yañez Montenegro, D. Pedro Vicira Escove</t>
  </si>
  <si>
    <t>Mariano Gamboa</t>
  </si>
  <si>
    <t>á Subtenientes de fusileros á D. Bernardino Toledo, y á los Sargentos primeros D. Faustino Valdés, D. Mariano Gamboa, D-. Felipe Borbolla, D. Gregorio Fernandez de Llamas, D. Josef Marcos Calderón y D. Melchor Mogollon; y de bandera ai Sargento primero D. Juan Armendariz, y al Cadete D. Pedro de</t>
  </si>
  <si>
    <t>Mariano Garcés</t>
  </si>
  <si>
    <t>ey promover á Exento de número al Supernumerario Marques de Cerralbo; á Supernumerario al Brigadier D. Mariano Garcés ; á Brigadier al Subrigadier D. Rafael Manglano ; á Subrigadier al Cadete D. Alexo Santa María ; á Cadetes de número á los Supernumerarios D. Toribio Sánchez y D. Josef Mendal; y</t>
  </si>
  <si>
    <t>Corps se ha servido el Rey promover, en la Compañía Italiana, á Exento de número al Supernumerario D. Mariano Garcés; á Supernumerario al Brigadier D. Luis Marquesi; á Brigadier al Subrigadier D. Joaquín de Arcos; á Subrigadier al Cadete D. Cayetano Torreani; á Cadete de número al Supernumerario</t>
  </si>
  <si>
    <t>Mariano García Romani</t>
  </si>
  <si>
    <t>ar, D. Manuel Céspedes, D. Higidio Mariaca, D. Paulino Deza, D. Eugenio Dueñas , D. Pedro Cegarra , D. Mariano García Romani; y Subtenencias de bandera á f). Simón Aguirre y D. Gregorio Santander. En el Batallón de nueva creación de Milicias disciplinadas de Goatemala se ha dignado el Rey conceder 'Comp</t>
  </si>
  <si>
    <t>Mariano González</t>
  </si>
  <si>
    <t>eyno de Goaterbala á Capitán de granaderos en el •Batallón de infantería de Olahcho al de fusileros D. Mariano González, y de fusileros á los Tenientes D. Josef Marcos González y D. Josef María Mendez; á Teniente de granaderos ai de fusileros D. Dionisio Xereda, y de fusileros á los Subtenientes D.</t>
  </si>
  <si>
    <t>Capitán del Regimiento de la Corona. D. Timoteo OkifF. Alféreces de la Corona............. ........ D. Mariano González. D. Juan Mendivil. Alférez de Artillería...................... . D. Josef Sánchez Boado. Resumen general. Muertos. Heridos. Oficiales de Marina... 27.... 54 Oficiales del Exército</t>
  </si>
  <si>
    <t>Mariano Grau</t>
  </si>
  <si>
    <t>Tarragona , 66» 12. Cabo...... Mariano Grau..........Antonio... Francisca Ferrich , Calaf, ,,,,, Cervera.,,, 132» 24» Manuel Costa.Josef. . . Gracia Rius, , r , Vich, , ,,, , Idem</t>
  </si>
  <si>
    <t>Mariano Hinojosa</t>
  </si>
  <si>
    <t>xo Castilla ; Subtenencia de granaderos á D. Juan de Dios Tapia; y de fusileros á D. Josef Meneses, D. Mariano Hinojosa, D. Andrés Losa, D. Manuel Calderón, D. Estéban Carvajal, D. Francisco Calderón, D. Domingo del Castillo y D. MarianoGab do; y de bandera á D. Eladio de la Riba y D. Bernardo Port</t>
  </si>
  <si>
    <t>Mariano Iglesias Barrantes</t>
  </si>
  <si>
    <t>uado de Teniente Coronel, D. Manuel Bayona; y en el de la Princesa Subtenencia de bandera al Cadete D. Mariano Iglesias Barrantes. En el Regimiento de infantería Suizo de Ruttiman se ha dignado S. M. promover á Ayudante al Teniente D. Antonio Ruckstuller: en el de Courten al empleo de Capitán segundo al Teni</t>
  </si>
  <si>
    <t>Mariano Josef Cabo</t>
  </si>
  <si>
    <t>el Arzobispado; y para otra Ración de la Catedral dél NueYO-rReyno de Xeop» vacante por renuncia de D. Mariano Josef Cabo franco, á t&gt;. Mariano josef Monzan, Capellán de coro de la misma Catedral. En el Regimiento Provincial de dragones de laReyna,eñ&gt;Nueva-España, se ha servido el Rey promover' á Cap</t>
  </si>
  <si>
    <t>Mariano Josef CavoFranco</t>
  </si>
  <si>
    <t>n de la Catedral del Nuevo Reyno de León, vacante por haberla renunciado D. Josef Manuel Tamayo , á D. Mariano Josef CavoFranco , Presbítero del Arzobispado de México. S. M. se ha servido nombrar para el Daanato de la Catedral de Guadalaxara, vacante por fallecimiento de D. Salvador Antonio Roca, al Arcedi</t>
  </si>
  <si>
    <t>Mariano Lafuente y Poyapps</t>
  </si>
  <si>
    <t>Superior Tribunal de la.Comisioh. gubernativa, 4^1 Cion-sejo se están practicando en el ju-zgado de D. Mariano Lafuente y Poyapps., Alcalde mayor por S. M. de la villa de V&lt;?pes, y escribanía del número, que exerce Alfonso Martínez Barquero, las competentes diligencias para la‘ ¿nagenácion de . lincas de obr</t>
  </si>
  <si>
    <t>Mariano Lechuga</t>
  </si>
  <si>
    <t>ía de Paucartam— bo, en el Reyno del Perú, se ha dignado el Rey promover á Teniente de granaderos á D. Mariano Lechuga, y de fusileros á los Subtenientes Don Narciso Yabar, D. Pedro Vejarano y D. Pedro la Hermosa; á Subtenientes de fusileros á D. Bernardino Toledo, y á los Sargentos primeros D. Fa</t>
  </si>
  <si>
    <t>Mariano Llanos</t>
  </si>
  <si>
    <t>eros á D. Casimiro Contreras; y sencillos á D. Miguel Riquelme, D. Josef Mendez, D. Matías Aguirre, D. Mariano Llanos, D. Lorenzo Portugal, D. Francisco Gamarra, D. Pedrb Godiel, D. Juan de Dios Va'dés, D. Matías Velazquez, D. Diego Mexía, Don Vicente Bellido y D. Diego Felipe Cevallos; y de Port</t>
  </si>
  <si>
    <t>Mariano Lobera</t>
  </si>
  <si>
    <t>n proregar en la Vara de Alcalde mayor de la ciudad de Huesca, por ei tiempo de su Real voluntad, á D. Mariano Lobera. En la extracción dé la Real lotería executada el martes 26 del corriente, saliéron los números 8, 3, 21,-96 y 54; y con ellos han ganado lós jugadores 822,595 rs. En cumplimiento</t>
  </si>
  <si>
    <t>Mariano Maestre y Reig</t>
  </si>
  <si>
    <t>de la Parroquial de Petrel, Diócesi de Orihuela, vacante por fallecimiento de D. Josef Calderón, á D. Mariano Maestre y Reig. Ei Rey se ha servido conferir el empleo de Coronel del Regimiento de infantería de Toledo al Teniente Coronel del de África , graduado de Coronel, D. Manuel Fabro: Compañía en el</t>
  </si>
  <si>
    <t>Mariano Mallea</t>
  </si>
  <si>
    <t>D. Josef Matías de Paredes, D. Diego de Sosa, D. Mauricio Zamalloa, D. Teodoro Martínez dei Campo, D. Mariano Mallea, Don Josef Marcelino de Molina y D. Manuel Melchor Vargas; Ayudantía á D. Isidro Quevedo; Tenencia de granaderos á D. Nicolás Romero y Fuster, y de fusileros á D. Luis de Heredia,</t>
  </si>
  <si>
    <t>Mariano Martín Esperanza</t>
  </si>
  <si>
    <t>romoción de D. Josef de Amarilla y Huertos á la dé Cuenca, vacante por muerte de D.Andrés Tirado, á D. Mariano Martin Esperanza, Rector de la EJniversi lad de Aléala: para la Media-Ración, vacante en lá Sarita Iglesia, de Cuenca por fallecimiénto de D. Francisco Xavier de la Puente, á D. Eusebio Julián Rub</t>
  </si>
  <si>
    <t>Mariano Mollinedo</t>
  </si>
  <si>
    <t>entín Toro y D. Juan Valenzuela; empleo de Alférez de granaderos á D. Carlos Velarde; y sencillos á D. Mariano Mollinedo, D. Manuel Yañez Montenegro, D. Pedro Vicira Escovedo, D. Melchor de Salas Vaidés, D. Narciso Roseiió, Don Pablo Salgüeyro., D. Isidro Miranda, D. Mariano Sánchez, D. Angel Santa</t>
  </si>
  <si>
    <t>Mariano Moscoso, Ángel</t>
  </si>
  <si>
    <t>Ángel Mariano Moscoso</t>
  </si>
  <si>
    <t>e último falleció en Córdoba del Tucuman, con general sentimiento de su vasta Diócesi, el limo. Sr. D. Angel Mariano Moscoso, Pastor digno por sus virtudes de los tiempos apostólicos. Acabada su débil complexión en las fatigosas tareas de un ministerio tan delicado , habiendo visitado personalmente hast</t>
  </si>
  <si>
    <t>El Rey se ha servido nombrar para el Obispado de Córdoba del Tucuman, vacante por fallecimiento de D. Ángel Mariano Moscoso, al Maestro D. Rodrigo Antonio de Orellana, ex-General de los Premonstra tenses. También se ha dignado S. M. nombrar para la Canongía Lectoral, vacante en la Catedral de Santa Cru</t>
  </si>
  <si>
    <t>Mariano Murguía</t>
  </si>
  <si>
    <t>Escovedo, D. Pablo Muñoz, D. Lorenzo Lencinas, Don Josef Silva y Laguado, D. Manuel de la Barrera, D. Mariano Murguía, D. Ramón Paredes, D. Mariano Figueroa, D. Valentín Toro y D. Juan Valenzuela; empleo de Alférez de granaderos á D. Carlos Velarde; y sencillos á D. Mariano Mollinedo, D. Manuel Y</t>
  </si>
  <si>
    <t>Mariano Navarro</t>
  </si>
  <si>
    <t>a una Canongía de la Colegial de Uxijar, en el Arzobispado de Granada, vacante por fallecimiento de D. Mariano Navarro, á D. Josef Viana, Cura propio y Vicario de la ciudad de Almuñecar, en el mismo Arzobispado. S. M. se ha servido nombrar para la Canongía, que en la Iglesia de Palencia ha resulta</t>
  </si>
  <si>
    <t>una Canongía de la Colegial de Uxijar, en el xArzobispado de Granada, vacante por fallecimiento de Don Mariano Navarro, á D. Francisco Antonio Perez. S. M. se ha servido conceder Ayudantías en los Regimientos de infantería de Guadalaxara y Toledo á los Tenientes D. Matías Cardona y Don Antonio Los</t>
  </si>
  <si>
    <t>Mariano Nifo, Francisco</t>
  </si>
  <si>
    <t>Francisco Mariano Nifo</t>
  </si>
  <si>
    <t>o, calle de las Carretas. ; Colección de los mejores papeles poéticos y composiciones dramáticas de Don Francisco Mariano Nifo: obra nueva: 2 tomos en B.° Se hallarán en la librería de Esparza, puerta del Sol.—.En la misma librería se venden también las siguientes traducciones y obras del autor: El Idioma</t>
  </si>
  <si>
    <t>Mariano Oviedo</t>
  </si>
  <si>
    <t>Sargentía mayor á D. Ramón del Valle ; Compañía de carabineros á D. Josef Pelotieri; y sencillas ú D. Mariano Oviedo, D. Estéban Pacheco , D. Francisco Noriega, D. Antonio de la Borda, D. Josef Colombo, D. Antonio García Muñiz, D. Fernando Belon y D.Juan Canabal; Ayudantías á D. Andrés Polvorino</t>
  </si>
  <si>
    <t>Mariano Patino</t>
  </si>
  <si>
    <t>Aragón de Jauja á D. Pedro Josef González ; de fusileros á D¿ Isidro Galarza, D. Alexandro AbasCal, D. Mariano Patino, D. Miguel Fuñol, Don Manuel del Ribero Alonsoy D. Tiburcio Vivanco, D. Manuel Eusebio y*D. Ignacio de los Rios; Ayudantía mayor á D. Domingo Apodaca; Tenencia de granaderos á Di</t>
  </si>
  <si>
    <t>Mariano Pinedo</t>
  </si>
  <si>
    <t>Santiago Montesinos, D. Nicolás Perales y D. Esteban Perales ; y de Portaguiones á D. Juan Cáceres, D. Mariano Pinedo, Don Gregorio Perales y D. Matías Perlado. Igualmente se ha servido S. M. conferir Compañía en el esquadron de dragones Vblüntarios del Corozal, én el Reyno de Santa Fe, al Tenien</t>
  </si>
  <si>
    <t>Mariano Pizzi y Frangeschi</t>
  </si>
  <si>
    <t>tellano, é ilustrado con varias notas para su mayor inteligencia, por el Dr. D. Mariano Pizzi y Frangeschi, Médico en esta Corte: un tomo en 4.0 Se hallará en la librería de Burguillos, casa nueva del Conde de Tepa, á r 2 rs. en pergamino y 16 en pasta; y en la misma librería se hallarán otros</t>
  </si>
  <si>
    <t>Mariano Ramiro, Miguel</t>
  </si>
  <si>
    <t>Miguel Mariano Ramiro</t>
  </si>
  <si>
    <t>Hermosilla y Aguirre, D. Pedro Laureano del Prado, Don Jacinto Aréstegui, D. Tomas Miguel Salazar, D. Miguel Mariano Ramiro y D. Pedro Salcedo; Ayudantía á D. Calixto Ramos; Tenencia de granaderos á D. Timoteo Ramos, D. Pedro Béjar, D. Melchor Ramos, D.Josef Vicente Andrade , D. Alberto de Castro , D. Manu</t>
  </si>
  <si>
    <t>Mariano Roa y Alarcon</t>
  </si>
  <si>
    <t>lesia de la Concepción de Chile, vacante por ascenso de D. Andrés Quintian al Obispado de Cuenca, á D. Mariano Roa y Alarcon: para el Arcedianato que este dexa á D. Salvador de Andrade; y para la Canongía que este obtenía á Don Juan Bernardo Ruiz, Cura en la misma Diócesi: para la Canongía Magistral de</t>
  </si>
  <si>
    <t>Mariano Rodrigo</t>
  </si>
  <si>
    <t>19. Mariano Rodrigo.... Hijo de Manuel, nat. de la villa de Liria,-)</t>
  </si>
  <si>
    <t>Mariano Rovira</t>
  </si>
  <si>
    <t>s; y para un Beneficio de la villa de Piera, Diócesi de Barcelona, vacante por dimisión sucesiva de D. Mariano Rovira , D. Josef Caballol y D. Joaquín Grau, á D. Pablo Riatos. El Rey se ha servido nombrar para una Ración de la Metropolitana de Santiago, vacante por fallecimiento de D.Benito Rodrí</t>
  </si>
  <si>
    <t>Mariano Rufino</t>
  </si>
  <si>
    <t>ey á D. Manuel J.osef Sánchez. Fano : para la de. Rueda á D. Gerónimo Agüero: para, la de Quesada á D. Mariano Rufino. González; y para el Corregimiento de Vivero á D. Josef Ibarlucea.. Mn América./ El Rey se ha servido, nombrar para la Dignidad de- Maestrescuela de la Metropolitana de Manila,, e</t>
  </si>
  <si>
    <t>Andrade y San Juan. Y últimamente ha nombrado S. M. para Alcaldes mayores de la villa dfe Quesada á D. Mariano Rufino; de la villa de Rueda á D. Gerónimo Agüero; de la villa'de Nava del Rey á £&gt;. Manuel joséf Sánchez Fano; de ia vigila de OliVe ncia á D. Afttónlo González Rodríguez, y dé la villa</t>
  </si>
  <si>
    <t>Mariano Sánchez</t>
  </si>
  <si>
    <t>Escovedo, D. Melchor de Salas Vaidés, D. Narciso Roseiió, Don Pablo Salgüeyro., D. Isidro Miranda, D. Mariano Sánchez, D. Angel Santa María Perez, D. Santiago Montesinos, D. Nicolás Perales y D. Esteban Perales ; y de Portaguiones á D. Juan Cáceres, D. Mariano Pinedo, Don Gregorio Perales y D. Ma</t>
  </si>
  <si>
    <t>Mariano Sein</t>
  </si>
  <si>
    <t>granaderos al de fusileros D. Josef Manuel Bustamante, y á Subtenientes de compañía y de bandera á D. Mariano Sein, D. Josef Ana Marmolejo y D. Manuel de Septien y Escudero, el primero Subteniente de bandera, y los otros dos vecinos de lá jurisdicción del expresado I^atallon. El dia 8 de este</t>
  </si>
  <si>
    <t>Mariano Valcárcel</t>
  </si>
  <si>
    <t>videncia del Sr. Intendente de Granada, y por la escribanía del número de ella, que está á cargo de D. Mariano Valcárcel, se mandaron sacar á pública subasta, por el término de 30 dias, las fincas del cortijo intitulado Mitagalan, en la jurisdicción de la villa de Isnalloz, correspondientes á una me</t>
  </si>
  <si>
    <t>Mariano Vallejo</t>
  </si>
  <si>
    <t>os latinos la medicina sino en los casos mixtos, y los Romancistas en ningún caso: juicio hecho por D. Mariano Vallejo de la obra del Abate Condillac, intitulada La lengua de los cálculos, traducida al castellano por la Marquesa de Espeja &amp;c. Tomo 2.0 de la continuación de los trages del Ticiano, en el</t>
  </si>
  <si>
    <t>Mariano Vázquez</t>
  </si>
  <si>
    <t>dignado nombrar en el Regimiento de infantería de Zamora Compañía al Ayudante, graduado de Capitán, D. Mariano Vázquez: en el de Valencia Subtenencia de bandera al Cadete D. Francisco Xavier Cendrera: en el de Toledo Subtenencias de bandera al Sargento primero D. Juan Espinar, y al Cadete D. Josef</t>
  </si>
  <si>
    <t>Mariano Villa</t>
  </si>
  <si>
    <t>ncias que concurren en su persona , se te entregó el título de Socio sin contribución, y lo mismo á D. Mariano Villa, que ha re-' gentado la expresada Cátedra de Matemáticas por el propietario, y sobre haber sido constante la aplicación de este antiguo alumno, ha acreditado su zelo, y asistido ¿</t>
  </si>
  <si>
    <t>Mariano Villaespesa y Oquendo</t>
  </si>
  <si>
    <t>llón D. Bruno Barrera, y Subtenencias de bandera al Cadere del batallón de Voluntarios de Barbastro D Mariano Villaespesa y Oquendo, y al Sargento primero de granaderos D. Antonio Graciano: en el de Aragón Ayudantía al Teniente de granaderos , graduado de Capitán, D. Francisco Escaso: y er» el primer batallón</t>
  </si>
  <si>
    <t>Mariano Zorraquin</t>
  </si>
  <si>
    <t>Montes, D. Ildefonso Rifá y D. Pedro Bringas; al Subteniente de granaderos del provincial de Avila D. Mariano Zorraquin; al Subteniente del de infantería de Voluntarios de la Corona Don Josef Aguirre, y Teniente del provincial de Sigüenza D.. Josef Segovia; á los Cadetes de Reales Guardias de infan</t>
  </si>
  <si>
    <t>Marin</t>
  </si>
  <si>
    <t>acudido á este establecimiento, y han visto por sí mismos que no habia mas que algunos sarampiones. Mr. Marin les ha asejurado que no solo no habia ahora viruelas en el Liceo, sino que ni aun Ías habían visto una sola vez en cinco años, época en que se introduxo la vacuna en Francia y en</t>
  </si>
  <si>
    <t>Marín ÍD, Pedro</t>
  </si>
  <si>
    <t>Pedro Marín ÍD</t>
  </si>
  <si>
    <t>Toro, Lorca y León á D. Félix Vicente, Capitán agregado al primero, y á los Tenientes de granaderos D. Pedro Marín ÍD. Josef María Melendez; á Subteniente de Bandera en el referido de eon á D. Antonio Ramón de Barrio y Losada: á Teniente de fusileros y Subteniente de Bandera en el de Betanzos al</t>
  </si>
  <si>
    <t>Marino, Benito</t>
  </si>
  <si>
    <t>Benito Marino</t>
  </si>
  <si>
    <t>vinciales empleo de Capitán de granaderos en los de Pontevedra y Lorca á los Capitanes de fusileros D. Benito Marino y D. Joaquín Carrasco t de Teniente de granaderos en el de Ronda al Teniente de fusileros D. Cristóbal González: de Teniente de fusileros en el de Toledo al Subteniente de la misma cl</t>
  </si>
  <si>
    <t>Marinont, General</t>
  </si>
  <si>
    <t>General Marinont</t>
  </si>
  <si>
    <t>io.pt El General Marinont se Halla en Xéoben; donde ha hecho prisioneros mas de roo hombres de Caballería. ¿A. El * «Príncipe' Murat se halla tres días hace á media legua de Viena, la que habían evacuado t</t>
  </si>
  <si>
    <t>Maríuel Vicente de Torres Cónsul</t>
  </si>
  <si>
    <t>Gil y Nogues, en el término de «‘o dias contados desde el 6 del presente. Por la audiencia del Sr. D. Maríuel Vicente de Torres Cónsul, del Consejo dó 5 M Teniente Corregidor de esta villa, y escribanía del número de D. Tomas de Sancha y Prado, se remata una casa sita en esta Corte, calle de Jesús y María, ném. 1</t>
  </si>
  <si>
    <t>Marmont, General</t>
  </si>
  <si>
    <t>General Marmont</t>
  </si>
  <si>
    <t>iembre. Toda la guarnición Francesa, á las órdenes del General Vignolle, que manda por ausencia del General Marmont, ha celebrado la tiesta de la coronación del Emperador Napoleón. Ha habido salvas de artillería; y el domingo próximo hay convite en casa del Embaxador Francés, al qual asistirán</t>
  </si>
  <si>
    <t>la execucion de la en que se prohibía á los Oficiales del exército Bátavo obedecer las órdenes del General Marmont, que no tuviesen por objeto la expedición proyectada, ó la defensa del país contra las empresas del enemigo. ITALIA. Roma i.° de Diciembre. Alocución pronunciada por el Santísimo</t>
  </si>
  <si>
    <t>por,aquella parte. : Wurtzburgo 27 de. Setiembre, . ; Han llegado aquí el Mariscal Bernadotte y el General Marmont con los dos cuerpos de exército de su mando, los, quales, ireunidos al- exército Bávaro, que consta de 26© hombres, forman un exército respetable. Los soldados Bávaros manifiestan</t>
  </si>
  <si>
    <t>pl Pa!atinad.QrAÍtp!,;:jao tardarán-en reunirse igúai.jpei^te ,aí ex^cito íránc^s;^— La coiuna del .General Marmont , .después de.haber pasado por el territorio de S. A. el Elector Arehi-Ganci11er del* imperio , ha éntrado también en Franconia , dirigiéndose sobre Wértheirh y Moíback, y se encu</t>
  </si>
  <si>
    <t>nnover á Gottinga, se encamino por Francfort para Wurtzburgo, adonde llegó el 23 de Setiembre___ El General Marmont, que había llegado á Maguncia, ha pasado el Rhin por el puente de Cassel, dirigiéndose á Wurtzburgo, donde se ha reunido con el exército Bávaro y el cuerpo del Mariscal Bernadotte</t>
  </si>
  <si>
    <t>nido en la plaza. El cuerpo del Mariscal Davoust no ha llegado hasta el 8 á Neuburgo. El cuerpo del General Marmont ha llegado igualmente. El cuerpo del General Bernadotte y los Bávaros llegáron el dia 2 á Aichstett. Por las noticias que se han tomado parece que 12 Regimientos Austríacos han ve</t>
  </si>
  <si>
    <t>El General Marmont con sus tres divisiones pasó ¿1 iDanúbio, y sentó su campo entre A'cha y Augsburgo. „ . , Finalmente, el cuerpo de exército del Mariscal Bernadotte con el.exército Bávaro, mandado</t>
  </si>
  <si>
    <t>ito de Melas en Marengo. El Emperador estaba en el puente del Lech, quando desfiló el exército de 1 General Marmont. Mandó formar eñ círculo cada Regimiento, les habló de la situación del enemigo , de la proximidad de una gran batalla, y de la confianza que tenia en ellos. Quando hablaba esto h</t>
  </si>
  <si>
    <t>r las divisiones Klein y Beaumont, las quales derrotaban toda la caballería enemiga. i £1 día 14 el General Marmont ocupaba los puentes de Unterkirchcr y Oberkirch en la desembocadura del Iller al Danubio , y todas las comuni-, caciones del enemigó sobre el Iller. El dia 15 al amanecer se prese</t>
  </si>
  <si>
    <t>el Iser, y sé dirigen hácia el lnn, donde estarán esta noche el Mariscal Bernadotte por un lado, eí General Marmont por otro, y el Mariscal Davoust por otro. ESPAÑA, Madrid 15 de Noviembre.El martes de esta semana, dia del cumpleaños del Rey nuestro SeNor, se vistió la Corte de gala con uniform</t>
  </si>
  <si>
    <t>do en persona á Haag. El cuerpo de exército del Mariscal Soult está mas allá de Haag: el cuerpo del General Marmont pasa esta noche en Wihsbiburgo: el del Mariscal Ney en Landsberg : el del Mariscal Lannes en el camino de Landshut á Braunau: todas las noticias que se reciben del enemigo anuncia</t>
  </si>
  <si>
    <t>está mas allá de Lambach. Esta noche llegará el Mariscal Soult áWelsjel Mariscal Lannes á Lintz. El General Marmont va marchando para rodear la posición del Enns. El Príncipe Murat alaba al Coronel Couroux, Comandante del Regimiento 17 de infantería de línea. Las tropas manifiestan sumo valor é</t>
  </si>
  <si>
    <t>el general en la Abadía de Molk. Sus avanzadas se hallan en S. Polten (S. Hipólito). En este dia el General Marmont se ha encaminado hácia Leoben. Llegado á Weyer, ha encontrado el Regimiento de Giulay, le ha acometido y héchole 400 prisioneros , y entre ellos un Coronel y varios Oficiales; des</t>
  </si>
  <si>
    <t>vía, á causa del movimiento que ha hecho el Mariscal Moitier en la orilla izquierda del Danubio. El General Marmont debe haber pasado de Leobenw La Abadía de Molk, donde está-atojado el Emperador,, es una de las mas hermosas de Europa: se lian hallado las cuevas de esta Abadía llenas de buen vino</t>
  </si>
  <si>
    <t>Vieria hoy á las3 9¡ de !a mañana, y en este instante están pasando las del Mariscal Davoust. ** El General Marmont ha tenido en Léobén diferentes encuentros en las avanzadas. El exército Bávaro se aumenta de dia en dia.—El Emperador acaba de hacer al Elector nueves presentes: hale dado 15© fus</t>
  </si>
  <si>
    <t>ipe; Cárflps se iqfira á toda priesa, con la esperanza de llegar á tiempo para socorrer á Viena. ,j General Marmont avisa que el cuerpo que se habia adelantado hasta Oedembourg por el valle de la Muerh, ha evacuado aquel país después ¿de Jhab¡er, cortado todos los puentes, cuya precaución le ha</t>
  </si>
  <si>
    <t>Marmont, Mariscal</t>
  </si>
  <si>
    <t>Mariscal Marmont</t>
  </si>
  <si>
    <t>93 ? El Mariscal Marmont va á marchas forzadas á situarse en la altura de Illersheim, y el Mariscal Soult rodea por Memmingen la derecha del enemigo. La guardia Imperial ha salido de Augsburgo para Burgau</t>
  </si>
  <si>
    <t>Marque, Coronel</t>
  </si>
  <si>
    <t>Coronel Marque</t>
  </si>
  <si>
    <t>ef María de Carvajal , Teniente Coronel de¿ de Voluntarios de la Corona; y esta resulta al Teniente Coronel Marque* de Peñafiel, Tenienté del de Reales Guardias de infantería Española.' Por el Sr. Secretario de Estado y del Despacho de Gracia y Justicia sé ha comunicado con fecha de 20 de este</t>
  </si>
  <si>
    <t>Marques Brioso, Alonso Martín</t>
  </si>
  <si>
    <t>Alonso Martín Marques Brioso</t>
  </si>
  <si>
    <t>as de la ciudad de Velez-Málaga á D. Josef de Bravo y Heredia: para el de la villa de Tordesillas á D. Alonso Martin Marques Brioso: para la Vara de Alcaide mayor de la ciudad de Antequera á D. Pablo Jover y Placies; y para la de las ciudades de Vera y Moxacar á D. Francisco de Paula Padial. En América. El Rey</t>
  </si>
  <si>
    <t>Marques de la Plata, Felipe</t>
  </si>
  <si>
    <t>Felipe Marques de la Plata</t>
  </si>
  <si>
    <t>fD. Alonso Butrón. |D. Josef Alvarez Sotomayor. Guardias Marinas j D. Felipe Marques de la Plata, j D. Josef Bustiilo. ID. Josef Barros. vD. Andrés Pita. OFICIALES DEL EXERCITO. Muertos. Teniente Coronel y Capitán de Gra—&gt; ^ T r ^ ... naderos de Córdoba.:....................!</t>
  </si>
  <si>
    <t>Marques de la Solana, General</t>
  </si>
  <si>
    <t>General Marques de la Solana</t>
  </si>
  <si>
    <t>110 General Marques de la Solana, sirve interinamente los empleos de Capir tan General de Andalucía, y Gobernador de la plaza de Cádiz. ... ■! ■ '■ ' — ....... - ........... .. " ........-■■■■■■■' ........ ■■....</t>
  </si>
  <si>
    <t>Marques de Lucchesini</t>
  </si>
  <si>
    <t>enecia € de Enero. Un error producido por los nombres, había hecho creer que el Marques de Lucchesini, Ministro de Prusia, cerca del Emperador Napoleón, había pasado por Pésaro el mes último; pero luego se ha averiguado que era un hermano suyo. Las cartas de Constantinopla, de 15 de Diciemb</t>
  </si>
  <si>
    <t>Marques de Santacos</t>
  </si>
  <si>
    <t>as ó menos: á D. Pedro de Robles 500 pesos: á Doña Luisa Polo de Aguila 300: al Marques de Santacos, vecino de la villa de Mompós, 150 pesos, procedentes de un pagaré, que ignoraba si estaba satisfecho; y á un Eclesiástico llamado el Doctor Nuñez, vecino de la ciudad de Cáliz, Provincia</t>
  </si>
  <si>
    <t>Marques de Usategui</t>
  </si>
  <si>
    <t>próximo, á las 8 de su mañana, se ha* de ficeíebrar junta de acreedores del Sr. Marques de Usategui, vecino de Castellón de la Plana, en la posada del Sr. E&gt;. Torquato Antonio Collado, Teniente Corregidor de esta villa, por ante el Eseríb,anp-rd.é"íP:n&amp;jne$o D. QlaudiojSanz ,^ que se ,a</t>
  </si>
  <si>
    <t>Marques, Coronel</t>
  </si>
  <si>
    <t>Coronel Marques</t>
  </si>
  <si>
    <t>años del seííor infante don tédro. &gt; ; S. M: se ha dignado promover á Brigadier de sus Exércitos ál Coronel Marques de ¿ayas^Gobernador Militar y Político de Salamanca. El Rey. se:lia&gt;servido conferir el Gobierno del castillo de S. Sebas</t>
  </si>
  <si>
    <t>Marques, Francisco</t>
  </si>
  <si>
    <t>Francisco Marques</t>
  </si>
  <si>
    <t>Domingo de Ugarte, Racionero de ella; y para la Canongía Penitenciaria de la Iglesia de Comayagua á D. Francisco Marques, Presbítero , y Cura que fue de este Obispado. El dia 5 de Mayo de este año, con asistencia del ilustre Ayuntamiento, del Cléro secular, de'la Comunidad de PP. Dominicos, y de un</t>
  </si>
  <si>
    <t>Marquesi, Luis</t>
  </si>
  <si>
    <t>Luis Marquesi</t>
  </si>
  <si>
    <t>ñía Italiana, á Exento de número al Supernumerario D. Mariano Garcés; á Supernumerario al Brigadier D. Luis Marquesi; á Brigadier al Subrigadier D. Joaquín de Arcos; á Subrigadier al Cadete D. Cayetano Torreani; á Cadete de número al Supernumerario D. Josef Chela, y á Supernumerario al Guardia D</t>
  </si>
  <si>
    <t>Marrano Salazar</t>
  </si>
  <si>
    <t>Ración de la Catedral de Cuenca , en el Perú, vacante por fallecimiento de D. Vicente de Heredia, á D. Marrano Salazar; y para la Media-Ración, que este dexa en ella, á D. Josef Miguel Carrion. S. M. se ha dignado conferir el empleo de Capitán del Batallón de Milicias disciplinadas de infantería d</t>
  </si>
  <si>
    <t>Marrón, Santiago</t>
  </si>
  <si>
    <t>Santiago Marrón</t>
  </si>
  <si>
    <t>adetes D. Mauricio Rengifo y D. Manuel Diaz Zapata; y en el de León al Sargento segundo distinguido D. Santiago Marrón. En el Regimiento de infantería de Córdoba se ha servido S. M. promover á Subtenientes de bandera á los Cadetes D. Andrés Robledo y D. Joaquín de Pierra. En el Real Cuerpo de Arti</t>
  </si>
  <si>
    <t>Marshall, Capitán</t>
  </si>
  <si>
    <t>Capitán Marshall</t>
  </si>
  <si>
    <t>ias cartas de Liverpool que anuncian este suceso, cuya noticia ha traído el Tritón, mandado por "el Capitán Marshall, procedente de Sta. Lucía el h de Mayo, y que arribó el 29 de Junio. El 14 de Mayo se supo en Sta. Lucía ,- por .aviso del Capitán Morris., que .manda en la Roca acl Üiamante^ que</t>
  </si>
  <si>
    <t>Marti, Ángel</t>
  </si>
  <si>
    <t>Ángel Marti</t>
  </si>
  <si>
    <t>en la. misma junta á los premiados, á saber, el primer premio de una medalla de 4 onzas de plata á D. Angel Marti; el 2.0 de otra medalla de plata de igual peso á D. Juan Carbonell, y un premio extraordinario de otra medalla también de plata de 4 onzas, que costeó el Profesor de la escuela Do</t>
  </si>
  <si>
    <t>Marti, Juan</t>
  </si>
  <si>
    <t>Juan Marti</t>
  </si>
  <si>
    <t>iento de infantería de la Princesa al Sargento mayor del de Zamora, gra^ duado de Teniente Coronel, D. Juan Marti: Tenencia en el de Voluntarios de Estado ai Subteniente D. Francisco Sánchez Peña; y Subtenencias de bandera en el de Ultonia al Cadete D. Félix Alcantarena y Garayoa, y en el de</t>
  </si>
  <si>
    <t>Martín-Alegría, Antonio</t>
  </si>
  <si>
    <t>Antonio Martín-Alegría</t>
  </si>
  <si>
    <t>8.’ id. Antonio Martin-^ Hijo de D. Prudencio y de D.a Ines 7Í6 33*</t>
  </si>
  <si>
    <t>Martínez Aguilar, Fernando</t>
  </si>
  <si>
    <t>Fernando Martínez Aguilar</t>
  </si>
  <si>
    <t>leros D. Cayetano Diaz del Castillo: á Tenientes de fusileros en los de Lorca, Monterey-y Córdoba á D. Fernando Martínez Aguilar, Teniente, agregado, y á los Subtenientes de granaderos D. Josef Domínguez y Don Francisco Valdelomar : á Subteniente dé granaderos en el de Avila álj de fusileros D. Benito Rubio</t>
  </si>
  <si>
    <t>Martínez Carayol, Tomás</t>
  </si>
  <si>
    <t>Tomás Martínez Carayol</t>
  </si>
  <si>
    <t>el de la Parroquia de Santiago de la ciudad de Huáscar, Reyno de Granada , vacante por promofion de D. Tomas Martínez Carayol a otro Beneficio de la Parroquia de Sta. María de la misma ciudad, á D. Francisco de Paula Cocostegui. j En América. El Rey se ha servido nombrar para la primera de dos Canongías</t>
  </si>
  <si>
    <t>Martínez de Aparicio, Andrés</t>
  </si>
  <si>
    <t>Andrés Martínez de Aparicio</t>
  </si>
  <si>
    <t>de Ramiro y Martin. En Sevilla.............D. Joseph Antonio Gómez é hijo. En Soria.................D. Andrés Martínez de Aparicio. En Toledo............... Sres. Chavarri y Posadillo. En Toro.................. D. Joseph Ligero. En Valencia.......... Sres. D. Francisco Peyrolon y compañía. EnValladolid.......</t>
  </si>
  <si>
    <t>de Ramiro y Martin. En Sevilla............. D. Josef Antonio Gómez é hijo. En Soria............... D. Andrés Martínez de Aparicio. En Toledo............. Sres. Chavan-i y Posadiüo. En Valencia..........Sres. D. Francisco Peyrolon y compañía. En Valladolid. Sres. D. Francisco Durango é hijo mayor. En Zamora..</t>
  </si>
  <si>
    <t>da de Ramiro y Martin. En Sevilla............ D. Josef Antonio Goiiiez é hijo. En Soria............ D. Andrés Martínez de Aparicio. En Toledo..... . Sres. Chavarri y Posadilfó. Eli Valencia......... Sres. D. Francisco Fevfoloft V compañía. " En Válladolid...... Sr?s. D. Francisco Dúrango é hijo mayor. . En Za</t>
  </si>
  <si>
    <t>Martínez de Cuellar, Juan</t>
  </si>
  <si>
    <t>Juan Martínez de Cuellar</t>
  </si>
  <si>
    <t>las Carretas. Desengaño del hombre en el tribunal de la fortuna y casa de descontentos, ideado por D. Juan Martínez de Cuellar: obra muy instructiva para la historia.= Las églogas y geórgicas deVirgilio: Rimas;y el Pompeyo,tragedia: su autor Don Cristóbal de Mesa, uno de los mejores autores Españoles. Se</t>
  </si>
  <si>
    <t>Martínez de Godoy, Ángel</t>
  </si>
  <si>
    <t>Ángel Martínez de Godoy</t>
  </si>
  <si>
    <t>an y al Egipto, por el Teniente Coronel Ta-ylor, traducidas libremente dd-francés ai castellano por D. Angel Martínez de Godoy: un tomo en 8.° marquilla. Se hallará en la librería de Sancha, calle del Lobo, y en la de Castillo, frente á las gradas de S. Felipe. Libro 5.0 de las Fábulas de D. Félix María S</t>
  </si>
  <si>
    <t>Martínez de Hermosilla, Juan</t>
  </si>
  <si>
    <t>Juan Martínez de Hermosilla</t>
  </si>
  <si>
    <t>a Sociedad, í2 el Excmo. Sr. Arzobispo Director, 7 el Vice-Director Marques de Valera, y 4 el socio D. Juan Martínez de Hermosilla, con destino á las Escuelas Fias. A mas de los 35 premios dio la Sociedad uno de honor á D. Francisco de Sales de la Cerda y Palafox, 6 de segunda clase de 40 rs. cada uno á otros</t>
  </si>
  <si>
    <t>Martínez de Irujo, Carlos</t>
  </si>
  <si>
    <t>Carlos Martínez de Irujo</t>
  </si>
  <si>
    <t>echo por el Marques de Condorcet, y traducido al castellano, con varias adiciones del original, por D. Carlos Martínez de Irujo: un tomo en 8.° marquilla, á 14 rs. en pasta. Se hallarán en el despacho de la Imprenta Real. Quien quisiere hacer mejora á la mitad de un olivar sito en término y jurisdicción de</t>
  </si>
  <si>
    <t>Martínez de la Piscina, Joaquín</t>
  </si>
  <si>
    <t>Joaquín Martínez de la Piscina</t>
  </si>
  <si>
    <t>y hallándose puestos los billetes para su rifa al moderado precio de 20 rs., se reparten estos por D. Joaquín Martínez de la Piscina, Tesorero del Real Consulado de dicha ciudad, en su oficina desde las nueve de la mañana hasta la una todos los dias; y parala mayor comodidad de las personas en otros pueblos que</t>
  </si>
  <si>
    <t>Martínez de Moles, Manuel</t>
  </si>
  <si>
    <t>Manuel Martínez de Moles</t>
  </si>
  <si>
    <t>43,686 is.; y la segunda «r 3,\T3n-' 20 j’ er, i3o&gt;8o9 rs: Quien-quisiere tratar de ajuste, acuda á Don Manuel Martínez de Moles, que vive calle de Cedaceros, núm. 1, quarto principal. En el lugar de S. Sebastian de los Reyes, 3 leguas distante de esta Corte, se vende, á voluntad de su dueño, una casa grand</t>
  </si>
  <si>
    <t>Martínez de Mollinedo, Sebastián</t>
  </si>
  <si>
    <t>Sebastián Martínez de Mollinedo</t>
  </si>
  <si>
    <t>e Santa María de Almansa, en el Obispado de Cartagena, por fallecimiento de D. Manuel de Palacio, á D. Sebastian Martínez de Mollinedo. El dia 28 de Setiembre del año próximo pasado falleció, á los 69 años de su edad, el Dr. D. Jayme Pascual, Canónigo Regular Premonstratense, en su monasterio de Sta. María de las</t>
  </si>
  <si>
    <t>Martínez de Pinillos, Claudio</t>
  </si>
  <si>
    <t>Claudio Martínez de Pinillos</t>
  </si>
  <si>
    <t>3o1 tandarte D. Claudio Martínez de Pinillos; y esta resulta al Cadete Don Melchor de Armenteros. En el de infantería fixo de Puerto Rico ha conferido el Rey el empleo de Coronel al Teniente Coronel, graduado de Coronel, D.</t>
  </si>
  <si>
    <t>Martínez del Arne, Manuel</t>
  </si>
  <si>
    <t>Manuel Martínez del Arne</t>
  </si>
  <si>
    <t>para una Média-Racion de la Cátedra h de Ségovia ,; vacante per fallecimiento de D. Tomas Moreno, á Don Manuel Martínez del Arne: para el Beneficio dé la villa del Tiemblo^ Diócesi de Avila , vacante por muerte dé D. FraociscoEscribanoMolano, á D. Julián García de Vegas, Capellán curado del lugar de Paxaréj</t>
  </si>
  <si>
    <t>Martínez del Pozo, Antonio Lorenzo</t>
  </si>
  <si>
    <t>Antonio Lorenzo Martínez del Pozo</t>
  </si>
  <si>
    <t>... • . -&gt;;• . .1.. El Rey se ha‘¿fer%ido nombrar para la Alcaldía mayor de la ciudad de Alicante á D. Antonio Lorenzo Martínez del Pozo. Habiéndose verificado el dia 18 del corriente la quema pública de todos los Vales de Febrero y Marzo de los años de 1799 y 800, y de Enero de 1801: de los de Abril de 1799 y 800;</t>
  </si>
  <si>
    <t>Martínez García, Manuel</t>
  </si>
  <si>
    <t>Manuel Martínez García</t>
  </si>
  <si>
    <t>cias disciplinadas de caballería de Buenos-Ayres se ha servido S. M. promover á Capitán ai Teniente D. Manuel Martínez García; á Tenientes á los Alféreces D. Antonio Nazareo de Uriarte, Don Blas de Cárdenas, D. Nicolás Arniaud y D. Juan Manuel de Alcega, y á Alféreces á los Portaestandartes D. Agustín Go</t>
  </si>
  <si>
    <t>Martínez Gómez, Vicente</t>
  </si>
  <si>
    <t>Vicente Martínez Gómez</t>
  </si>
  <si>
    <t>costa, en los que fuéron examinados D. Josef Gutiérrez, D. Juan María Maestre y D011 Manuel Sotelo, D. Vicente Martínez Gómez y el Dr. D. Francisco Velazquez, los tres primeros en los ramos de aritmética, álgebra, geometría y trigonometría, y los dos segundos en mecánica é hidráulica. Fuéron premiados con la</t>
  </si>
  <si>
    <t>Martinez Marina, Francisco</t>
  </si>
  <si>
    <t>Francisco Martinez Marina</t>
  </si>
  <si>
    <t>órico crítico sobre el origen y progresos de las lenguas, señaladamente del romance castellano, por D. Francisco Martinez Marina: 3.a Discurso histórico sobre el origen y sucesión del reyno Pirenáyco hasta D. Sancho el Mayor, por D. Joaquín Traggta: 4.a Nueva demostración sobre la falsedad del privilegio de</t>
  </si>
  <si>
    <t>Martínez Palero, Juan Francisco</t>
  </si>
  <si>
    <t>Juan Francisco Martínez Palero</t>
  </si>
  <si>
    <t>l que con el t'tuio de Múñela y Cértirna, celtibéricas, dió á luz el R. P. M. Fr. Manuel Risco, por D. Juan Francisco Martínez Palero: 6.* Discurso sobre los ilustres autores é inventores de la Artillería que han florecido en España desde los Reyes Católicos hasta el presente , por D. Vicente de los Ríos. Véndes</t>
  </si>
  <si>
    <t>Martínez Pingarron, Manuel</t>
  </si>
  <si>
    <t>Manuel Martínez Pingarron</t>
  </si>
  <si>
    <t>istianos y de. los Israelitas, escritas en francés-por el Abad Eleuri, y traducidas en Español por. D. Manuel Martínez Pingarron: 2 tomos en 8.°, á 5 rs. en rústica. = Geografía general, con el uso del globo y de los mapas, explicada por el‘P. Cayetano de Santo Domingo, de las Escuelas Pías: un tomo en 8.°,</t>
  </si>
  <si>
    <t>Martínez Unamuzaga, Pedro</t>
  </si>
  <si>
    <t>Pedro Martínez Unamuzaga</t>
  </si>
  <si>
    <t>ría Verdugo , D. Ignacio Gamio, y D. Manuel López; y empleos de Alférez á D. f rancisco Horcasitas, D. Pedro Martínez Unamuzaga, Don' Pedro Cañedo, D. Manuel GonzálezÁramburu, D. Juan Manuel Lozano, D. Ventura del Castaño, D. Mariano Cruceta, D..SantiagoRizo, D. Eugenio Ibarrcia, D. Josef Osorio, y-'D. Mar</t>
  </si>
  <si>
    <t>Martinez Vallejo, Ignacio</t>
  </si>
  <si>
    <t>Ignacio Martinez Vallejo</t>
  </si>
  <si>
    <t>Rey se ha servido promover á Coronel del Regimiento de infantería fixo de Ceuta al Coronel graduado D. Ignacio Martinez Vallejo, Teniente Coronel del de infantería de Saboya: á Teniente Coronel del de infantería Suizo de Wimpffen al Capitán primero del mismo D. Víctor Wirtz, graduado de Teniente Coronel: á</t>
  </si>
  <si>
    <t>Martinez, Antonio</t>
  </si>
  <si>
    <t>Antonio Martinez</t>
  </si>
  <si>
    <t>iputado de escuelas, asistiendo por convite los Sres. D. Francisco Bonilla, Vicario Eclesiástico, y D. Antonio Martinez, Cura ecónomo de su Parroquial, con un numeroso concurso de Eclesiásticos seculares y regulares, y otras personas ilustradas del pueblo, que fueron complacidas y satisfechas de ve</t>
  </si>
  <si>
    <t>Martínez, Antonio</t>
  </si>
  <si>
    <t>Antonio Martínez</t>
  </si>
  <si>
    <t>Id. Ayud. Antonio Martinez. Hijo de Francisco y de Feliciana Dañe­</t>
  </si>
  <si>
    <t>Martínez, Bartolomé</t>
  </si>
  <si>
    <t>Bartolomé Martínez</t>
  </si>
  <si>
    <t>ica de cristales de D. Dionisio Prat, donde darán razón. Se desea saber si vive Bartolomé Martínez, hijo de Eugenio y de Antonia Vidal, natural de Valencia; y si hubiere fallecido, en qué Parroquia está enterrado.</t>
  </si>
  <si>
    <t>Martinez, Bernardo</t>
  </si>
  <si>
    <t>Bernardo Martinez</t>
  </si>
  <si>
    <t>colía á D. Antonio García:para la Tesorería á D. Blas Josef Clá; y para la Canongía que este dexa á D. Bernardo Martinez, Cura del Sagrario de aquella Santa Iglesia: para igual Dignidad de Arcediano de la de Truxillo, vacante por muerte de D. Simón de Lavalle, á D. Gregorio de Gui^nea, Canónigo Magi</t>
  </si>
  <si>
    <t>Martínez, Esteban</t>
  </si>
  <si>
    <t>Esteban Martínez</t>
  </si>
  <si>
    <t>Esteban Martínez.... Hijo de Manuel, natural de Fuente Pinilla,</t>
  </si>
  <si>
    <t>Martínez, Francisco</t>
  </si>
  <si>
    <t>Francisco Martínez</t>
  </si>
  <si>
    <t>ez , los tres últimos de granaderos; á Subtenientes de granaderos los de fusileros D. Tomas Gandía, D. Francisco Martínez y D. Domingo Postigo; y á Subtenientes á los Sargentos primeros D. Josef Saqui y D. Manuel Alvarez, de granaderos. Finalmente, en el Regimiento de Milicias disciplinadas de caballería</t>
  </si>
  <si>
    <t>Martínez, Gabriel</t>
  </si>
  <si>
    <t>Gabriel Martínez</t>
  </si>
  <si>
    <t>egimiento de dragones de España fixo de Métrico se ha servido el Rey promover á Capitán al Teniente D. Gabriel Martínez; y en el Cuerpo provincial &lt;Je lanceros de Veracruz. á Ayudante al Tenien-r te D. Antonio Rodríguez González, En el Regimiento provincial de dragones de Nue.va-Gallcía en Nueva— E</t>
  </si>
  <si>
    <t>Martínez, Pedro</t>
  </si>
  <si>
    <t>Pedro Martínez</t>
  </si>
  <si>
    <t>ESPAÑA. Hellin, Reyno de Murcia, 2 y de Agostó. Don Pedro Martínez, Médico titular de esta villa, por eí mes der Agosto del año de 1801 introduxo aquí la inoculación de la vacuna, contándose hasta el presente 500 individuos que se han sujetado á</t>
  </si>
  <si>
    <t>a villa de Blanca, ha vacunado un considerable numero en dicha villa y todo su valle. El mencionado D. Pedro Martínez ofrece con la mayor brevedad manifestar al público algunas observaciones, que pueden ser de mucha utilidad, para precaver á los que asisten á los enfermos de calenturas pútridas c</t>
  </si>
  <si>
    <t>fPedro Martínez....... Hijo de Josef, nat. de Totana, /JReyno</t>
  </si>
  <si>
    <t>Martínez, Santiago</t>
  </si>
  <si>
    <t>Santiago Martínez</t>
  </si>
  <si>
    <t>osef.Joaquín.Chacen ? para el Arcedianátoque este: dexa á D. Manuel de Solazar : para la Chantría á D. Santiago Martínez , Maestrescuela : para esta Dignidad á D. Bernardo Baamonde , Canónigo mas antiguo ; y para esta Canongía á D. Manuel Gonzafez de Aguírre, Racionero primero. Para la Chantría de l</t>
  </si>
  <si>
    <t>Martínez, Sebastián</t>
  </si>
  <si>
    <t>Sebastián Martínez</t>
  </si>
  <si>
    <t>quisiere hacer postura á ella, acuda á dicha escribanía. Los acreedores á la testamentaría del Sr. D. Sebastian Martínez, Consejero de Hacienda, y Tesorero general que fué, y falleció en Murcia el 23 de Noviembre de 18 00, pueden acudir por sí ó sus apoderados, con los documentos que acrediten sus a</t>
  </si>
  <si>
    <t>Martínez, Vicente</t>
  </si>
  <si>
    <t>Vicente Martínez</t>
  </si>
  <si>
    <t>o de Ager: para otra de la Colegial de Calatayed, Diócesi de Tarazona, vacante por fallecimiento de D. Vicente Martínez, á D. Juan Felipe Borau, Capellán retirado del Regimiento de infantería de Granada: para el Oficio regular de Refitolero del Real Monasterio de S. Cugat del Vallés, vacante por pr</t>
  </si>
  <si>
    <t>Martipara, Juan</t>
  </si>
  <si>
    <t>Juan Martipara</t>
  </si>
  <si>
    <t>e Soler Grifé de la Catedral de. Sobona, vacante por fallecimiento de D. Josef Balnis y Busquéis, á D. Juan Martipara una Ración Penitenciaria*de la Catedral de Roda, en la Diócesi de Lérida, vacante por promoción de D. Antonio Torregrosa á otra de la Parroquial de Bernegal, en la misma Diócesi,</t>
  </si>
  <si>
    <t>Marzo, Francisco</t>
  </si>
  <si>
    <t>Francisco Marzo</t>
  </si>
  <si>
    <t>duó por el orden con que van nombrados, en esta forma: D. Juan Antonio Pradas, D. Joaquín Lacambra, D. Francisco Marzo* D. Jacinto Araús , D. Sebastian Puertas, D. Genaro Nasarre y D. Ignacio» Aranda. Escuela de Agricultura. Ál fin del curso de esta ciencia, y en los días 4 y 25 del propio mes de</t>
  </si>
  <si>
    <t>Mas, Francisco</t>
  </si>
  <si>
    <t>Francisco Mas</t>
  </si>
  <si>
    <t>Tarragona , 66. 12. Francisco Mas............Otro.,,,, Maria Nauvina, ,, Monroig , , Tarragona 66. 12. Francisco Torrens. . . Otro. ,, ,, Rosaura Delio, , , Sacuita , , ,</t>
  </si>
  <si>
    <t>Mas, Juan Bautista</t>
  </si>
  <si>
    <t>Juan Bautista Mas</t>
  </si>
  <si>
    <t>cuelas de las casas de huérfanos de S. Vicente, nuestra Señora de la Misericordia, y fundaciones de D. Juan Bautista Mas, y de D. Francisco Xavier Navarro y Doña María Caudevlla, baxo las mismas condiciones y exámen----- Para estimular á la buena educación en otras poblaciones de este Reyno, seis pr</t>
  </si>
  <si>
    <t>Massena, Mariscal</t>
  </si>
  <si>
    <t>Mariscal Massena</t>
  </si>
  <si>
    <t>rasburgo. Hoy han salido las compañías de cazadores,'y mañana salen les granaderos.__ Dícese que el Mariscal Massena va á Italia á mandar el exército Francés. Las fronteras del lmperio parecen amenazadas por ios movimientos de los exércitos Austríacos. Treinta mil hombres de los campamentos de B</t>
  </si>
  <si>
    <t>Se han confirmado de oficio las noticias de los triunfos conseguidos en Italia por el exército del Mariscal Massena, El primer diario del exército de Italia se publicará mañana. (Gazeta de Francia.) Continua la exposición de los motivos que han determinado la conducta de S. A, £* Palatina de. B</t>
  </si>
  <si>
    <t>o Austríaco en Italia, y Je" imposibilita su retirada en los países hereditarios , .mientras que el Mariscal Massena va arrojándolo al otro lado del Piave y del Tagliamento. Y sin duda el exército del Principe Carlos tendrá el mismo paradero que tuvo en Suabia el de Mack. Esperando saber circuns</t>
  </si>
  <si>
    <t>Massia, Juan</t>
  </si>
  <si>
    <t>Juan Massia</t>
  </si>
  <si>
    <t>ef Franquesa; á Cadete de número al Supernumerario D. Joaquín Colomé; y á Supernumerario al Guardia D. Juan Massia. En los Regimientos Provinciales ha promovido S. M. á Capitanes de fusileros en los de Toro, Lorca y León á D. Félix Vicente, Capitán agregado al primero, y á los Tenientes de gra</t>
  </si>
  <si>
    <t>Maté, Vicente</t>
  </si>
  <si>
    <t>Vicente Maté</t>
  </si>
  <si>
    <t>osef Aragó y Fita; y para la Vara de Alcalde mayor de la ciudad de Almuñecar y villa de Salobreña á D. Vicente Maté. £i Mariscal de Campo D. Pedro deTruxillo ha dado cuenta de que habiendo salido del puerto de Flanes para el Señorío de Vizcaya 5 lanchas, fuéron atacadas el dia 30 de Mayo por 2</t>
  </si>
  <si>
    <t>Mato y Mauri, Melchor</t>
  </si>
  <si>
    <t>Melchor Mato y Mauri</t>
  </si>
  <si>
    <t>a Colegial de San Juan de las Abadesas, Diócesi de Vique, vacante por muerte de IX Pedro Creuhet, á D. Melchor Mato y Mauri ; y para un Beneficio de parentela, baxo la invocación de nuestra Señora del Remedio y S. Bartolomé de la Parroquial de Petrel, Diócesi de Orihuela, vacante por fallecimiento de D</t>
  </si>
  <si>
    <t>Mato, Juan Luis</t>
  </si>
  <si>
    <t>Juan Luis Mato</t>
  </si>
  <si>
    <t>Parroquia de la villa de Hinojosa de Duero, en la Diócesi de Ciudad-Rodrigo, vacante por muerte de D. Juan Luis Mato, á D. Agustín Perez Zaragoza: para el Beneficio simple servidero de la Parroquia de S. Lorenzo de la ciudad de Murcia, vacante por fallecimiento de D/Miguel Antonio de Ribera, á D</t>
  </si>
  <si>
    <t>Mattignoli</t>
  </si>
  <si>
    <t>ir sus respetos á S. M.la Reyna Regente de Etruria, Infanta de España. FRANCIA. Oénova 77 de Julio. Mr. Mattignoli, Cónsul general Austríaco, ha venido á esta ciudad para exercer las funciones que le ha confiado su Corte. Luego que llego se presentó á S. A. S. el Archi-Tesorero Lebrun en calid</t>
  </si>
  <si>
    <t>Maturana, Vicente María</t>
  </si>
  <si>
    <t>Vicente María Maturana</t>
  </si>
  <si>
    <t>S. M. se ha dignado nombrar Gefe de Escuela del Departamento de Artillería de Sevilla al Brigadier D. Vicente María Maturana , Coronel del tercer Regimiento del propio Real Cuerpo. Por providencia del Sr. Intendente de esta Provincia D. Pedro de Mora y Lomas se han señalado 30 días, contados desde el 16</t>
  </si>
  <si>
    <t>Matute, Bartolomé</t>
  </si>
  <si>
    <t>Bartolomé Matute</t>
  </si>
  <si>
    <t>este dexa á Don Pablo Laurnaga: para la Chantría á D. Josef de Silva: para la Tesorería al Canónigo D. Bartolomé Matute: para su Canongía á D. Pedro Nolasco de Toro : para la Ración que este dexa á D. Francisco Xavier de Irurzun ; y para la Media-Ración que resulta á D. Luis de la Torre y Urrutia&gt;</t>
  </si>
  <si>
    <t>Matute, Juan</t>
  </si>
  <si>
    <t>Juan Matute</t>
  </si>
  <si>
    <t>o en el S. Agustín. Tententes de Navio. D. Juan González Cisniega, muerto: D. Joaquín de Salas id.: D. Juan Matute id.: D. Agustín Monzon id. : D. Juan Donesteve id.: D. Ramón Amaya id.: D. Francisco Calderón, herido: D. Marcos Guruzeta id.: D. Joaquin Jorganes id.: D. Luis Moreno id.: D. Rafa</t>
  </si>
  <si>
    <t>Maupetit, Coronel</t>
  </si>
  <si>
    <t>Coronel Maupetit</t>
  </si>
  <si>
    <t>coraceros., á quien traxo prisionero después de haber acuchillado á un soldado de á caballo----- El Coronel Maupetit al frente del 9.0 de dragones, embistió en el lugar.de Wertingen; y herido mortalmente, sus últimas palabras fueron: que sepa el Emperador que el o.° de dragones ha sido digno de</t>
  </si>
  <si>
    <t>Mauricio</t>
  </si>
  <si>
    <t>Sr. D. Tomas Moyano,.del Consejo de S. M., su Alcade de Casa y Corte, y escribanía de provincia de D. Mauricio justo del Rincón, se ha mandado sacar á pública subasta por término de 30 dias una casa sita en la bastada de Sta. Cruz, núm. 3, manz. 203, que tiene de sitio 10,776 pies, y se ha</t>
  </si>
  <si>
    <t>Mauricio Justo</t>
  </si>
  <si>
    <t>da en 440,963 rs., acuda ante él Sr. Alcalde de Corte D. Tomas Moyano, y escribanía de provincia de D. Mauricio Justo del;Rincon¿.en el término de'30 dias contados desde el 2 2 del corriente. En virtud de providencias del Sr. AlcalderD¿ Juan Antonio de Inguánzo ,se ha mandadojsacar 4 pública subasta</t>
  </si>
  <si>
    <t>Mauricio Justo del Rincón</t>
  </si>
  <si>
    <t>y media, tasado en 259,912 rs. Quien quisiere hacer postura, acuda á la escribanía de provincia de D. Mauricio Justo del Rincón. Se halla vacante la plaza de Maestro de Primeras Letras de la.villa de Ponferrada, capital de la Provincia del Bierzo, Reyno de León:.tiene de dotación fíxa 2300 rs. .anuales* qu</t>
  </si>
  <si>
    <t>Mauricio Justo- del Rincón</t>
  </si>
  <si>
    <t>Sr. D. Tomas Moyana, del Consejo de- S: M, su Alcalde de Casa y Córte, y escribanía de provincia de D. Mauricio Justo- del Rincón, se ña mandado sacar á pública subasta, por término de 30 dias contadb» desde el 3 del corriente, dos casas sitas en esta Corte en la calle del PríifCipeY 1* num. 6+ manz. 216 , t</t>
  </si>
  <si>
    <t>Mauricio Rengifo</t>
  </si>
  <si>
    <t>do del de Reales Guardias Waloras D. Pedro Thibeau: en los de la Corona y Extremadura á los Cadetes D. Mauricio Rengifo y D. Manuel Diaz Zapata; y en el de León al Sargento segundo distinguido D. Santiago Marrón. En el Regimiento de infantería de Córdoba se ha servido S. M. promover á Subtenientes de b</t>
  </si>
  <si>
    <t>Mauricio Zamalloa</t>
  </si>
  <si>
    <t>. Juan Carrion, y de fusileros á D. Manuel Caballero, D. Josef Matías de Paredes, D. Diego de Sosa, D. Mauricio Zamalloa, D. Teodoro Martínez dei Campo, D. Mariano Mallea, Don Josef Marcelino de Molina y D. Manuel Melchor Vargas; Ayudantía á D. Isidro Quevedo; Tenencia de granaderos á D. Nicolás Rom</t>
  </si>
  <si>
    <t>Maury, Cardenal</t>
  </si>
  <si>
    <t>Cardenal Maury</t>
  </si>
  <si>
    <t>--A las 3 de la tarde recibió en audiencias particulares á S. A. S. el Príncipe de Saxonia-Gota, al Cardenal Maury, y á los Embaxadores de Ñapóles y de Portugal. Los mismos personages se presentaron después á la Reyna, como también el Cardenal Arzobispo de Genova, y varias Damas de las primera</t>
  </si>
  <si>
    <t>Mayeii, Diego</t>
  </si>
  <si>
    <t>Diego Mayeii</t>
  </si>
  <si>
    <t>e .tiene afecto por reglamento, y D. Bartolomé Morales t á Tenientes de granaderos los de fusileros D. Diego Mayeii y D. Juan de Fierra; á Tenientes los Subtenientes de granaderos D. Francisco Ribera y D. Juan de Castro Palomino, y á D. Francisco Vázquez y Gálan^ Teniente que fue de Jas Mili</t>
  </si>
  <si>
    <t>Mayol, Martín</t>
  </si>
  <si>
    <t>Martín Mayol</t>
  </si>
  <si>
    <t>Oviedo............. D. Manuel Rubiano. En Patencia.......... D. Nicolás Calonge. En Palma.......... D. Martin Mayol. En Pamplona........ Sres. viuda de Barbería é hijo. En Salamanca...... Sres. Urrero y Casaseca. En Santander........Sres. Vial é hijo y compañía. En Segovia.............Sres. viu</t>
  </si>
  <si>
    <t>&lt;52 2 En Palma....... D. Martin Mayol. En Pamplona....... Sres. viuda de Barbería é hijo. En Salamanca..... Sres. Utrero y Casaseca. En Santander...... Sres.'Vial é hijo y compañía. _ En Segovia........... Sres. viuda</t>
  </si>
  <si>
    <t>id..-D.^Manuel Riibiáno. En Patencia...... Viuda de D» Nicolás Calónge d hijo mayor. En Palma...... D. Martin Mayol. En Pamplona......&lt; Sres. viudá de Barbería é hijo. En Salamanca..... Sres. Utrero y Casaseca. En Santander...... Sí?s» Vial e hijo y compañía. En Segovia.......... Sres. viuda de</t>
  </si>
  <si>
    <t>Mayone y González, Juan Luis</t>
  </si>
  <si>
    <t>Juan Luis Mayone y González</t>
  </si>
  <si>
    <t>n motivo de haberse levantado el tercer Batallón del referido Cuerpo á expensas propias de su padre D. Juan Luis Mayone y González, Brigadier y Coronel del Regimiento de infantería Walona de Brabante, en el qual obtuvo Compañía á los 7 de edad. Se halló en toda la campaña de Portugal, sitio y rendición de la</t>
  </si>
  <si>
    <t>Mayone, Joaquín</t>
  </si>
  <si>
    <t>Joaquín Mayone</t>
  </si>
  <si>
    <t>ste presente año falleció en la ciudad de Murcia, á los 67 años y 3 meses de su edad, el Excmo. Sr. D. Joaquin Mayone, Ferrari , González y Borromei, natural de esta Corte, Conde de Cumbrehermosa , Teniente General de los Reales Exércitos, y Gentilhombre de Cámara de S. M. con entrada. Empezó á s</t>
  </si>
  <si>
    <t>Mayor Austriaco Smith, General</t>
  </si>
  <si>
    <t>General Mayor Austriaco Smith</t>
  </si>
  <si>
    <t>l exército grande. : JEn el palacio de Schoenbrtmn it¡ de Noviembre. En el combate de Diernstein el General Mayor Austriaco Smith, que dirigía los movimientos de los Rusps, quedó muerto, como también des Generales Rusos, Parece que el Coronel Wattier no ha muerto , sino que habiéndole matado el caballo quedo</t>
  </si>
  <si>
    <t>Mayor Bátavo Bruce, General</t>
  </si>
  <si>
    <t>General Mayor Bátavo Bruce</t>
  </si>
  <si>
    <t>,51 número de prisioneros que hace el exército se aumenta cada dia. S. M. ha dado hoy audiencia al General Mayor Bátavo Bruce, que lia venido á felicitar al Emperador de parte de los Estados de Holanda. El Emperador no ha recibido todavía ninguna de las Autoridades de Viena &gt; sino solamente una diputació</t>
  </si>
  <si>
    <t>Mayor Conde de Grun, General</t>
  </si>
  <si>
    <t>General Mayor Conde de Grun</t>
  </si>
  <si>
    <t>rabajo de mi Estado mayor he distribuido el servicio en quatro divisiones principales, á saber-, al General Mayor Conde de Grun he encargado la parte política, las promociones y nombramientos: al Teniente General Zach Jas operaciones propias de la guerra: al Teniente Coronel Picard la policía del exército;</t>
  </si>
  <si>
    <t>Mayor, General</t>
  </si>
  <si>
    <t>General Mayor</t>
  </si>
  <si>
    <t>por el Mariscal del Imperio Augereau, General en g^fe del séptimo cuerpo del grande exército , y el General Mayor</t>
  </si>
  <si>
    <t>Mayorga, Manuel</t>
  </si>
  <si>
    <t>Manuel Mayorga</t>
  </si>
  <si>
    <t>Partido de Santa á D. Manuel Mayorga, Sargento primero veterano de granaderos del batallón de Milicias disciplinadas de Lima: Tenientes en el Regimiento de Milicias urbanas de infantería de Calca á D. Josef García, L</t>
  </si>
  <si>
    <t>Maza, Gerónimo</t>
  </si>
  <si>
    <t>Gerónimo Maza</t>
  </si>
  <si>
    <t>as Don J.osef de .Castro, Cadete de Reales. Guardias Walonas, D. Manuel Abbad, ;D. Juan de Zarate , D. Gerónimo Maza , D¿ Juan Maza , y D¡ Juan Lecumberri. El premio extraordinario de instrucción religiosa no se había adjudicado hasta ahora , porque para ganarle no basta saber bien la doctrina c</t>
  </si>
  <si>
    <t>Maza, Manuel</t>
  </si>
  <si>
    <t>Manuel Maza</t>
  </si>
  <si>
    <t>ya á Teniente al Subteniente de granaderos D. Fernando Mendez, y á Subteniente de bandera al Cadete D. Manuel Maza: en el de Aragón á Subteniente de bandera al Cadete D. Alexandro Benisia: en el primer batallón de Voluntarios de Aragón a segundo Ayudante al Teniente D. Justo Racax , y á Subten</t>
  </si>
  <si>
    <t>Mazas, Coronel</t>
  </si>
  <si>
    <t>Coronel Mazas</t>
  </si>
  <si>
    <t>mperial R|5;¡;í, la qual quedó en nuestro poder. Nosotros no hemos tenido ningún Ge'^fil muerto: el Coronel Mazas del 14 de línea-ha sido: muerto, y heridos i^clvos ge fes del batallón. Seria una injusticia nombrar algunos cuerpos, pi^rue todos han hecho prodigios. No habia un Oficial,un General,</t>
  </si>
  <si>
    <t>Mazo de la Vega, Antonio</t>
  </si>
  <si>
    <t>Antonio Mazo de la Vega</t>
  </si>
  <si>
    <t>á D. Josef Giiemes: para el Beneficio de la villa de Salvacañete, Diócesis de Cuenca, por muerte de D. Antonio Mazo de la Vega, áD. Felipe Collado, Cura de la misma: para el Beneficio simple servidero de la villa de Arjona, Diócesis de Jaén, por muerte de D. Francisco Izquierdo, y no haber acudido á recog</t>
  </si>
  <si>
    <t>Mazuelo, Luis</t>
  </si>
  <si>
    <t>Luis Mazuelo</t>
  </si>
  <si>
    <t>lo Cueto, D. Julián Solana, D. Braulio Henriquez y D. Josef Jalón; y á Tenientes á los Subtenientes D. Luis Mazuelo, D. Antonio Ortiz de Zarate, D. Domingo Antonio Loriga, D. Joaquín Montenegro, D. Miguel Panes, D. Ramón Cucalón, D. Joaquín de Miguel, D. Cristóbal de Reyna, D. Ramón Tovar y D.</t>
  </si>
  <si>
    <t>Mead, Ricardo</t>
  </si>
  <si>
    <t>Ricardo Mead</t>
  </si>
  <si>
    <t>a amistad, sacado de la sagrada Escritura: un tomo en 12.°:==:Consejos y preceptos de Medicina, del Doctor Ricardo Mead, Médico que fué del Rey de Inglaterra: un tomo en 8.°=Principios de economía política, por el célebre Herrensch Wañd, y traducidos ai castellano por D. Juan Smith, Brigadier de la</t>
  </si>
  <si>
    <t>Médico Lavater</t>
  </si>
  <si>
    <t>s de impedir la propagación del contagio. En la de esta ciudad es Presidente el Médico Lavater,hijo del célebre fisionomista del mismo nombre; está actualmente ocupado en escribir una obra sobre la fiebre amarilla, y de los medios de precaverse de ella. ITALIA. Milán 22 de Nevie</t>
  </si>
  <si>
    <t>Medranó, Luis</t>
  </si>
  <si>
    <t>Luis Medranó</t>
  </si>
  <si>
    <t>e Ronda, Betarizos y Ciudad-Real á los de fusilerosD.Joaquin Tenorio, D. Francisco Díaz de Parga, y Don Luis Medranó; y las Subtenencias de bandera de los citado de CiudadReal , Segovia y Xerez á D. Manuel Antonio García Durango, D. Joaquín Vicente Nadal, y D. Antonio Arquellada. Habiendo tenido</t>
  </si>
  <si>
    <t>Meerfeld, General</t>
  </si>
  <si>
    <t>General Meerfeld</t>
  </si>
  <si>
    <t>viembre. EPMariscal Davoust ha continuado sus sucesos. Está destruido todo el cuerpo que mandaba él General Meerfeld, quien se ha salvado con 100 Huíanos. •;</t>
  </si>
  <si>
    <t>Meerfeldt, General</t>
  </si>
  <si>
    <t>General Meerfeldt</t>
  </si>
  <si>
    <t>dia de este Mariscal, que todavía se hallaba á muchas leguas de Marienzell, encontró las tropas del General Meerfeldt, que marchaban para Neudstadt, á fin de defender á Viena por esta parte. El General de brigada Heudelet, que mandaba la vanguardia del Mariscal Davoust, acometió al enemigo con su</t>
  </si>
  <si>
    <t>Meerteld, General</t>
  </si>
  <si>
    <t>General Meerteld</t>
  </si>
  <si>
    <t>s del exército Ruso .sin artillería ni bagages, -y en tm desorden espantoso: era ya media noche; el General Meerteld había Tsido repelido de Godding por el Mariscal Davoust: el exército Ruso estaba cortado , y ni un solo hombre .podía escapar. El Príncipe Czartorinski introdujo ¿al General Savar</t>
  </si>
  <si>
    <t>Megnier, Pedro</t>
  </si>
  <si>
    <t>Pedro Megnier</t>
  </si>
  <si>
    <t>ios quisieren desempeñar por sí mismos, se les franqueará el uso de estas máquinas, dirigiéndose á D. Pedro Megnier, director de dicho taller. Nueva traducción en verso y prosa de los cinco libros del Consuelo de la Filosofía de Severino Boecio, obra postuma de D. Agustín López de Reta, natural</t>
  </si>
  <si>
    <t>Meiville, Lord</t>
  </si>
  <si>
    <t>Lord Meiville</t>
  </si>
  <si>
    <t>cerse á la vela. Son infundadas las voces que han corrido estos dias de la salida de Mr. Pitt, y de Lord Meiville, del Ministerio. Una persona que ha salido de Rochefort algunos dias antes que la esquadra Francesa, asegura que dicha esquadra se compone de un navio de 120 cañones , de dos de 8</t>
  </si>
  <si>
    <t>e, con motivo de la segunda lectura de la resolución que se tomó el lunes anterior en el asunto del Lord Meiville. Mr.. Whit'oread propuso se presentase una petición al Rey, suplicándole excluyese para siempre al Lord Meiville, no solo de los empleos que goza en el dia, sino del Consejo y de</t>
  </si>
  <si>
    <t>ra que pasase á ella, la hizo anunciar S. M. que á las 4 recibiría las resoluciones adoptadas sobre Lord Meiville. Como no se esperaba este mensage, no había en la Cámara mas de 12 vocales en trage de ceremonia; pero hecho cargo el Rey de la precipitación con que se habia anunciado esta audie</t>
  </si>
  <si>
    <t>Meíville, Lord</t>
  </si>
  <si>
    <t>Lord Meíville</t>
  </si>
  <si>
    <t>es las felicitaciones de varios pueblos y corporaciones sobre las actas relativas á la expulsión de Lord Meíville. Entre otras la de ios vecinos de Londres, enviada por el XordlCorregidor, se distingue por las expresiones enérgicas con que está concebida. En la misma junta denunció Mr. Grey u</t>
  </si>
  <si>
    <t>MeiviUe, Lord</t>
  </si>
  <si>
    <t>Lord MeiviUe</t>
  </si>
  <si>
    <t>e de Francia. En la misma Cámara se ha decidido, á propuesta de Mr. Leycester, que en el asunto del Lord MeiviUe se substituya the impenchement ( ó acusación ante sus Pares) al procedimiento criminal decretad® contra dicho ex-Ministro. . El 26 pasó Mr. Whitbread á la Cámara de los Pares acom</t>
  </si>
  <si>
    <t>Mel, Lord</t>
  </si>
  <si>
    <t>Lord Mel</t>
  </si>
  <si>
    <t>riminal contra Lord Melville. En efecto, resulta del informe que Mr. Alexandro Trotter, Tesorero de Lord Mel vi de, empleaba una grande parte de los fondos destinados al servicio público en especulaciones, de las que Mr. Trotter sacaba grandes utilidades , y en las que se acusa á Lord Me</t>
  </si>
  <si>
    <t>Melendez Gutiérrez, Felipe</t>
  </si>
  <si>
    <t>Felipe Melendez Gutiérrez</t>
  </si>
  <si>
    <t>Canongía que en la Iglesia de Ciudad-Rodrigo ha resultado vacante por muerte ae D. Juan Villar ¿ a Don Felipe Melendez Gutiérrez, Capellán dei Regimiento de caballería de María Luisa, en consideración á sus servicios, y conformidad al Reglamento de 30 de Enero del año próximo pasado.; S. M. se ha servido co</t>
  </si>
  <si>
    <t>Melendez, Nicolás</t>
  </si>
  <si>
    <t>Nicolás Melendez</t>
  </si>
  <si>
    <t>l Rey promover á Teniente al Subteniente D. Francisco Obregon, y á Subteniente de bandera al Cadete D. Nicolás Melendez: en el de Mallorca á Subteniente de bandera á D. Carlos Miranda, Sargento primero del del Príncipe: en el de Jaén á Ayudante al Teniente, graduado de Capitán, Don Juan Eustaquio d</t>
  </si>
  <si>
    <t>Melgar, Bernardo</t>
  </si>
  <si>
    <t>Bernardo Melgar</t>
  </si>
  <si>
    <t>al Alférez D. Antonia Faez ; á Alférez al Portaguión D. Domingo Savariego, y á Portaguión al Cadete D. Bernardo Melgar. En el Regimiento provincial de dragones. de Quenetaro; se ha servido el: Rey; promover á Capitán al Teniente D. Manuel García Arango; á Teniente al Alférez. D.. Josef Ignacio Orm</t>
  </si>
  <si>
    <t>Mellizo y Álvarez, Ignacio</t>
  </si>
  <si>
    <t>Ignacio Mellizo y Álvarez</t>
  </si>
  <si>
    <t>aver: para una Capellanía de Reyes nuevos de dicha Catedral de^Toledo, vacante por fallecimiento de D. Ignacio Mellizo y Alvarez, a D. Pascual Díaz Ximenez, Teniente do Cura de la Iglesia dé Alpagés del Real Sitio</t>
  </si>
  <si>
    <t>Melón, Juan Antonio</t>
  </si>
  <si>
    <t>Juan Antonio Melón</t>
  </si>
  <si>
    <t>es, baxó las reglas que He mandado comunicar pior mi Secretaría del Despacho de Gracia y Justicia á D. Juan Antonio Melón, Ministro de mi Junta general de Comercio y Moneda , á quien he tenido á bien nombrar para dicho destino. Téngase así entendido en el Consejo». como también el Reglamento adjunto</t>
  </si>
  <si>
    <t>Melvi, Lord</t>
  </si>
  <si>
    <t>Lord Melvi</t>
  </si>
  <si>
    <t>ntazgo estaba mejor arreglado quando lo presidia el Conde de S. Vicente que en tiempo de su sucesor Lord Melvi— lie , á quien entre otras -quejas reconvino con una profusión escandalosa, y con un sistema mal entendido y ruinoso. En lugar de construir ios navios de cuenta del Estado, se han</t>
  </si>
  <si>
    <t>Melvií, Lord</t>
  </si>
  <si>
    <t>Lord Melvií</t>
  </si>
  <si>
    <t>res, lo que no había hecho hace 15 años. Las Gacetas publican un largo interrogatorio que sufrió el Lord Melvií!e,el 8 de Noviembre,y la declaración que hizo, con juramento, ante una comisión nombrada á este efecto. Parece que á los principios el Gobierno había querido tener este negocio se</t>
  </si>
  <si>
    <t>Melviíle, Lord</t>
  </si>
  <si>
    <t>Lord Melviíle</t>
  </si>
  <si>
    <t>qué cada dia se oyen de algún tiempo á esta parte , han apartado la atención publica del asunto de Lord Melviíle. La salida de la esquadra de Tolon á él solo ha sido útil; y ya nadie se ocupa del éx-Ministro ni de la junta de examen &amp;c. &amp;c. Hasta el mismo Parlamento parece confundido como el</t>
  </si>
  <si>
    <t>Melvilie, Lord</t>
  </si>
  <si>
    <t>Lord Melvilie</t>
  </si>
  <si>
    <t>Whitbread anuncio en la Cámara de los Comunes que e! juéves próximo haría una nueva propuesta sobre Lord Melvilie. Al dia siguiente Air. H. S. Dundas declaró que el noble Lord pedia se le oyese en su defensa, y que así el mismo dia en que Mr. Whitbread hiciese su propuesta , él solicitaría se</t>
  </si>
  <si>
    <t>cuadra en seguimiento de la de Ro~ chefort hasta que ya esta había hecho su expedición. i Respondió Lord Melvilie á este cargo que el Gobierno había hecho quanto había podido para impedir ó precaver las operaciones de la esquadra de Rochelbrt, y suplicaba.se le dispensase decir cosas que conv</t>
  </si>
  <si>
    <t>Melville, Lord</t>
  </si>
  <si>
    <t>Lord Melville</t>
  </si>
  <si>
    <t>prepara á atacar á Mr. Pitt en la Qlmara de los Comunes sobre el bilí de defensa; el 2.0 atacará al Lord Melville en la Cámara de los Pares sobre las fuerzas navales; y el 3.0 dirigirá su* esfuerzos en ambas Cámaras sobre el bilí de los Católicos Irlandeses. Por otra parte se suscitaran debates</t>
  </si>
  <si>
    <t>; y los escritores de la oposición no temen declarar que esto es materia de proceso criminal contra Lord Melville. En efecto, resulta del informe que Mr. Alexandro Trotter, Tesorero de Lord Mel vi de, empleaba una grande parte de los fondos destinados al servicio público en especulaciones, de</t>
  </si>
  <si>
    <t>utación de la Cámara de los,Comunes, que ha llevado al paíajcío de S. James la resolución contra el Lord Melville, ha sido recibida en toda la carrera con las aclamaciones repetidas del público. Se ha observado que Mr. Pitt no. iba en esta diputación. Dos circunstancias bastante singulares se</t>
  </si>
  <si>
    <t>propio agente el aprovechar para su utilidad el bien ageno. Tal es el resultado de la confesión del Lord Melville; y si después de un largo examen no puede probarse que el noble Lord sea mas culpable, es imposible con todo eso probar que lo sea menos. El noble Lord ha declarado que aunque sab</t>
  </si>
  <si>
    <t>Mr. W-ithbread. Después Mr. Withbread propuso á la* Cámara que se pidiese al Rey la separación del Lord Melville; pero Mr. Pitt consiguió se suspendiese esto por ahora, á pesar de la opinión de Mr. Fox, que sostenía que ño debía suspenderse dicha deliberación en circunstancias tan críticas c</t>
  </si>
  <si>
    <t>a, que el Banco pone en circulación, ha acuñado 858,24a en un año. Lord Hawkesbury ha reemplazado á Lord Melville durante algunos días, ó por mejor decir, solo le ha sucedido en las Gazetas. El Baronet Sir Carlos Middleton sucede á Lord Melville, como primer Lord del Almirantazgo; y será creado</t>
  </si>
  <si>
    <t>a junta denunció Mr. Grey un artículo inserto en el diario titulado el Oráculo , en que se dice que Lord Melville ha sido juzgado sin ninguna forma de proceso, y es víctima de las preocupaciones-del espíritu de partido y de los clamores populares &amp;c. Dixo Mr. Grey , que á pesar de lo que resp</t>
  </si>
  <si>
    <t>cie? ___Mr. Windhan sostuvo que debía hacerse un exemplar con el Gazetero , como se había hecho con Lord Melville.__ El editor del Oráculo dixo en su justificación, que siempre habia manifestado su aprecio hacia Lord Melville: que en esta ocasión no habia hecho mas que exponer su opinión ente</t>
  </si>
  <si>
    <t>a Cámara de los Comunes, que á diligencia del Procurador general se procediese judicialmente contra Lord Melville, á efecto de que restituyesen, si ha lugar, á la nación, así dicho Lord Melville, como Mr. Trotter, los fondos de.la marina que hubiesen invertido en su utilidad. Observó que este</t>
  </si>
  <si>
    <t>n la resolución de la Cámara , relativa ai nombramiento de una junta de información en el asunto de Lord Melville; con lo que es muy creíble que salga el noble Lord de todo apuro. Se ha decidido que los 21 individuos deda junta se nombrarán á escrutinio. Mr. Whitbread, que prevee todas las co</t>
  </si>
  <si>
    <t>os Comunes. Dia S de Mayo. Mr. Whitbread se queja de que no se haya pedido á S. M. la separación de Lord Melville de la plaza que ocupa en el Consejo privado, y de la persona dei Rey.—p El Canciller del Echiquier observa que es inutiL esta propuesta, atendida lo que tiene que comunicar á la Cámara.</t>
  </si>
  <si>
    <t>allarse comprometido. (No, replica Mr.Pitt.)... Muchas semanas se han pasado desde la suspensión de Lord Melville hasta que se ha rayado su nombre de la lista del Consejo; prueba evidente dé la perseverancia con que le ha defendido el Ministro hasta el último extremo. Mr.Pitt ha cedido á Lord</t>
  </si>
  <si>
    <t>eses: en JTolon y en Cádiz 26: total 67, Para apartar la atención pública de las acusaciones contra Lord Melville, sus agentes y protectores, para apartar la de los desastres que hemos experimentado en las Antillas, de la inquietud en que estamos por la seguridad de la India , y de los temore</t>
  </si>
  <si>
    <t>MelvilLe, Lord</t>
  </si>
  <si>
    <t>Lord MelvilLe</t>
  </si>
  <si>
    <t>stros bloqueos: á ver acometer-y saquear .nuestras posesiones de la$ India* occidentales? ' : • V./ Lord MelvilLe defendió, como era regular, su sistema, y dixo que par» el invierno próximo se hallaría nuestra marina en el mejor estado.</t>
  </si>
  <si>
    <t>de la ruidosa causa que va á someterse á la discusión de la; Cámara de los Comunes. Ayer compareció Lord Melville ante la Cámara de los Comunes, observándose el ceremonial acostumbrado en estas ocasiones. Su discurso y 4a discusión que hubo después de haberse retirado de la Cámara han excitad</t>
  </si>
  <si>
    <t>la Cámara de los Pares acompañado de unos 100 vocales., para presentar la acta dé acusación contra Lord Melville» Lord Temple y Mr. Grey iban á su derecha é izquierda: seguíanle Mr. Fox, Windham y otros varios. Luego que el Canciller se puso en la barra, Mr. Whitbread leyó la orden.de acusac</t>
  </si>
  <si>
    <t>a Cámara de ios Comunes el informe de la Junta encargada de extender la acta de acusación contra el Lord Melville. Consta de 8 cargos principales, y concluye con estás palabras: „HehrÍqüe Lord Vizconde Melville, por todos y por cada uno de los hechos arriba mencionados, se ha hecho y es reo d</t>
  </si>
  <si>
    <t>MelviÜe, Lord</t>
  </si>
  <si>
    <t>Lord MelviÜe</t>
  </si>
  <si>
    <t>Considere la Cámara, dixo, el momento en que debe examinar la larga serie de las dilapidaciones del Lord MelviÜe, y vea si la nación debe inclinarse á la indulgencia en semejante ocasión. Por cierto, ¿con que Ojos podrá ver la nación que se dilapida el erario público quando soiofse le habla</t>
  </si>
  <si>
    <t>Melyille, Lord</t>
  </si>
  <si>
    <t>Lord Melyille</t>
  </si>
  <si>
    <t>s, y hacer las obligaciones que exijaq las circunstancias y urgencia de los, negocios. El asunto de Lord Melyille ha tomado un aspecto muy serio, pues no tardará mucho en ser juzgado conforme á las disposiciones que prescribe la Constitución. El sábado 17 se entregaron al tribunal del Banco d</t>
  </si>
  <si>
    <t>Melzi</t>
  </si>
  <si>
    <t>les, y con presencia de ios Consejeros de Estado, fuéron presentados^ por el Maestro de Ceremonias, Mr. Melzi, Vice-Presidente de la República Italiana; Mrs. Marescalchi, Caprara, Paradisi, Fanaroli, Costabili, Luosi y Guicciardi, miembros de la Consulta de Estado ; y Mrs. Guastavillini,</t>
  </si>
  <si>
    <t>e aquella nación.” Luego después ocupó la misma tribuna el Vicepresidente de la República Italiana, Mr. Melzi, y leyó el extracto de los registros de la Consulta de Estado del 17 del corriente, insertos en la Gazeta de Madrid del martes 2 de Abril___En seguida prestaron júrame tode fideli</t>
  </si>
  <si>
    <t>. •: ¿i . r- ■ ' ■■¡- &gt;;?•••••'.'' :/• Eavía 8\de..Mayo* &lt; El día .6 á las tres y media de la tarde Mr. Melzi, ios miembros de la Consulta de Estado, los Ministros y los individuos que componen el Consejo Legislativo se apostaron á da» orilla izquierda del Pó .para recibir; á SS.* MM. Hab</t>
  </si>
  <si>
    <t>cercó á incensarlos.-.—EL General Gobernador recibió á SS. MM. en la puerta exterior del palacio, y Mr. Melzi , los Miembros de la Consulta de Estado , los Ministros y el Consejo Legislativo eri el primer vestíbulo.— Las Damas de Milán nombradas por la Ciudad para acompañar á la Emperatri</t>
  </si>
  <si>
    <t>Melzi de Eril</t>
  </si>
  <si>
    <t>e negro y blanco. El 7 salió de esta capital para Italia el ex-Presidente de la Eepdblica Italiana, Mr. Melzi de Eril, que no pudo ir en compañía de la Consulta de Estado ;por un ataque Ae gota. * EL8 partió también «para Italia. S. A. L el Príncipe de Piombiiro. Mr. Durand, Ministro de Francia e</t>
  </si>
  <si>
    <t>Menacho, Benito</t>
  </si>
  <si>
    <t>Benito Menacho</t>
  </si>
  <si>
    <t>y D. Rambri Vidondo; y Subtenencia ¿U él de Málaga al Cadete de la Compañía de caballería de Zeuta D. Benito Menacho 'y Aguado. En América. El Rey se ha servido nombrar para el Obispado de Cuenca , en el Periu ^ vaciante por fallecimiento de?Dv Francisco de 1^ Fita y Carrion, á D. Andrés Quintia</t>
  </si>
  <si>
    <t>Mendez Acuña, Pedro</t>
  </si>
  <si>
    <t>Pedro Mendez Acuña</t>
  </si>
  <si>
    <t>nombrar para la Canongía vacante en la Iglesia de Santiago por fallecimiento de D. Manuel Barros á D. Pedro Mendez Acuña , Beneficiado de Sta. Columba : para el Beneficio deCuelgamures, Diócesi de Toledo, vacante por muerte de D. Vicente Sánchez, Capellán de Honor, a D. Cayetano de Campos, que lo es</t>
  </si>
  <si>
    <t>Mendez, Fernando</t>
  </si>
  <si>
    <t>Fernando Mendez</t>
  </si>
  <si>
    <t>ndera al Cadete D. Josef Fernandez Briceño: en el de Saboya á Teniente al Subteniente de granaderos D. Fernando Mendez, y á Subteniente de bandera al Cadete D. Manuel Maza: en el de Aragón á Subteniente de bandera al Cadete D. Alexandro Benisia: en el primer batallón de Voluntarios de Aragón a seg</t>
  </si>
  <si>
    <t>Mendieta, Francisco</t>
  </si>
  <si>
    <t>Francisco Mendieta</t>
  </si>
  <si>
    <t>s ai de fusileros D. Dionisio Xereda, y de fusileros á los Subtenientes D. Josef Francisco Romero , D. Francisco Mendieta y D. Juan Josef Romero: á Capitanes en el Esquadron de drago* cíes de aquella capital al Alférez D. Ignacio. Ratres y Muñoz y á D. Jo-* sef A rrivillaga; á Tenientes al Cadete D. Manu</t>
  </si>
  <si>
    <t>Mendinueta, Pedro</t>
  </si>
  <si>
    <t>Pedro Mendinueta</t>
  </si>
  <si>
    <t>cha ciudad. En consideración á los servicios y méritos del Teniente General de los Reales Exércitos D. Pedro Mendinueta, se ha dignado el Rey nombrarle Inspector general de Milicias, por muerte del Mariscal de Campo D. Juan Josef de S. Juan, que servia este empleo. " ' En las Compañías fixas del Re</t>
  </si>
  <si>
    <t>Mendivil, Juan</t>
  </si>
  <si>
    <t>Juan Mendivil</t>
  </si>
  <si>
    <t>o de la Corona. D. Timoteo OkifF. Alféreces de la Corona............. ........ D. Mariano González. D. Juan Mendivil. Alférez de Artillería...................... . D. Josef Sánchez Boado. Resumen general. Muertos. Heridos. Oficiales de Marina... 27.... 54 Oficiales del Exército *«# * Tropa y Mar</t>
  </si>
  <si>
    <t>Menendero, Benito</t>
  </si>
  <si>
    <t>Benito Menendero</t>
  </si>
  <si>
    <t>Id. id. • Benito Menendero. Hijo de Manuel y de Liberata López,</t>
  </si>
  <si>
    <t>Menéndez, Francisco</t>
  </si>
  <si>
    <t>Francisco Menéndez</t>
  </si>
  <si>
    <t>Obispadode Santander: murió en 6 de Id. id. Francisco Menen—j 473 8- dez.................... J mez, natural de la Parroquia deRies-</t>
  </si>
  <si>
    <t>Menezo, Marcos Antonio</t>
  </si>
  <si>
    <t>Marcos Antonio Menezo</t>
  </si>
  <si>
    <t>e Berástegui, de 2 5 años. Segunda clase\ Premios primeros. Medallas de oro de una onza. Pintura, á D. Marcos Antonio Menezo, nat.u, ral de Meruelo, de 23 años. Escultura, á D. Remigio de la Vega, natural de Madrid, de 18 años. Arquitectura,.á D. Romualdo de Vienta, natural de, Meruelo, de 24 años. Prem</t>
  </si>
  <si>
    <t>Mennet, General</t>
  </si>
  <si>
    <t>General Mennet</t>
  </si>
  <si>
    <t>l Espagne, la de granaderos, á las del General Patourneau, la reserva de caballería, mandada por el General Mennet, ^ la 3.adivisión por el General Molitor, han atravesado Veronneta, encaminándose hácia el camino real de S. Miguel, donde los Austríacos nos han opuesto alguna infantería y cabal</t>
  </si>
  <si>
    <t>Menocal, Francisco</t>
  </si>
  <si>
    <t>Francisco Menocal</t>
  </si>
  <si>
    <t>tán al Subteniente de granaderos D. Joaquín de Cárdenas; á esta resulta al Subteniente dé fusileros Don Francisco Menocal , y ¿ Subtenientes de bandera á Los Cadetes D. Pedro Celestino Sánchez y D. Domingo de Armona. En el Regimiento provincial de Dragones del Príncipe en Nueva-España se ha servido S</t>
  </si>
  <si>
    <t>Menor, Alexandro</t>
  </si>
  <si>
    <t>Alexandro Menor</t>
  </si>
  <si>
    <t>ado de Capitán , D. Antonio Marañosa; y empleo de Teniente en el de Dragones de la Réyna al Alférez D. Alexandro Menor. S. M. se ha servido conceder á D. Josef Manuel de Goyeneche, Capitán del Regimiento de infantería de Voluntarios de Estado, grado y agregación, de Coronel al Regimiento de Milici</t>
  </si>
  <si>
    <t>Menor, Pedro</t>
  </si>
  <si>
    <t>Pedro Menor</t>
  </si>
  <si>
    <t>s de caballería de línea se ha servido el Rey promover á Alférez en el de Borbon al Portaestandarte D. Pedro Menor; y á este empleo en ei del Rey al Sargento primero D. Francisco Gómez". En los de caballería ligera se ha servido S. M. igualmente conferir empleo de Teniente en el de húsares de</t>
  </si>
  <si>
    <t>Menou, General</t>
  </si>
  <si>
    <t>General Menou</t>
  </si>
  <si>
    <t>perador despachando todo el dia con sus Ministres._. Hoy ha dado S. M. audiencia por segunda vez al General Menou, nuestro Administrador general, y el Ministro de la Guerra ha presentado á los Oficiales mayores de este departamento. Los Presidentes del Tribunal de Apelación, del Colegio Elect</t>
  </si>
  <si>
    <t>Merino, Francisco</t>
  </si>
  <si>
    <t>Francisco Merino</t>
  </si>
  <si>
    <t>Cosme López: la Sargentía mayor del de Barbastro al Capitán primero, graduado de Teniente Coronel, D. Francisco Merino: el empleo de Capitán primero del mismo Cuerpo al segundo D. Manuel de Miramond; y la Subtenencia de bandera al Cadete D. Juan Ignacio Cervera. En los Regimientos de infantería de</t>
  </si>
  <si>
    <t>Merino, Fulgencio</t>
  </si>
  <si>
    <t>Fulgencio Merino</t>
  </si>
  <si>
    <t>u hospital de S. Bernabé, con la dotación de 700 ducados, por haberse jubilado con tedo su sueldo á D. Fulgencio Merino, que Jo era; lo que se hace saber, para que los que intenten hacer sus pretensiones, lo hagan en el término de 40 dias, contados desde el 15 dei corriente, dirigiéndolas, con los</t>
  </si>
  <si>
    <t>Merita, Tomás</t>
  </si>
  <si>
    <t>Tomás Merita</t>
  </si>
  <si>
    <t>Carvajales, Guarda-Almacén extraordinario de la del Ferrol; y para este último empleo ha nombrado á D. Tomas Merita , Guarda-Almacén de Artillería de la plaza de Vigo. En América. En el Regimiento de infantería de Nueva-España se ha servido el Rey promover á Teniente de granaderos al de fusiler</t>
  </si>
  <si>
    <t>Merlo, Antonio</t>
  </si>
  <si>
    <t>Antonio Merlo</t>
  </si>
  <si>
    <t>oronel D. Manuel de Miedes, Sargento mayor del de Valencia: Tenencia en el de España al Subteniente D. Antonio Merlo : Subtenencias de bandera en los de Mallorca y Burgos á D. Tomas de la Fuente y D.Sebastian Martínez, Cadete y Sargento primero de los mismos Cuerpos ; y en el de Jaén Compañía al</t>
  </si>
  <si>
    <t>Merlo, Juan</t>
  </si>
  <si>
    <t>Juan Merlo</t>
  </si>
  <si>
    <t>rtido al propio tiempo el despejo y notables adelantamientos de algunos jóvenes, y señaladamente de D. Juan Merlo, D. Pedro Fernandez y D. Lorenzo Mañana. En cumplimiento de las Reales Cédulas de S. M. de 15 de Julio y 29 de Noviembre de 1797, se recibirán en la Tesorería mayor y en las de Ex</t>
  </si>
  <si>
    <t>Mermet, General</t>
  </si>
  <si>
    <t>General Mermet</t>
  </si>
  <si>
    <t>l Espagne, tjue mandaba la división de los cazadores de caballería, los dragones, á las ordenes del General Mermet, y. los coraceros á las del General Pully, se acercaron al rio, miéntras que las divisiones Duhesme y Seras marchaban á S. Vitto, y las de los Generales Molitor y Gardanne se diri</t>
  </si>
  <si>
    <t>Mesía Benavides, Pedro</t>
  </si>
  <si>
    <t>Pedro Mesía Benavides</t>
  </si>
  <si>
    <t>Reales, ,yna casa sita en la callé de S. Bernardq, núm, :4, manz¡. 20, correspondiente en el día á D. Pedro Mesía Benavides. y antes á la Cofradía-de nuestra Señora de las Misericordias en la Parroquial de S.Sebastian, que tiene 1673I pies de sitio, y se halla tasada en 88,697 rs. Quaiquiera persona qu</t>
  </si>
  <si>
    <t>Mesía y Aranda, Fernando</t>
  </si>
  <si>
    <t>Fernando Mesía y Aranda</t>
  </si>
  <si>
    <t>a Corona se ha servido el Rey conceder Subtenencias de bandera á los Cadetes D. Demetrio de Tejada, D. Fernando Mesía y Aranda, D. Miguel Aguilar y D. Manuel Gual, -este del batallón de Castilla hxo de CampecheEn América. El Rey se ha servido nombrar para la C-anongía Doctoral de la Catedral de Cuba, vaca</t>
  </si>
  <si>
    <t>Mesía y Caicedo, Nicolás</t>
  </si>
  <si>
    <t>Nicolás Mesía y Caicedo</t>
  </si>
  <si>
    <t>roprio Cuerpo. S. M. se ha servido nombrar para una plaza de Oidor de la Audiencia de Guadalaxara á D. Nicolás Mesía y Caicedo, que lo era Decano de la de Manila en las Islas Filipinas: para esta resulta á D. Alfonso Ruiz Ramírez, Abogado del Colegio de la de Sevilla; y para la Asesoría del Gobierno del T</t>
  </si>
  <si>
    <t>cia de Manila, en las Islas Filipinas, vacante por muerte del Sr. D. Felipe Cisneros de la Oliva, á D. Nicolás Mesía y Caicedo, Oidor decano de ella, y electo para igual plaza de la de Guadalaxara; y para la Contaduría de diezmos de la Diócesis de la Puebla de los Angeles, en el Reyno de NuevaEspaña, á D.</t>
  </si>
  <si>
    <t>Mesía, Antonio</t>
  </si>
  <si>
    <t>Antonio Mesía</t>
  </si>
  <si>
    <t>” En 26 de Noviembre último falleció en esta Corte, á los 44 años, 6 meses y 17 dias, el Excmo. Sr. D. Antonio Mesía, Godinez de Paz, Castro, Solís, Viüalba, Alvarez de Toledo, Aguila y Bracamonte Scc. ; Duque de Tamames, Marques de Campollano, Señor de Santa Cruz de ¿h’nares, Altejos y Fuente l</t>
  </si>
  <si>
    <t>Mesonero Herrera, Matías</t>
  </si>
  <si>
    <t>Matías Mesonero Herrera</t>
  </si>
  <si>
    <t>án sus memoriales á Jajtonta» de gobierno del mismo hospital, y en esta Corte se les dará razón por D. Matías Mesonero Herrera, su apoderado, que vive calle del Olivo baxo, núim 10, quarto principal; en inteligencia que ha de proveerse por la misma- Junta eh día- S de Junio prosterno. En Alameda de la Sag</t>
  </si>
  <si>
    <t>Meunier, Coronel</t>
  </si>
  <si>
    <t>Coronel Meunier</t>
  </si>
  <si>
    <t>á Fontainebleau, desde donde marchará á Italia. SS. MM. II. han firmado el contrato matrimonial del Coronel Meunier con la hija de Mr. David, primer Pintor de Cámara del Emperador. ESPAÑA. ‘ . Madrid de Abril. S. M. se ha servido promover á Ayudante en el Regimiento de infantería de Extremadura</t>
  </si>
  <si>
    <t>Mexía Moreno, Manuel</t>
  </si>
  <si>
    <t>Manuel Mexía Moreno</t>
  </si>
  <si>
    <t>1(04 4 D.. Pedro Robüátiaíio Gallardo, D. Manuel Mexía Moreno, D. JuanNepomuceno Morales y D. Josef Valcárcel y Arias. ;i S. M. ha concedido honores de Comisario Ordenador de sus Exércitos í P. Miguel Manuel Calvo, Director honorario, y Cont</t>
  </si>
  <si>
    <t>Mexía, Diego</t>
  </si>
  <si>
    <t>Diego Mexía</t>
  </si>
  <si>
    <t>renzo Portugal, D. Francisco Gamarra, D. Pedrb Godiel, D. Juan de Dios Va'dés, D. Matías Velazquez, D. Diego Mexía, Don Vicente Bellido y D. Diego Felipe Cevallos; y de Portaguiones á D. Pablo Portugal y Cevallos, D. Martin Pacheco, D. Juan Caracholi y D. Juan de Dios Valdés. S. M. se ha servi</t>
  </si>
  <si>
    <t>Mexía, Manuel María</t>
  </si>
  <si>
    <t>Manuel María Mexía</t>
  </si>
  <si>
    <t>medio se está ya practicando la vacunación jen su pueblo defTFamasulapa , cuyo zeloso y activo Gura D. Manuel María Mexía fue él primero en enviar sugeto que aprendiese , y muchachos que llevasen el fluido, como, están para execotarlo igualmente ios Curas de. Teotitlan , Huéhuetlan y Huautla, rayanos</t>
  </si>
  <si>
    <t>Mexías, Gaspar</t>
  </si>
  <si>
    <t>Gaspar Mexías</t>
  </si>
  <si>
    <t>no j Antonio Diaz de las Cuevas, á D. Pedro josef de Herrera; y para la MediaRación que este dexa á D. Gaspar Mexías, Cura de la Parroquia de Acatzingo, en aquella Diócesi.</t>
  </si>
  <si>
    <t>Michel Friedlander</t>
  </si>
  <si>
    <t>ister 16 de Marzo. El Barón de Vink, Presidente de la Cámara Real, ha remitido la carta siguiente á Mr. Michel Friedlander, Médico de Berlín, que actualmente se halla en París. „ He agradecido mucho los aparatos Guy tómanos, tan deseados, que Vm. me ha remitido. Aun sin contar con la fiebre amarilla,</t>
  </si>
  <si>
    <t>Michelson, General</t>
  </si>
  <si>
    <t>General Michelson</t>
  </si>
  <si>
    <t>comían diariamente 36 convidados. ' Escriben de Petersburgo haber llegado á aquella ciudad el viejo General Michelson, que se hizo célebre en el reynado de Catalina la Grande por la toma de Pugatscbeíf, á quien parece se le dará el mando de un exército, y al General Conde de Buxhoewden se le dará</t>
  </si>
  <si>
    <t>burgo g de Noviembre. Por todas partes van retirándose los Austríacos y el primer exército R*so. El General Michelson y el segundo exército Ruso -que manda no parecen todavía por ninguna parte; solo sabemos que en el mes de Setiembre llegaron las primeras tropas de dicho exército á la Gallitzia. En l</t>
  </si>
  <si>
    <t>Prusia meridional y de la Silesia Inferior acerca del paso de los Rusos del cuerpo de exército del General Michelson, no son muy agradables. Estos Rusos se han-portado muy mal allí y en todos los parages por los quales han transitado, y en Berlín estarán ya pesarosos de haber permitido que pasen</t>
  </si>
  <si>
    <t>Micheroux, Capitán</t>
  </si>
  <si>
    <t>Capitán Micheroux</t>
  </si>
  <si>
    <t>a relación del combate que ha tenido el navio de línea el Archímedes, de 74 cañones, mandado por el Capitán Micheroux, con una esquadra Argelina, compuesta- de tres fragatas, tres xabeques y un bergantín. El navio de línea servia de escolta á 22 buques mercantes , que iban de Manfredonia á Mesina</t>
  </si>
  <si>
    <t>Middleton, Carlos</t>
  </si>
  <si>
    <t>Carlos Middleton</t>
  </si>
  <si>
    <t>rd Melville durante algunos días, ó por mejor decir, solo le ha sucedido en las Gazetas. El Baronet Sir Carlos Middleton sucede á Lord Melville, como primer Lord del Almirantazgo; y será creado Par del Reyno con el título de Lord Barham de Kent. Se trata de preparar inmediatamente otra nueva expedic</t>
  </si>
  <si>
    <t>Midhaud, General</t>
  </si>
  <si>
    <t>General Midhaud</t>
  </si>
  <si>
    <t>. El General Walter,. después de pasar el puente,del Traun, se dirigid hacia -Enns. La.brigada déi; General Midhaud encóirtró al enemigo en la aldea de Asten, le derrotó y.persiguid ha&amp;taEnnsr yj le hizo 200 prisioneros, en* tre ellos 50 húsares Rusos *. 20 húsares Rusos han sido muertos. En toda</t>
  </si>
  <si>
    <t>Midleson</t>
  </si>
  <si>
    <t>su deseo, como Ingleses, se cumpliría, bien que, como políticos, se desbaratase su cálculo.__ Ayer Mr. Midleson apostó &lt;¡00 guineas en la taberna del Ancora, á que los Rusos no se habrán aun unido con los Austríacos el dia 20 de Octubre. Se ha admitido la apuesta: las primeras noticias del</t>
  </si>
  <si>
    <t>Miesch, Antonio</t>
  </si>
  <si>
    <t>Antonio Miesch</t>
  </si>
  <si>
    <t>án de granaderos al Capitán segundo D. Félix Stistenhoífer; y á Capitanes segundos á los Téniérifes D. Antonio Miesch y D» Juan Klein : en el de Traxíer al empleo de Ayudante al Teniente D. Juan Godt u en el de Reding á Subteniente de granaderos á^de ¡fusileros D Ignacio Baumániy á Subtenientes de ba</t>
  </si>
  <si>
    <t>Migpel</t>
  </si>
  <si>
    <t>a Ración de la; Catedral; dé Avila, vacante por .fallecimiento Üe D. Ignacio Diaz 1 Ga-* balleío, á D. Migpel deuZáfm y Bermudcz.oj y. :í - ¿i í j 1 &gt; £i Rj&amp;yl bateaiddájbtieíi. cxéar,una;Comaadancia general militarteniél</t>
  </si>
  <si>
    <t>Miguel'Mendez Cabeza y Bazan</t>
  </si>
  <si>
    <t>de Subteniente de bandera de los de Burgos, Segovia^ León y Murcia á D. Ramón de Villegas Quevedo, D. Miguel'Mendez Cabeza y Bazan, D. Gregorio Moreda y D. Francisco Rosique. , En América. En el Regimiento de infantería de.Buenos-Ayres se ha ser? vidó el Rey,promover á Teniente Coronel al Comandante del terce</t>
  </si>
  <si>
    <t>Milagro y Santas, Manuel</t>
  </si>
  <si>
    <t>Manuel Milagro y Santas</t>
  </si>
  <si>
    <t>io Vilar: para la Dignidad de Arcipreste y Canongía unida de la de Tarazona , vacante por muerte de D. Manuel Milagro y Santas , á D. Juan Antonio Franjo y Ruiseco: para otra Canongía de la misma Catedral, vacante por fallecimiento de D. Jacobo Ibañez, á D. Manuel Corao: para el Oficio regular de Enfermer</t>
  </si>
  <si>
    <t>Milhaud, General</t>
  </si>
  <si>
    <t>General Milhaud</t>
  </si>
  <si>
    <t>l exército. Lambach j de Noviembre. El Mariscal Davoust tiene hoy sus avanzadas cerca de Steyer. El General Milhaud con la reserva de caballería á las órdenes del Príncipe Murat, entró en Lintz el dia r.°, y hoy ha llegado allí el Mariscal Lannes con sus tropas. Se han encontrado en esta plaza</t>
  </si>
  <si>
    <t>ip54 Xa ciudad de KufFstein ha capitulado con el Coronel Pompeí___ El General Milhaud ha perseguido al enemigo por el camino de Briinn hasta Vplkersdorff. Hoy al meaio dia habia hecho 6qo prisioneros, y tomado un parque de 40 piezas de artillería con sus tiros. El</t>
  </si>
  <si>
    <t>Millin</t>
  </si>
  <si>
    <t>ades de la Biblioteca Imperial. Las reliquias que de orden del Ministro de lo Interior ha entregado Mr. Millin, Conservador de dicho Gabinete, al Canónigo de Ntra. Sra. Mr. d’Astroff, son la corona de espinas de Ntro. Sr. Jesucristo, un pedazo de la verdadera cruz, y una clavija de la mism</t>
  </si>
  <si>
    <t>Mílza, Francisco</t>
  </si>
  <si>
    <t>Francisco Mílza</t>
  </si>
  <si>
    <t>el término de 15 días contados desde el 8 del corriente. Por el presente se llama, cita y emplaza á D. Francisco Mílza, ó sus herederos, para que en el término de 30 dias contados desde la publicación de este aviso, por tres términos, y el último perentorio, comparezcan por sí, ó persona á su nomb</t>
  </si>
  <si>
    <t>Minaur, Luis</t>
  </si>
  <si>
    <t>Luis Minaur</t>
  </si>
  <si>
    <t>un Beneficio de la Colegial de la Ciudad -áe Alcaóiz, Diócesis de Zaragoza , vacante .por muerte de D. Luis Minaur-, á D. Ignacio Pardo. El Rey se ba servido conceder honores de Alcalde del Crimen de la Chancilléría de Vallado lid á D. Matías Herrero Prieto, Alcalde mayor del :Señorío de Vizcay</t>
  </si>
  <si>
    <t>Minguez, Manuel</t>
  </si>
  <si>
    <t>Manuel Minguez</t>
  </si>
  <si>
    <t>461866, 467152, 467773,472834,468966, 472110, 469166,409379, 471838, loa quales están endosados por D. Manuel Minguez á favor de dicho Caraballo, por valor del D. Francisco Saenz Ruiz; y no habiendo llegado á su destino, la persona en cuyo poder paren los entregará en esta Corte al expresad© D. F</t>
  </si>
  <si>
    <t>Ministro Armfeld</t>
  </si>
  <si>
    <t>laPomerania Sueca. Esto ha dado motivo al nuevo viage que ha hecho á Berlth el Ministro Armfeld; pero ha declarado formalmente S. M. Prusiana que no sufrirá que cerca de sus fronteras se junten tropas que puedan poner en peligro la neutralidad del Norte d</t>
  </si>
  <si>
    <t>Ministro Austríaco</t>
  </si>
  <si>
    <t>rna, y se cree que 110 irá á Paris, como se había dicho. El Barón de Crumpipen, Ministro Austríaco en Suiza, está encargado de arreglar definitivamente las relaciones entre el Austria y esta República , concernientes á las posesiones del antiguo Obispado de Co</t>
  </si>
  <si>
    <t>del Colegio de los Príncipes, El autor, que, según dicen, es Mr. de Fahnenberg, Ministro Austríaco, acreditado cerca de la Dieta, intenta probar que desde el origen de la Reforma-, los Príncipes Protestantes gozaban en las Dietas Germánicas de los mismos der</t>
  </si>
  <si>
    <t>ene meditado por primera operación el ocupar la Baviera. Las conversaciones del Ministro Austríaco en esta residencia han realizado tan tristes conjeturas, pues ha dicho sin rodeos qué miéntras que no se concluyan las negociaciones con la Erancia, su Corte ocu</t>
  </si>
  <si>
    <t>e Franconia y las de Suabia fuesen conservadas: j.° la salida de Wurtzburgo del Ministro Austríaco, que se efectuó el 27 de Setiembre. S. A. E. acaba de mandar que se formen dos nuevos Regimientos. El primero, que será el 13.0 de infantería ligera, se ha de</t>
  </si>
  <si>
    <t>Ministro Austríacos</t>
  </si>
  <si>
    <t>asunto del divorcio del Conde de Linange en los tres Colegios de la Dieta. Los Ministros Austríacos han votado en los dos Colegios superiores enteramente como el de Prusia. Et conclusunt adoptado se reduce á decir, que la acción intentada contra el Conde de L</t>
  </si>
  <si>
    <t>ue reynaba en la Dieta de Ratisbona desde principios del ano. Han declarado los Ministros Austríacos, que no tomarán parte en ninguna deliberación ulterior, miéntras que el Colegio de los Príncipes no tome otra forma y nuevo arreglo. Y como en esta materia las</t>
  </si>
  <si>
    <t>gantes imitarán su exemplo. Francfort 21 de AbriL Escriban de Ratisbona que los Ministros Austríacos acaban de publicar otro proyecto, relativo á la organización del Colegio de los Príncipes de la Dieta, que deberá reemplazar al artículo del recenso general qu</t>
  </si>
  <si>
    <t>e vale mas abandonar del todo este asunto, que suscitar nuevas discusiones. Los Ministros Austríacos se han .conformado y han propuesto diferir el negocio para el otoño próximo. Y, no habiéndose presentado ningún otro asunto de gravedad á la Dictadura, los dos</t>
  </si>
  <si>
    <t>Ministro Barón de Montgelas</t>
  </si>
  <si>
    <t>de gefe de efrte departamento, despacha baxo las órdenes inmediatas del primer Ministro Barón de Montgelas; da sus informes en las juntas del Ministerio de Hacienda, y dirige y ha de dirigir las obras hidráulicas mandadas executar en el Danubio desde Passau hasta Ul</t>
  </si>
  <si>
    <t>Ministro Berthier</t>
  </si>
  <si>
    <t>guila Negra , destinadas para el Emperador Napoleón, el Mariscal Bernadotte, el Ministro Berthier, Mr. de Talleyrand-Perigord &gt; Mr. Cambaceres y el Príncipe Murat. El Doctor Portal, individuo del Instituto nacional de Francia, ha remitido á S. M. una obra s</t>
  </si>
  <si>
    <t>Ministro Cobentzei</t>
  </si>
  <si>
    <t>bió las visitas desús hermanos, de los Ministros y Embaxadores extrangeros. Los Ministros Cobentzei, Colloredo y Limmeran le dieron cuenta de lo ocurrido durante su ausencia en sus respectivos departamentos. El mismo dia tuvo el Archiduque Cirios una larga co</t>
  </si>
  <si>
    <t>Ministro Directorial Barón de Albini</t>
  </si>
  <si>
    <t>á eñ ello la satisfacción que mas puede lisonjearle.” Ratisbona 2$ de Marzo. El Ministro Directorial Barón de Albini ha comunicado hoy á la Dieta una carta escrita por S. A. el Elector Archi-Canciller á S, M. el Emperador, concerniente al producto dé los peazgos del Rhin desd</t>
  </si>
  <si>
    <t>Ministro Directorial de la Dieta</t>
  </si>
  <si>
    <t>sencia. Escriben de Ratisbona que las dos Notas comunicadas al Barón de Aibini, Ministro Directorial de la Dieta, por Mr. Bacher, Encargado de Negocios de S. M. el Emperador de los Franceses, contribuirán probablemente á dar principio á las Juntas de la Asamblea mucho ant</t>
  </si>
  <si>
    <t>Ministro Electoral</t>
  </si>
  <si>
    <t>as en Wurtzburgo por el Barón de Buol-Schauenstein, Ministro de Austria, con el Ministro Electoral, en lasquales el primero pedia ante todas cosas, como asimismo lo habían pedido precedentemente el Príncipe de Schwarzemberg y el General Mack, la reforma de l</t>
  </si>
  <si>
    <t>Ministro Español</t>
  </si>
  <si>
    <t>sensación muy desfavorable para la Corte de S. James. El Caballero de Anduaga , Ministro Español cerca de nuestra Corte, dio un convite de despedida el 9 del corriente á los Embaxadores de la Puerta y de Portugal; y al otro dia salió para volverse á España</t>
  </si>
  <si>
    <t>. Le reemplazará miéntras no venga otro Enviado Francés, el Caballero, de UUoa, Ministro Español cerca del Elector de Saxonia. GRAN BRETAÑA. Londres 16 de Enero. PARLAMENTO IMPERIAL. Ayer pasó el Rey al Parlamento en la forma acostumbrada, y abrió la sesió</t>
  </si>
  <si>
    <t>arias conferencias importantes entre el Secretario de Negocios extrangeros y el Ministro Español. ¿Pees cómo es que no se ha llevado cuenta de dichas conferencias , aun quando no hubiese 'ido mas que para informar de sus resultados á nuestro Ministro en Ma</t>
  </si>
  <si>
    <t>de relox de faltriquera. La temprana muerte de la Condesa de Yoldí, esposa del Ministro Español cerca de esta Corte, ha causado aquí la mayor aflicción. Su tierna edad, su hermosura, y las prendas estimables que la distinguían, han excitado un dolor casi</t>
  </si>
  <si>
    <t>Ministro Europeos</t>
  </si>
  <si>
    <t>ranzas. Hablan esparcido con mucha altivez en todas las tertulias dé diferentes Ministros Europeos la noticia dé la conclusión de una alianza entre la Gran Bretaña , la Puerta Otomana y la Rusia; pero ha llegado un correo Ruso de Petersburgo al Embaxador Ruso I</t>
  </si>
  <si>
    <t>Ministro Franceses</t>
  </si>
  <si>
    <t>melpenninck, Embaxador nuestro en París, tiene freqiientes conferencias con los Ministros Franceses acerca de la nueva forma que ha de darse á nuestro Gobierno , la qual se arreglará, según dicen, ántes de verificarse el viage del Emperador Napoleón á Italia_</t>
  </si>
  <si>
    <t>e llevasen ciervos, gamos y venados á Stupinis para cazar el Emperador; que los Ministros Franceses hayan recibido regalos quantiosos de algunas Cortes extrangeras; que intentase el Gobierno crear un papel-moneda: y añade, que jamas el Emperador de Alemania p</t>
  </si>
  <si>
    <t>Ministro Imperial Austríaco</t>
  </si>
  <si>
    <t>nte no se dará ningún empleo á los que no hayan servido en la milicia. No habrá Ministro Imperial Austríaco cerca de la Corte de Suecia, hasta tanto que el Rey reconozca lo nueva dignidad Imperial hereditaria de S. M.</t>
  </si>
  <si>
    <t>Ministro Imperiales</t>
  </si>
  <si>
    <t>al, relativo al arbitrio de navegación del Rhin, y que eí día 12 lo pasáron los Ministros Imperiales al Barón de Albini, Ministro de S. A. el Elector Archi-Canciller, y en el mismo día se presentó á la dictadura de la Dieta. Dicho decreto aprueba enteramente e</t>
  </si>
  <si>
    <t>s dias del corriente ha tenido el Embajador Francés muchas conferencias con los Ministros Imperiales, y que ha asistido á ellas él Embaxador Español.-__El Conde de Razümousky, Embaxador Ruso*, ha participado al Ministerio de Viena la llegada de dos exércitos R</t>
  </si>
  <si>
    <t>Ministro Ingles</t>
  </si>
  <si>
    <t>chwerin dio cuenta de lo ocurrido á los Magistrados , y escribió á Mr. Jackson, Ministro Ingles en Berlín, informándole de todo. Mientras los robaron hablaron muy poco los salteadores ; pero observaron que se explicaban en francés.El domingo regresó Mr. Wag</t>
  </si>
  <si>
    <t>a cada lino de sus Príncipes en particular. ' No se habla ya de la venida de un Ministro Ingles á Ratisbona; porque las principales Cortes del Imperio han declarado que lo mirarán con disgusto en la residencia de todos los Ministros de Alemania, pues debe</t>
  </si>
  <si>
    <t>aber enviado su Capitán á tierra los pliegos que traía para la Corte, y para el Ministro Ingles, pasó á bordo del Excelente. Tuvo una conferencia de dos horas con el Comandante de aquel navio, y desde ' ayer acá está cruzando á la entrada del golfo.---- £</t>
  </si>
  <si>
    <t>rillas del Danubio 4 de Jimio, &gt; Escriben varios negociantes de Trieste, que el Ministro Ingles en Viena, luego que recibió un correo de su Corte, hizo saber al Ministerio, de. Negocios^extrangeros del Gabinete Austríaco, que su Gobierno; había examinado de</t>
  </si>
  <si>
    <t>Ministro Ingleses</t>
  </si>
  <si>
    <t>la Persia, principia á mirar con afición los tesoros de la India: entonces los Ministros Ingleses pagarán otros Doctores Hankins para predicar el odio y la guerra entre la Rusia y la Inglaterra: la misma causa debe producir los mismos efectos. El Dr« Hankin</t>
  </si>
  <si>
    <t>yo; la consternación del comercio de Inglaterra es preludio de su triunfo.— Los Ministros Ingleses triunfáron haciendo perder al comercio Francés su actividad; pero en esta misma circunstancia, la marina Francesa puede mostrarse mas formidable. En el momento</t>
  </si>
  <si>
    <t>tarlos por medios deíinqüentes. Echaron asesinos en las costas de Francia : los Ministros Ingleses cerca de las Potencias neutrales s¿ volvieron agentes de unacguetna t-an finfarne como atroz; de una guerra de conspiraciones y asesinatos. El Emperador vió es</t>
  </si>
  <si>
    <t>Ministro Mr</t>
  </si>
  <si>
    <t>é Baviera están ya dé vuelta • en Berna, adonde se; espera también al General y Ministro Mr. Vial dentro de aígunos dias. ITALIA. Milán 4 de Julio, En execucion de las órdenes del Emperador y Rey, el Gran Juez, Ministro dé la Justicia, Mr. Luosi, ha f</t>
  </si>
  <si>
    <t>Ministro Plenipotenciario</t>
  </si>
  <si>
    <t>ólica; á Mr. Semonville, Embaxador cerca del Gobierno Bátavo; á Mr. Daguesseau, Ministro Plenipotenciario en Dinamarca; á Mr. Hedouville, General de División; á Mr. Ferina, id.; á Mr. Gouvion, Inspector general de la Gendarmería; á Mr, Dambarere, Inspector de Ingenie</t>
  </si>
  <si>
    <t>eniente General de los exércitos de S. M. Católica, su Enviado extraordinario y Ministro Plenipotenciario cerca del Rey de Prusia; y á Mr. Van-Grasveld, Ministro Plenipotenciario de la República Bátava en la Corte de Portugal. El 23 visitó el Santo Padre la escuela</t>
  </si>
  <si>
    <t>resentó á S. E. el Pensionario el Conde de Lowenhielm, Enviado extraordinario y Ministro Plenipotenciario de^ S. M. el Rey de Suecia &gt; quien por una grave indisposición no se presentó con el Cuerpo diplomático» como-hemos anunciado. La Guardia de honor del Pensionario</t>
  </si>
  <si>
    <t>nistro de Portugal cerca de la Corte de Petersbürgó., irá á París en calidad de Ministro Plenipotenciario. S&gt; E. se ha casado coñ Madama de Elahaut, bien conocida por diferentes obras literarias. ALEMANIA. Viena 2 7 de Julio. Ha llegado aquí, viniendo de Peteísburg</t>
  </si>
  <si>
    <t>Ministro Plenipotenciario Bátavo</t>
  </si>
  <si>
    <t>OLANDA. Haya 9 de Julio. Se asegura que continuará residiendo en Petersburgo un Ministro Plenipotenciario Bátavo; de suerte que se cree generalmente que el Conde de Stakélberg solo se ausenta por dos ó tres meses, al cabo de los quales continuará residiendo cerca deí Gobi</t>
  </si>
  <si>
    <t>Ministro Plenipotenciario de la Corte de Rusia</t>
  </si>
  <si>
    <t>quales continuará residiendo cerca deí Gobierno de esta República en calidad de Ministro Plenipotenciario de la Corte de Rusia. FRANCIA. Parts 2j de Julio. El combate que ha sostenido el Almirante Verhuel en los dias 17 y 18 del corriente contra los cruceros Ingleses, es sin duda uno d</t>
  </si>
  <si>
    <t>Ministro Plenipotenciario de la República Bátava</t>
  </si>
  <si>
    <t>ario y Ministro Plenipotenciario cerca del Rey de Prusia; y á Mr. Van-Grasveld, Ministro Plenipotenciario de la República Bátava en la Corte de Portugal. El 23 visitó el Santo Padre la escuela de sordo-mudos. Luego que entró en ella bendixo la nueva capilla, y en seguida baxó á la sala de</t>
  </si>
  <si>
    <t>brado á Mr. Eantzen para que resida cerca del Emperador Napoleón, en calidad de Ministro Plenipotenciario de la República Bátava, quien llegará muy pronto ¿ esta capital. El Emperador ha nombrado para Prefecto del departamento de Genova á Mr. de Bureaux-de-Pacy; para el de los Apeninos á</t>
  </si>
  <si>
    <t>Ministro Plenipotenciario de Prusia Marques de Lucchesini</t>
  </si>
  <si>
    <t>as. París 22 de Abril. Hoy ha partido para Italia, á encontrar at Emperador, el Ministro Plenipotenciario de Prusia Marques de Lucchesini. Antes de ayer salió de aquí para Piombino S. A. I. la Princesa de este título. El Príncipe, su esposo, marchó algunos dias antes. ESPAÑA. Granada *7 de Abril.</t>
  </si>
  <si>
    <t>Ministro Plenipotenciario de Rusia</t>
  </si>
  <si>
    <t>rado el buen éxito que esperaban. . El Conde de Markoff, que estuvo en París de Ministro Plenipotenciario de Rusia, se halla ahora en los baños de Carlsbad, y se da por seguro que pasará Inego á Inglaterra.</t>
  </si>
  <si>
    <t>Ministro Plenipotenciario Salicetti</t>
  </si>
  <si>
    <t>e ¿ Cafagiolo. Mr. Gerónimo Bonaparte, pasando por Gónova, se alojp en casa del Ministro Plenipotenciario Salicetti.</t>
  </si>
  <si>
    <t>Ministro Plenipotenciarios del Emperador de Alemania</t>
  </si>
  <si>
    <t>Hoy ha estado S. M. largo rato, conferenciando con Mrs. de Stadion y de Giulay, Ministros Plenipotenciarios del Emperador de Alemania. Conchuda, la * conferencia se han .puesta en camino para Viená. .: ! ' ■' GRAN BRETAÑA. &gt; ' ^ Londres de Noviembre. El Rey ha venido aquí de Windsor para cele</t>
  </si>
  <si>
    <t>Ministro Prusiano</t>
  </si>
  <si>
    <t>8) ces se ha notificado de oficio á la Dieta por el Conde de Goertz, Ministro Prusiano. El Marques de Wellesley ha enviado desde Bengala para la Reyna 12 magníficas sillas de marfil elegantemente adornadas. Escriben de Gibraltar, el 5 de Noviembr</t>
  </si>
  <si>
    <t>do recientemente por su Gobierno. También ha venido el Conde de Keller, antiguo Ministro Prusiano cerca de ios Estados Generales de las Provincias-Unidas. Se asegura que el palacio nombrado de la Corte-antigua, se va á alhajar, para que lo habite el Gefe de</t>
  </si>
  <si>
    <t>ia Saber el efecto que producirán estas representaciones, y tanto mas quanto el Ministro Prusiano en Londres se queja al mismo tiempo al Gobierno Ingles de que los baxeles Ingleses han apresado muchas embarcaciones Prusianas en el mar del Norte y en el Océano</t>
  </si>
  <si>
    <t>El General de Schalden &gt; Ministro Prusiano en Munich, ha sido nombrado Enviado extraordinario del Rey de Prusia cerca de la Corte de Lisboa. En algunas cartas de Viena se da por seguro que muy en breve ha</t>
  </si>
  <si>
    <t>dirigida el 10 del mes pasado por el Gentilhombre Ruso Mr. de No'wosiltzoíi al Ministro Prusiano, ha seguido la del Oficio en que este Ministerio comunicó; al dia siguiente la Nota Rusa á la Legación Francesa, incluyéndole el pasaporte Francés que le habla</t>
  </si>
  <si>
    <t>r en campaña; sanción del tratado de alianza entre Rusia é Inglaterra; nota del Ministro Prusiano al Enviado Francés en Berlín devolviéndole los pasaportes remitidos para el Chambelán Ruso Nowosiltzoff; invasión de las tropas Austríacas en Baviera, y salida</t>
  </si>
  <si>
    <t>Ministro Prusiano Conde de SaynWittgenstein</t>
  </si>
  <si>
    <t>ad, sin que hayamos podido traslucir la causa de tan notable acontecimiento. El Ministro Prusiano Conde de SaynWittgenstein ha vuelto á Berlín con el primer Secretario Grenhm, y el segundo Mr. de Mesting ha sido empleado en la Embaxada Prusiana de París. Se han recibido en Viena not</t>
  </si>
  <si>
    <t>Ministro Residente</t>
  </si>
  <si>
    <t>ero de legación Olsen ha conseguido que se le admita su dimisión dé la plaza de Ministro Residente cerca de los Estados-Uiíidos de América. Esperamos qué lleguéis aquí éste verano 50 embarcaciones , pertenecientes á la Xbompaníá Asiática y á varias casas par</t>
  </si>
  <si>
    <t>Ministro Ruso</t>
  </si>
  <si>
    <t>ej caudillo de los Servios, ha recibido por un correo una carta de oficio dé un Ministro Ruso, cuyo contenido debe de ser de la mayor importancia; porque al punto que la ha recibido,- lia convocado un consejo extraordinario de todos los demas caudillos</t>
  </si>
  <si>
    <t>r que pagaba doce pesos fuertes al año, no pagará en adelante mas que cinco. El Ministro Ruso en Berlín na declarado confidencialmente á otros Enviados, y á varios sugetos de la mayor distinción en aquella Corte, que no hay alianza ninguna,ni tratado entr</t>
  </si>
  <si>
    <t>Czerny-Jorge ha recibido por un correo extraordinario una carta de oficio de un Ministro Ruso, cuyo contenido debe ser de mucha importancia; porque inmediatamente, después que la leyó, convocó un consejo extraordinario de gefes y comandantes de los insu</t>
  </si>
  <si>
    <t>ebían oponer dificultades insuperables á una negociación de paz manejada por un Ministro Ruso; pero S. M. I. no tuvo reparo en esta circunstancia en prescindir de todas las razones de descontento que tenia personalmente, y de todas Jas formalidades de u</t>
  </si>
  <si>
    <t>UBRE DE 180j. TURQUIA. Constantinopia 2 de Agosto* En el mes pasado presento el Ministro Ruso al Reíss-Effendí uha Nota, en ia qual daba parte de la intención de su Corte, respecto á concluir entre ambos Estados una alianza ofensiva y defensiva. Semejan</t>
  </si>
  <si>
    <t>Ministro Ruso Alopeus y del General Berger</t>
  </si>
  <si>
    <t>ceses tienen todavía en Hannóver un cuerpo de 10 á 12© hombres. La llegada; def Ministro Ruso Alopeus y del General Berger á Stralsunt es relativa á la venida del exército Ruso á la Pomerania Sueca. Se esperan 1^© Rusos y’ 6© Suecos; los primeros desembarcarán en la isla de R rger,</t>
  </si>
  <si>
    <t>Ministro Ruso Mr</t>
  </si>
  <si>
    <t>es y maniobras milirares en Scania no se ha apartado un punto de S. M. Sueca el Ministro Ruso Mr. Alopeus,yes verosímil que en caso de guerra obrarian las tropas Suecas juntamente con las Rusas, según se habrá concertado ya entre S. M. el Rey de Suecia y e</t>
  </si>
  <si>
    <t>Ministro Schwlembur</t>
  </si>
  <si>
    <t>S. A. el Duque reynante de -Brunswick.; .del.Eeld-Marisca! Moellendorf; de los Ministros Schwlembur* $0* Hardembergy Haugwitz, y de los Generales Ruchel , y Kockritz. El Emperador de Rusia, participaba en dicha carta que sus tropas iban á entrar divididas en</t>
  </si>
  <si>
    <t>Ministro Secretario de Estado</t>
  </si>
  <si>
    <t>ble el anhelo que han manifestado los sugetos convida* dos á firmar en casa del Ministro Secretario de Estado el proceso verbal ó testimonio de la ceremonia de la consagración y coronación. Era1 tanta la concurrencia, que han tenido que aguardar lo menos una hora en la p</t>
  </si>
  <si>
    <t>ampo Imperial de Elchingen á 18 de Octubre. __Napoleón____Por el’ Emperador, el Ministro Secretario de Estado. Firmado. H. B. Maret. S. A. I. manda leer el 6.° diario del exército, y los artículos de la capitulación de Ulma, impresos á continuación del diario. La junta</t>
  </si>
  <si>
    <t>Ministro Sueco</t>
  </si>
  <si>
    <t>de que la Corte de Stockoimo formase un tratado de subsidios con Inglaterra, el Ministro Sueco, en Berlín, entregó á S.M. Prusiana una carta, escrita por el Rey su amo, en la que aquel Príncipe declaraba que, como Soberano, no estaba obligado á dar cuent</t>
  </si>
  <si>
    <t>Prusia y de Suecia, para cuyo efecto se espera dé dia én dia en Berlín un nuevo Ministro Sueco. Las cartas del Haya de 4 del córlente anuncian que el General Sebastiani está al frente de la expedición de Helvoet-Sluys. Corre la noticia de que el Ministro</t>
  </si>
  <si>
    <t>Minoves, Antonio</t>
  </si>
  <si>
    <t>Antonio Minoves</t>
  </si>
  <si>
    <t>s Consejos, en conferirle el Corregimiento de Letras de la ciudad de Alhama, vacante por ascenso de Don Antonio Minoves á la Vara de Alcalde mayor primero de la de Barcelona. El Rey se ha dignado nombrar para los Corregimientos políticos, vulgo de Capa y Espada, de las ciudades de Antequera , á D.</t>
  </si>
  <si>
    <t>Mintegui, Mateo</t>
  </si>
  <si>
    <t>Mateo Mintegui</t>
  </si>
  <si>
    <t>Murguía, Prebendado Organista de la Santa Iglesia de Málaga. Se hallará en el almacén de música de D. Mateo Mintegui, carrera de S. Gerónimo, donde se halla toda clase de música y papel rayado: su precio 24 rs. EN LA IMPRENTA REAL.</t>
  </si>
  <si>
    <t>Mintegui, Tadeo</t>
  </si>
  <si>
    <t>Tadeo Mintegui</t>
  </si>
  <si>
    <t>gos de toda clase de mu ica, dirigiendo las cartas, con las referidas señas de la tienda almacén, á D. Tadeo Mintegui, profesor de música en esta Corte. EN* LA IMPRENTA REAL.</t>
  </si>
  <si>
    <t>res de ía Europa. Si alguno quisiere hacerse con ella dirigirá las cartas con las referidas señas á D. Tadeo Mintegui, profesor de Música en esta Corte, quien recibe encargos así de música como de papel rayado para ella, y de portadas estam, padas alusivas á la Música. EN LA IMPRENTA REAL.</t>
  </si>
  <si>
    <t>Mir de González, Miguel</t>
  </si>
  <si>
    <t>Miguel Mir de González</t>
  </si>
  <si>
    <t>l trabajo superfluo para formar las fuentes de la riqueza , guardando las leyes del equilibrio: 5:p D. Miguel Mir de González, de las causas que aumentando 6 disminuyendo -los principios productivos, determinan los progresos ó la decadencia dé las naciones t 6.° D. Felipe Aner de Esteve de las medidas de</t>
  </si>
  <si>
    <t>Mirallas, Manuel</t>
  </si>
  <si>
    <t>Manuel Mirallas</t>
  </si>
  <si>
    <t>onstruye en la playa de Valencia , según la proyección del Capitán de Fragata é Ingeniero de Marina D. Manuel Mirallas: en la misma hay una vista de la villa del Grao, La otra el plano de la ciudad de Alicante é inmediaciones, levantado por el mismo Miraílas, con los muelles proyectados para la fo</t>
  </si>
  <si>
    <t>Mirallas, Manuel Felipe</t>
  </si>
  <si>
    <t>Manuel Felipe Mirallas</t>
  </si>
  <si>
    <t>únebres que en las solemnes exéquias, celebradas en la ciudad de Murcia, por el limo, y Revino. Sr. D. Manuel Felipe Mirallas, Obispo de Cartagena, predicaron el Dr. D. Juan Lozano, Canónigo de la Santa Iglesia de Cartagena, y el Lie. D. Francisco Gómez de la Torre, Prebendado de la misma, dignas del may</t>
  </si>
  <si>
    <t>Miranda y Mon, Romualdo</t>
  </si>
  <si>
    <t>Romualdo Miranda y Mon</t>
  </si>
  <si>
    <t>Sol, D. Josef Povil y Correger, D. Juan Lliñas y Repiso, D. Joaquín Alvarez Maldonado Abadelanzana, D. Romualdo Miranda y Mon, y D. Rodrigo Sánchez de Arjona y Vargas. ,,E1 Comandante general de Marina del Departamento de Cádiz ha dado cuenta á la Superioridad, en 4 de este mes, de que viniendo de San Lu</t>
  </si>
  <si>
    <t>Miranda, Carlos</t>
  </si>
  <si>
    <t>Carlos Miranda</t>
  </si>
  <si>
    <t>Subteniente de bandera al Cadete D. Nicolás Melendez: en el de Mallorca á Subteniente de bandera á D. Carlos Miranda, Sargento primero del del Príncipe: en el de Jaén á Ayudante al Teniente, graduado de Capitán, Don Juan Eustaquio de Lazcano: en el segundo Batallón de Voluntarios de Aragón á Cap</t>
  </si>
  <si>
    <t>Miranda, Manuel</t>
  </si>
  <si>
    <t>Manuel Miranda</t>
  </si>
  <si>
    <t>a al Subteniente de granaderos D. Valentín Alegre ; y Subtenencias de bandera en el mismo al Cadete D. Manuel Miranda: en el de Zaragoza á los Cadetes de los de Burgos y Ordenes Militares D. Domingo Galludo y D. Felipe Santiago Zaragoza; y en el de Aragón al Cadete dei de Toledo D. Antonio Pardin</t>
  </si>
  <si>
    <t>Miratglé, Juan</t>
  </si>
  <si>
    <t>Juan Miratglé</t>
  </si>
  <si>
    <t>anresa , , 132. 24. Juan Miratglé............ Salvador. . Teresa N. , , , , Salonio , , ,, Tarragona , 66. 12. Francisco Terrats. . . Josef. . .. Josefa, ,,,,,, Barcelona , , Idem , , , , 66. 1</t>
  </si>
  <si>
    <t>Miro, Pablo</t>
  </si>
  <si>
    <t>Pablo Miro</t>
  </si>
  <si>
    <t>rid jo de Jidio. S. M. ha nombrado Ayudante del Regimiento de Milicias provinciales de Chinchilla á D. Pablo Miro, Teniente del de infantería de Zamora. El Gefe de Esquadra D. Josef Justo Salcedo, que con la de su mando, surta en Cartagena, ha hecho varias salidas siempre que ha tenido ocasió</t>
  </si>
  <si>
    <t>Missiessi, Almirante</t>
  </si>
  <si>
    <t>Almirante Missiessi</t>
  </si>
  <si>
    <t>isión ha sido tan poco aparente como lo hubiera sido ía de los hombres mas despreciables. El Contra-Almirante Missiessi ha llegado á nuestros puertos. Su esquadra 110 ha experimentado el menor accidente. Sus tripulaciones gozan de una salud perfecta. He aquí la análisis de sus operaciones.-__ Salió</t>
  </si>
  <si>
    <t>n valor sin igual; pero después que llegaron los refuerzos que ha conducido Ja, ésquadra del Contra-Almirante Missiessi, estoy al abrigo de qualquier acontecimiento___ Los Negros han levantado el sitio, porque temen perder el Cabo y los demas éWabíecimientos, y así se han retirado á la parte France</t>
  </si>
  <si>
    <t>Missiessy, Almirante</t>
  </si>
  <si>
    <t>Almirante Missiessy</t>
  </si>
  <si>
    <t>Edecán del General Ernouf, que desembarcó eñ Pasages viniendo de la Guadalupe, ha comunicado que el Almirante Missiessy llegó al fuerte</t>
  </si>
  <si>
    <t>lió el i.° de Mayo. Escriben de Rochefort el 24 del Corriente: ,, La esquadra mandada por el Contra-Almirante Missiessy empleó 41 días para ir á la Martinica, y 57 para efectuar su retorno de Sto. Domingo á ía isla de Aix. Durante los 98 días que ha estado en el mar no ha visto ninguna esquadra enemi</t>
  </si>
  <si>
    <t>Missiesy, Almirante</t>
  </si>
  <si>
    <t>Almirante Missiesy</t>
  </si>
  <si>
    <t>perdida. El comercio que hacíamos en las Indias occidentales ha sufrido mucho con la expedición del Almirante Missiesy en las Antillas: el que hacíamos en Terranova y el norte de América se ve ya molestado coñ los cruceros del enemigo,, sin que sepamos sobre qué parte del comercio y del Imperio Brit</t>
  </si>
  <si>
    <t>Mjrat, Mariscal</t>
  </si>
  <si>
    <t>Mariscal Mjrat</t>
  </si>
  <si>
    <t>s ánimos, que los circunstantes prorumpiéron expontáneamente en vivas y afectuosas aclamaciones. El Mariscal Mjrat, Gobernador de París, convocó ayer, en la galería del Louvre, á las Diputaciones de los Cuerpos de mar y tierra, de las guardias Nacionales y de las guardias de Honor. S. M. I., a</t>
  </si>
  <si>
    <t>Mo, Francisco</t>
  </si>
  <si>
    <t>Francisco Mo</t>
  </si>
  <si>
    <t>que han vacado por muerte de D. Andrés de Lidon y D. Josef María Uré, á D. Manuel Antonio Días y a D. Francisco Mo^“En ía°maraccion de la Real lotería executada el lunes ai del corriente, salieron los números 78,76, 26, 29 y 77; y con ellos han ganado l0S ’e^24'dediciembre último falleció en l</t>
  </si>
  <si>
    <t>Modesto Zelaya, Manuel</t>
  </si>
  <si>
    <t>Manuel Modesto Zelaya</t>
  </si>
  <si>
    <t>cinena y D. Juan Josef Gorriz; Subtenencia de granaderos á D. Juan Manuel Landero, y de fusileros á Don Manuel Modesto Zelaya y D. Manuel de Aguirre y Larios. También ha concedido S. M. Subtenencia en las dos Compañías sueltas de Milicias disciplinadas 4e Loxa, en el Reyno de Santa Fe, á D. Josef María Leque</t>
  </si>
  <si>
    <t>Moiitor, General</t>
  </si>
  <si>
    <t>General Moiitor</t>
  </si>
  <si>
    <t>s del General Partouneaux, la reserva de caballería mandada por el General Monnet y la división del General Moiitor entraron por Veroneta, y se dirigiéron á la carretera de S. Miguel, donde los Austríacos nos hicieron frente con la infantería y la caballería, protegida de algunos cañones. Dióse ó</t>
  </si>
  <si>
    <t>Moira, Lord</t>
  </si>
  <si>
    <t>Lord Moira</t>
  </si>
  <si>
    <t>es tuvo el 12 una larga conferencia con S. M. en el palacio de Kew.__ El zeio que ha manifestado el Lord Moira en la reconciliación de los individuo^ de la Real familia ha sido, como nos consta , el único motivo de su viage. En vista del deseo que había expresado S. A. R. de que arreglase án</t>
  </si>
  <si>
    <t>libras esterlinas. El 4 de Enero próximo se tratará de la decisión de esta propuesta. La vuelta del Lord Moira á está capital después de su próxima salida, da mucho que hablar: y se atribuye generalmente al proyectado establecimiento para la educación de la Princesa Carlota de Gales. El na</t>
  </si>
  <si>
    <t>Moitier, Mariscal</t>
  </si>
  <si>
    <t>Mariscal Moitier</t>
  </si>
  <si>
    <t>emiendo sin duda ver cortada su comunicación con te Moravía, á causa del movimiento que ha hecho el Mariscal Moitier en la orilla izquierda del Danubio. El General Marmont debe haber pasado de Leobenw La Abadía de Molk, donde está-atojado el Emperador,, es una de las mas hermosas de Europa: se lia</t>
  </si>
  <si>
    <t>Molero y López, Francisco</t>
  </si>
  <si>
    <t>Francisco Molero y López</t>
  </si>
  <si>
    <t>la villa de Morente, en el Obispado de Córdoba, vacante por fallecimiento de D. Mariano del Hoyo, á D. Francisco Molero y López, con obligación de residencia, y demas cargas que tiene anexas. S. M. se ha servido conceder Tenencia en el Regimiento de infantería de Hibemia al Subteniente de granaderos D. Jos</t>
  </si>
  <si>
    <t>Molet</t>
  </si>
  <si>
    <t>o imposible conocer la causa; pero mi viage á Bourg me ha procurado una idea que podría realizarla. Mr. Molet, hábil profesor de física enLeon, ha encontrado en sus apuntamientos que el mismo dia hubo una tronada en Xeon. Pasando por Sans Mr. Soulas me dixo que el viento había cambiado de</t>
  </si>
  <si>
    <t>Molina, Juan Pablo</t>
  </si>
  <si>
    <t>Juan Pablo Molina</t>
  </si>
  <si>
    <t>enavente , D. Gerónimo Casal, D. Nicolás Montesinos, D. Eugenio Figueroa, D. Josef Alvaro de Arias, D. Juan Pablo Molina, D. Mariano Cáceres y D. Andrés de Cárdenas; Ayudantías á D. Cayetano Castro y D. Josef Molina; Tenencia de granaderos á D. Josef Rosello; y sencillas á D. Alexandro Benavente, D.</t>
  </si>
  <si>
    <t>Molina, Manuel</t>
  </si>
  <si>
    <t>Manuel Molina</t>
  </si>
  <si>
    <t>Ignacio Salazar, de granaderos, y D. Josef Claudio Zuñiga; á Teniente de granaderos al de fusileros D. Manuel Molina; á Tenientes los Subtenientes de granaderos D. Juan Nepomuceno de Castro y D. Josef Manuel González; á Subtenientes de granaderos los de fusileros D. Lorenzo Díaz y D. Manuel Chen</t>
  </si>
  <si>
    <t>Molina, Salvador</t>
  </si>
  <si>
    <t>Salvador Molina</t>
  </si>
  <si>
    <t>ros D. Miguel Baylon: én el de Zaragoza á Ayudante al Teniente de granaderos, con grado de Capitán, D. Salvador Molina ; y á Subteniente de' bandera al Sargento primero D. Vicente Heredia: en el de Burgos á Capitanes á los graduados D. Josef García y D. Josef María Olona , Ayudantes del mismo Cuer</t>
  </si>
  <si>
    <t>Molinero, Ambrosio</t>
  </si>
  <si>
    <t>Ambrosio Molinero</t>
  </si>
  <si>
    <t>la Iglesia de Tuy, vacante por promoción de D. Bernardo Sánchez á Canónigo de la propia Iglesia, á D. Ambrosio Molinero, Prebendado Maestro de Capilla de ella: para la Chantría de la Catedral de Lugo, vacante por promoción de Don Antonio Lence al Deanato de la misma, á D. Pedro Cavado, Cura en aque</t>
  </si>
  <si>
    <t>Molitor, General</t>
  </si>
  <si>
    <t>General Molitor</t>
  </si>
  <si>
    <t>eneral Patourneau, la reserva de caballería, mandada por el General Mennet, ^ la 3.adivisión por el General Molitor, han atravesado Veronneta, encaminándose hácia el camino real de S. Miguel, donde los Austríacos nos han opuesto alguna infantería y caballería, protegidas por varias piezas de ar</t>
  </si>
  <si>
    <t>Molledo y Martín, Gerónimo</t>
  </si>
  <si>
    <t>Gerónimo Molledo y Martín</t>
  </si>
  <si>
    <t>de gracia de las letras; curso de sus; cambio»; y una operación del modo de sacar las cuentas, por D. Gerónimo Molledo y Martin. Se hallará en la librería de Castillo, frente á las gradas de S. Felipe, á 48 rs. en pasta. En el almacén que se ha puesto de papel rayado para música en la carrera de S. Gerónim</t>
  </si>
  <si>
    <t>Moltke, General</t>
  </si>
  <si>
    <t>General Moltke</t>
  </si>
  <si>
    <t>en 3 divisiones: el Príncipe Federico de Hesse manda la primera; el General During la segunda, y el General Moltke la tercera. El General Rantzau mandará el cuerpo de reserva, y la vanguardia estará baxo las órdenes del General Ewald. Este cuerpo de exército se compone de 12 esquadrones de dragon</t>
  </si>
  <si>
    <t>Mon</t>
  </si>
  <si>
    <t>.orte:. le acompañan Mr. Hammond, Subsecretario de Estado en el Despacho de negocios extrangeros, y Mr. Mon;.tagne , Secretario suyo particular. ..'Sabemos con grande inquietud que el convoy de las islas de Sotavento ha tardado 14 selnapas en su: travesía., De 23 5 velas de que se compo</t>
  </si>
  <si>
    <t>Mon y Velarde, Fernando</t>
  </si>
  <si>
    <t>Fernando Mon y Velarde</t>
  </si>
  <si>
    <t>ndo dia dixo un discurso sobre la educación Don Pedro Borregony otro sobre el origen de la retórica D. Fernando Mon y Velarde; y luego fueron exáminados los de sintaxis y mayores en las traducciones de Nepote, cartas y oraciones de Cicerón, Liyio y Curcio, y en los Poetas Ovidio y Virgilio: respondieron</t>
  </si>
  <si>
    <t>Monasterio, Antonio</t>
  </si>
  <si>
    <t>Antonio Monasterio</t>
  </si>
  <si>
    <t>Miqueli, D. Ramón Martin, D. Francisco de Paula Andradé; D. Pablo T/opeñ ; D.' Francisco.Aguirre , D. Antonio Monasterio, Di Manuel Vito Rarbajosa, D. Josef Vázquez, D. Domingo Perez4 D. Antonio Roxásy Di Antonio* Claros, D. Alexo Fariñas, D. Santiago de Alboniga y‘Romero , Di Antonio María Vitoria</t>
  </si>
  <si>
    <t>Moncey, Mariscal</t>
  </si>
  <si>
    <t>Mariscal Moncey</t>
  </si>
  <si>
    <t>mayor de Ceremonias: el MariscalSerrurier,nevando el anillo de la Emperatriz sobre un almohadón: el Mariscal Moncey, llevando la canastilla en que se pondrá el manto de la Emperatriz : el Mariscal Murat, llevando sobre un almohadón la corona de la Emperatriz:,, á- la derecha y á la izquierda de</t>
  </si>
  <si>
    <t>Monge</t>
  </si>
  <si>
    <t>rvador á S. M. el Emperador y Rey___Introducida la Diputación el mismo dia á la audiencia de S. M., Mr. Monge habló de esta manera. „ Señor; Penetrado el Senado de admiración al oir las maravillas obradas por V. M. I. y R. , y sorprehendrdo de la manera brillante con que "V* M. I. y R. ha</t>
  </si>
  <si>
    <t>IQ4Í Concluidla la lectura * Mr. Monge continuó de este modo. „ Señor:; Si los miembros del Senado hubiesen seguido los movimientos de su corazón, todos se hallarían á estas horas en Lintz. Nosotros, á quienes un favor</t>
  </si>
  <si>
    <t>Monnet, General</t>
  </si>
  <si>
    <t>General Monnet</t>
  </si>
  <si>
    <t>ria de otoño el 15 del corriente. Ignoramos si tendrá que celebrar alguna sesión extraordinaria. El General Monnet ha puesto la primera piedra para la pirámide, que ha determinado erigir enFlesinga en memoria de la coronación del Emperador Napoleón. Una*gran remesa de maderas de construcción,</t>
  </si>
  <si>
    <t>cht ; la 3.a el General Gratien, en el Helder; la 4.a el General Baccop , en el Brille; y la 5.a el General Monnet, en Flesinga. Un decreto del Pensionario prohíbe á los Oficiales subalternos, así del exército como de la armada, el contraer matrimonio sin licencia del Gobierno, que solo la con</t>
  </si>
  <si>
    <t>General Espagne, la de granaderos del General Partouneaux, la reserva de caballería mandada por el General Monnet y la división del General Moiitor entraron por Veroneta, y se dirigiéron á la carretera de S. Miguel, donde los Austríacos nos hicieron frente con la infantería y la caballería, proteg</t>
  </si>
  <si>
    <t>Monroy, Pedro</t>
  </si>
  <si>
    <t>Pedro Monroy</t>
  </si>
  <si>
    <t>adolid, en NuevaE. spaña, sé ha servido el;Rey promover á Subteniente de granaderos al de fusileros D. Pedro Monroy; á Subtenientes de compañía’á los de bandera D. Agusrin Iturve, D. Juan Josef de Lexarza, D. Ruperto Mier y D. Bernardino Pini; y á Subtenientes de bandera á D. Josef Joaquín Ramo</t>
  </si>
  <si>
    <t>Monsalve, Antonio</t>
  </si>
  <si>
    <t>Antonio Monsalve</t>
  </si>
  <si>
    <t>acreedor. En el Real Cuerpo de Artillería se ha servido S. M. promover á Capitán primero al segando D. Antonio Monsalve; y á Teniente al Subteniente D. Antonio Esparza. En América. El Rey se ha servido nombrar para el empleo de* ©irector general de la Renta de la Lotería de México á D. Joaquín Obre</t>
  </si>
  <si>
    <t>Monson</t>
  </si>
  <si>
    <t>reunirse ai cuerpo principal de ejército, que mandaba el Coronel Murray. Se halló en tal situación Mr. Monson, que debió ceder á fuerzas superiores, que continuamente le molestaban en su marcha, que duró mas de seis semanas. La falta de víveres , y los avisos que daban á Holkar las espías</t>
  </si>
  <si>
    <t>Monson, Coronel</t>
  </si>
  <si>
    <t>Coronel Monson</t>
  </si>
  <si>
    <t>que todo se terminase felizmente en muy poco tiempo.__ Las últimas cartas de Bombay anuncian que el Coronel Monson sé ha reunido ál Coronel Murray en Cu ge 11, capital de los Estados de Scindia, donde Murray había hallado; toda especie de provisiones. —i:Dícese que Holkar tiene tal miedo de qu</t>
  </si>
  <si>
    <t>rcunstancias de la total dispersión de un destacamento del exército Ingles, mandado por el Teniente Coronel Monson, que estaba en marcha para reunirse ai cuerpo principal de ejército, que mandaba el Coronel Murray. Se halló en tal situación Mr. Monson, que debió ceder á fuerzas superiores, que</t>
  </si>
  <si>
    <t>sus operaciones - tal vez por haberse desbaratado su plan de campaña, con motivo de la derrota del Coronel Monson. El 23 de Octubre salió Murray de Ogeb , lugar inmediato á Indore. Una de las causas de la derrota de Monson se atribuye á la dificultad de obrar de concierto con otros cuerpos si</t>
  </si>
  <si>
    <t>es ,y las tropas de Holkar, como la única Operación militar que ha habido después de la derrota del Coronel Monson___ Este suceso desgraciado nos ha ocasionado mucha pérdida , así en hombres como en cañones, municiones &amp;c.; pero no se cree que tenga ninguna otra conseqíiencia funesta. El exérc</t>
  </si>
  <si>
    <t>icho de una ventaja conseguida p0r. el General Lake¡; contra la caballería deílolkar, y de otra del Coronel Monson. Lo que sí se dice e.s que Koikar ha acometido á .Delhi; y que después de haber sido rechazado ha vuelto de nuevo y dado un asalto generaPá. la plaza. Añádese que ha tenido que re</t>
  </si>
  <si>
    <t>Montagne, Almirante</t>
  </si>
  <si>
    <t>Almirante Montagne</t>
  </si>
  <si>
    <t>en Portsmouth á bordo dei Prín-' cipe de Gále$&lt;» Yase lian despachado las órdenes á este efecto. El Almirante Montagne presidirá el consejo, en el que entrarán los Almirante# Young , Holleway y Stanhope. Aun no se ha señalado el dia en que se abrirá la causa. Un comerciante de la ciudad ha recibid</t>
  </si>
  <si>
    <t>Montalbo Tavares, Xavier</t>
  </si>
  <si>
    <t>Xavier Montalbo Tavares</t>
  </si>
  <si>
    <t>e Estado de S. M. Católica , á D. Antonio Fernandez Darán, su hijo, á D. Joaquín MontalboTavares, á D. Xavier Montalbo Tavares, Caballeros de la Orden de Malta, y al Caballero Vives Echeverría, Tejiente Coronel al servicio de S. M. Católica. El globo aereostático que se echó en París el día 16 de Diciembr</t>
  </si>
  <si>
    <t>MontalboTavares, Joaquín</t>
  </si>
  <si>
    <t>Joaquín MontalboTavares</t>
  </si>
  <si>
    <t>Marques de Tolosa, Consejero de Estado de S. M. Católica , á D. Antonio Fernandez Darán, su hijo, á D. Joaquín MontalboTavares, á D. Xavier Montalbo Tavares, Caballeros de la Orden de Malta, y al Caballero Vives Echeverría, Tejiente Coronel al servicio de S. M. Católica. El globo aereostático que se echó</t>
  </si>
  <si>
    <t>Montaña, Ramón</t>
  </si>
  <si>
    <t>Ramón Montaña</t>
  </si>
  <si>
    <t>gía de la Colegial de Manresa, Diócesis de Vique, vacante por fallecimiento de D. Antonio Bovets, á D. Ramón Montaña. El Rey se ha servido conceder en el Regimiento de infantería de Valencia Tenencias á los Subtenientes D. Cristóbal Alfonso y D. Joaquín Gil de Bernabé; y en el de las Ordenes Mil</t>
  </si>
  <si>
    <t>Móntbrun, Coronel</t>
  </si>
  <si>
    <t>Coronel Móntbrun</t>
  </si>
  <si>
    <t>olo se han hecho 500 prisioneros. La vanguardia del Prínr cipe Murat ha tomado posición en Haag. El Coronel Móntbrun dél i.° de cazadores se ha cubierto de gloria. El Regimiento s de dragones ha sostenido suareputacion¡antigua. L!n Sargento de esté Regimiento , habiendo per-' ¿¿do.-unmmano;,'exclam</t>
  </si>
  <si>
    <t>Monteagudo, Juan</t>
  </si>
  <si>
    <t>Juan Monteagudo</t>
  </si>
  <si>
    <t>es D. Rafael Valdés y D. Josef García: Ayudantía en el de Montesa al Teniente, graduado de Capitán, D. Juan Monteagudo; y empleo de Portaestandarte al Sargento primero, graduado de Alférez, D.Juan de Puertas.. En el de dragones dei Rey Tenencia al Alférez D. Juan Ignacio Ruiz; y en el de cazadores</t>
  </si>
  <si>
    <t>Montenegro, Joaquín</t>
  </si>
  <si>
    <t>Joaquín Montenegro</t>
  </si>
  <si>
    <t>enientes á los Subtenientes D. Luis Mazuelo, D. Antonio Ortiz de Zarate, D. Domingo Antonio Loriga, D. Joaquín Montenegro, D. Miguel Panes, D. Ramón Cucalón, D. Joaquín de Miguel, D. Cristóbal de Reyna, D. Ramón Tovar y D. Joaquín Crame. El Emo. Sr. D. Luis de Borbon , Cardenal de Scala, y Arzobispo</t>
  </si>
  <si>
    <t>Montero, Fernando</t>
  </si>
  <si>
    <t>Fernando Montero</t>
  </si>
  <si>
    <t>o, al Sargento primero D. Josef Gutiérrez , y á les Cadetes de los de cazadores de la Reyna y Pavía D. Fernando Montero y D. Manuel 4e Rosales: en el de húsares Españoles á Teniente al Alférez Dr Juan Rico; y á Alférez en el de húsares de María Luisa al Cadete D. Manuel Pirez. Por el Ministerio de Haci</t>
  </si>
  <si>
    <t>Montero, Juan</t>
  </si>
  <si>
    <t>Juan Montero</t>
  </si>
  <si>
    <t>o Lago y. Viñas ; y en el de Extremadura Subtenencia de bandera al Sargento primero de graT naderos D. Juan Montero. . ¡ , ? En los Regimientos Provinciales ha promovido S. M. á Tenientes dp granaderos de los de León, Monterey y Lorca á los de fusileros D.Santos Alvarez Bobadiüa, D, Manuel Igna</t>
  </si>
  <si>
    <t>Montero, Juan Antonio</t>
  </si>
  <si>
    <t>Juan Antonio Montero</t>
  </si>
  <si>
    <t>ien quisiere hacer alguna, acuda á dicho Tribunal por la escribanía de cámara, que está al cargo de D. Juan Antonio Montero. Para el remate de ios frutos y rentas de la Encomienda de Montanchuelos, Orden de Calatrava, que se arriendan por tres años, contados desde 25 de Enero próximo pasado, y terminar</t>
  </si>
  <si>
    <t>Montero, Juan Nepomuceno</t>
  </si>
  <si>
    <t>Juan Nepomuceno Montero</t>
  </si>
  <si>
    <t>uentes, D. Esteban García, D. Josef María Sánchez de la Campa, D. Fernando Ribera, D. Vicente Garin,Don Juan Nepomuceno Montero y D. Francisco Roco en traducción de autores y reglas de sintaxis; D. Joaquin Sevilla, D. Antonio González Rendon, D. Joser María Montero, D. Ramón Ribera, D. Josef Noceda, D. Josef V</t>
  </si>
  <si>
    <t>Montes, Francisco</t>
  </si>
  <si>
    <t>Francisco Montes</t>
  </si>
  <si>
    <t>esta villa, cita, llama y emplaza á los parientes, dentro del quarto grado, de Francisco Montes, vecino que fué de esta Corte, natural del lugar de Santa María de Moimenta, Obispado de Mondoñedo, hijo de Domingo Montes , que lo filé del lugar de Santa Leocadia, en el Obispado de Lug</t>
  </si>
  <si>
    <t>Montes, Gabriel</t>
  </si>
  <si>
    <t>Gabriel Montes</t>
  </si>
  <si>
    <t>sef Ramírez del Castillo, como dueño de una escribanía numeraria de la ciudad de Avila, que exejció D. Gabriel Montes, y en virtud de providencia del Corregidor de ella se cita ¿ llama y emplaza á todas y qualesquiera personas que.crean tener derecho, como censualistas, ó por otra carga, gravamen</t>
  </si>
  <si>
    <t>Montes, Juan</t>
  </si>
  <si>
    <t>Juan Montes</t>
  </si>
  <si>
    <t>s de número á los supernumerarios D. Juan Josef y D. Manuel Ripperdá, y á Supernumerario al Guardia D. Juan Montes. El Rey se ha servido nombrar para la Vara de Alcaide mayor de la vi</t>
  </si>
  <si>
    <t>icana del Real Cuerpo de Guardias de Corps ha promovido e! Rey á Cadete de número ai supernumerario D. Juan Montes, y á supernumerario al Guardia D. Josef Moldes. El Rey se ha dignado nombrar al Sr. D. Juan Diego Duro y Solano pa ra la plaza efectiva de Ministro dei Consejo de Hacienda, vacant</t>
  </si>
  <si>
    <t>Montesinos, Nicolás</t>
  </si>
  <si>
    <t>Nicolás Montesinos</t>
  </si>
  <si>
    <t>ía de granaderos á D. Luis Sánchez Toro ; y sencillas á D. Sebastian Benavente , D. Gerónimo Casal, D. Nicolás Montesinos, D. Eugenio Figueroa, D. Josef Alvaro de Arias, D. Juan Pablo Molina, D. Mariano Cáceres y D. Andrés de Cárdenas; Ayudantías á D. Cayetano Castro y D. Josef Molina; Tenencia de gr</t>
  </si>
  <si>
    <t>Montesinos, Santiago</t>
  </si>
  <si>
    <t>Santiago Montesinos</t>
  </si>
  <si>
    <t>o Roseiió, Don Pablo Salgüeyro., D. Isidro Miranda, D. Mariano Sánchez, D. Angel Santa María Perez, D. Santiago Montesinos, D. Nicolás Perales y D. Esteban Perales ; y de Portaguiones á D. Juan Cáceres, D. Mariano Pinedo, Don Gregorio Perales y D. Matías Perlado. Igualmente se ha servido S. M. conferi</t>
  </si>
  <si>
    <t>Montesoro y Moreno, Joaquín</t>
  </si>
  <si>
    <t>Joaquín Montesoro y Moreno</t>
  </si>
  <si>
    <t>ef y D. Mar nuel Garces de Marcilla, D. Juan Francisco y D. Joaquín Asensio-de Ocon, padre é hijo , D. Joaquín Montesoro y Moreno, D. Faustino .Cotorro de la Gala, D. Domingo y D. Antonio Hernández,hermanos, Don</t>
  </si>
  <si>
    <t>Montesoro, Joaquín</t>
  </si>
  <si>
    <t>Joaquín Montesoro</t>
  </si>
  <si>
    <t>sopa económica hasta el dia ultimo de Mayo del año último. „ El Corregidor, el Regidor preeminente, D. Joaquín Montesoro, y. otros individuos de la Junta, aprontáron por subscripción 935 rs. para los primeros gastos de este útilísimo ramo, qT¿e se ha consolidado con otros fondos que ha proporcionado</t>
  </si>
  <si>
    <t>acordó recogerlos, como lo hizo durante el invierno, en una casa que facilitó el expresado Regidor D. Joaquín Montesoro, quien puso en ella y asalarió una persona de toda confianza para cuidarlos, y tenerlos con la debida separación de sexós, disponiendo hubiese lumbre con que se calentasen. El Cor</t>
  </si>
  <si>
    <t>asiones de bodas y bautismos , habiendo dado este loable y noble exemplo D. Alberto Arias y Ciria , D. Joaquín Montesoro, D. Rafael y D. Manuel Garces de Marcilla, quienes entregaron á disposición de la Junta, el primero 1300 rs. con motivo de su matrimonio, el segundo 800, y los dos últimos 600 con</t>
  </si>
  <si>
    <t>Monteverde, Domingo</t>
  </si>
  <si>
    <t>Domingo Monteverde</t>
  </si>
  <si>
    <t>os. Teniente de Navio.............................. D. Pedro Nuñez. fD. Josef Linares. ' . j T- ^ J D. Domingo Monteverde. Tenientes de Fragata..................... D vicen ® Laina y Montes. vD. Joaquín Aróstegui. Alférez de Navio................................. D. Francisco Carmona. fD. Juan Josef</t>
  </si>
  <si>
    <t>Monteyra, Domingo Antonio</t>
  </si>
  <si>
    <t>Domingo Antonio Monteyra</t>
  </si>
  <si>
    <t>y para el Beneficio servidero de la Parroquial de Villatoro, en la de Avila, vacante por muerte de D. Domingo Antonio Monteyra, á D. Bernabé Romero, que sirve en la misma Iglesia. El Rey se ha servido nombrar para las Varas de Alcalde mayor de las ciudades de Valencia y'Barcelona á D. Josef Prat y Quadras</t>
  </si>
  <si>
    <t>Montgelas</t>
  </si>
  <si>
    <t>conscripción militar. En la Corte de Munich ne hay ahora mas que tres Ministros de Estado; á saber, Mr. Montgelas , encargado exclusivamente del departamento de los Negocios extrangeros y del de Hacienda , exerce las funciones de primer Ministro y Presidente del Consejo; el Conde de Móxawitzk</t>
  </si>
  <si>
    <t>Monti</t>
  </si>
  <si>
    <t>y después irán á Genova, cuyos habitantes los esperan con impaciencia. S. M. I. y R. ha regalado á Mr. Monti, autor del poema intitulado Sueño sobre la Italia, una rica caxa de oro con la cifra imperial y 60 pesetas. Al regalo acompañaba una carta del Emperador mas preciosa y lisonjera p</t>
  </si>
  <si>
    <t>r al nombre mrhorfál de Napoleón. Al mismo tiempo le presentó una edición en pergamino del Sueño de Mr. Monti, cuyas obras recibió S. M. con sumo aprecio. Bolonia 2$ de Junio. El día 20 entró en esta ciudad la Emperatriz, y ál dia siguiente su augusto esposo. Ei recibimiento hecho á SS. M</t>
  </si>
  <si>
    <t>Monzon, Agustín</t>
  </si>
  <si>
    <t>Agustín Monzon</t>
  </si>
  <si>
    <t>Tententes de Navio. D. Juan González Cisniega, muerto: D. Joaquín de Salas id.: D. Juan Matute id.: D. Agustín Monzon id. : D. Juan Donesteve id.: D. Ramón Amaya id.: D. Francisco Calderón, herido: D. Marcos Guruzeta id.: D. Joaquin Jorganes id.: D. Luis Moreno id.: D. Rafael de Luna id. Teniente</t>
  </si>
  <si>
    <t>Moore, General</t>
  </si>
  <si>
    <t>General Moore</t>
  </si>
  <si>
    <t>mientos 43, 5 2, 78 y 95 , de carabineros, que estén prontos á marchar, á la primera orden , con el General Moore: se ignora si esta expedición debe unirse á la primera, ó si obrará separadamente. Se ha decidido que en adelante habrá enGibraltar un Almirante, para acelerar la expedición de lo</t>
  </si>
  <si>
    <t>-na. En las Dunas se embarcará la brigada del General Moore, llamada la brigada de Montañeses, y los Regimientos 43 , 52 y 78 se embarcarán en portsmouth. Creese que el General Catheart mandará la cabaílería,,el General Moore la infantería</t>
  </si>
  <si>
    <t>Mora, Antonio</t>
  </si>
  <si>
    <t>Antonio Mora</t>
  </si>
  <si>
    <t>rte D. Josef Sánchez Teruel; y en el dei Infante empleo de Portaestandarte al Cadete del de Montesa D. Antonio Mora.</t>
  </si>
  <si>
    <t>Teniente al Subteniente de granaderos D. Miguel Ortiz; á Subteniente de granaderos al de fusileros D. Antonio Mora; y á Subteniente de bandera al Cadete D. Juan González. En el Regimiento de infantería Provincial de las Tres Villas, en NuevaEspaña,se ha servido el Rey promover á Capitán al Ten</t>
  </si>
  <si>
    <t>Mora, Santiago</t>
  </si>
  <si>
    <t>Santiago Mora</t>
  </si>
  <si>
    <t>México se ha servido el Rey promover á Capitán al Ayudante D. Pedro Terrón: á Ayudante al Teniente Don Santiago Mora: á Teniente al Subteniente de granaderos D. Miguel Ortiz; á Subteniente de granaderos al de fusileros D. Antonio Mora; y á Subteniente de bandera al Cadete D. Juan González. En el</t>
  </si>
  <si>
    <t>Morales Gabaldon, Ignacio</t>
  </si>
  <si>
    <t>Ignacio Morales Gabaldon</t>
  </si>
  <si>
    <t>a plaza de Agente del número de los de Indias , vacante por muerte de D. Domingo Sánchez Barrero, á D. Ignacio Morales Gabaldon. En los dias «0,21 y 23 de Abril y 7 de Mayóse han hecho á la vela de varios puertos de esta Península, y se han perdido de vista, navegando con viento favorable para su destino ,</t>
  </si>
  <si>
    <t>Morales, Bartolomé</t>
  </si>
  <si>
    <t>Bartolomé Morales</t>
  </si>
  <si>
    <t>ente , de granaderos, concediéndole también el grado de Capitán que .tiene afecto por reglamento, y D. Bartolomé Morales t á Tenientes de granaderos los de fusileros D. Diego Mayeii y D. Juan de Fierra; á Tenientes los Subtenientes de granaderos D. Francisco Ribera y D. Juan de Castro Palomino, y á</t>
  </si>
  <si>
    <t>Morales, Ignacio</t>
  </si>
  <si>
    <t>Ignacio Morales</t>
  </si>
  <si>
    <t>y en el Batallón de Voluntarios de Valencia se ha servido el Rey conceder Subtenencias de bandera á D. Ignacio Morales, D. Pedro González, D. Manuel Sacristán y D. Nicolás Pastor, el primero Cadete, y los demas Sargentos primeros de los mismos Cuerpos.</t>
  </si>
  <si>
    <t>Morales, Juan</t>
  </si>
  <si>
    <t>Juan Morales</t>
  </si>
  <si>
    <t>ha servido conferir Tenencias en el Regimiento de infantería de Soria al Subteniente de granaderos D. Juan Morales; y en el de Sa'ooya á los de fusileros D, Francisco Frías y' D. Miguel de Castro y Corréai en el de Aragón Compañía al Ayudante, graduado de Capitán, D. Joaquín Aparici; y Subtene</t>
  </si>
  <si>
    <t>Morales, Pedro</t>
  </si>
  <si>
    <t>Pedro Morales</t>
  </si>
  <si>
    <t>imiento de infantería del Príncipe se ha servido el Rey promover á Subteniente de bandera ai Cadete D. Pedro Morales: en el de Mallorca á Teniente al Subteniente D. Fernando Antonio Muñoz: en el de Burgos á Capitán al Teniente de granaderos D. Manuel Gestido; y á Teniente al Subteniente D. Franc</t>
  </si>
  <si>
    <t>Morata Pastor, Gregorio</t>
  </si>
  <si>
    <t>Gregorio Morata Pastor</t>
  </si>
  <si>
    <t>sef Burdallo, á D. Sebastian Piñeros Albarran, Racionero de ella: para la Ración que este obtiene á D. Gregorio Morata Pastor , Capellán de Coro de la misma Catedral: para una Ración de la Catedral de Orense, vacante por muerte de D. Pedro Peaguda, y por haberla renunciado ántes de tomar posesión D. Luis</t>
  </si>
  <si>
    <t>Morder, Mariscal</t>
  </si>
  <si>
    <t>Mariscal Morder</t>
  </si>
  <si>
    <t>ado el Danubio en Ciems, y luego quemáron el* puente, que era muy hermoso. El 11 al rayar el día el Mariscal Morder- con 6 batallones se ha encaminado á Stein. Creía hallar allí una retaguardia, pero encontró el exército Ruso, cuyos bagages no habían aun salido; esto ocasionó la batalla de Diern</t>
  </si>
  <si>
    <t>io?3 El Mariscal Morder ha marchado en su seguimiento, mientras que otros cuerpos de exército pasan el Danubio por el puente de Viena para flanquearlos por la derecha: el cuerpo del Mariscal Bernadotte m</t>
  </si>
  <si>
    <t>Moreau, General</t>
  </si>
  <si>
    <t>General Moreau</t>
  </si>
  <si>
    <t>érgico, que tai vez no estarémos tres años siendo tranquilos espectadores de la tiranía Inglesa. El General Moreau ha escogido para residencia suya un pueblo llamado Morristown, situado á 9 leguas de esta ciudad, y 2 al poniente del camino principal de Filadelfia. Dicho pueblo casi estaba desi</t>
  </si>
  <si>
    <t>Moreaudé-St-Mer</t>
  </si>
  <si>
    <t>entrar en la ciudad se hiciércn repetidas salvas de artillería, y se echaron á vuelo las campanas. Mr. Moreaudé-St-Mer}' salió á recibir á S. S. aLcastillo de S. Juan, y le acompañará hasta'los confines de Etruria. Esta mañana, después de haberse dignado admitir á los fieles ¿ besar¿el pie, salió</t>
  </si>
  <si>
    <t>Moreda, Gregorio</t>
  </si>
  <si>
    <t>Gregorio Moreda</t>
  </si>
  <si>
    <t>de Burgos, Segovia^ León y Murcia á D. Ramón de Villegas Quevedo, D. Miguel'Mendez Cabeza y Bazan, D. Gregorio Moreda y D. Francisco Rosique. , En América. En el Regimiento de infantería de.Buenos-Ayres se ha ser? vidó el Rey,promover á Teniente Coronel al Comandante del tercer Batallón, graduado de</t>
  </si>
  <si>
    <t>Morejon, Francisco</t>
  </si>
  <si>
    <t>Francisco Morejon</t>
  </si>
  <si>
    <t>al Cadete D. Francisco Alfonso; y en el Esquadron montado del propio Cuerpo á 7Capitan al Teniente D. Francisco Morejon; á Tenientes ai Subteniente Don Felipe Ximenez, al Portaguión D. Antonio Ximenez, y al Cadete D. Antonio del Junco; á Subtenientes al Cadete D. Francisco de la Guardia y al Sargen</t>
  </si>
  <si>
    <t>Moreno Álvarez, Diego</t>
  </si>
  <si>
    <t>Diego Moreno Álvarez</t>
  </si>
  <si>
    <t>z, á D. Vicente Casquete y Villaran , Dignidad de Chantre de la misma Colegial: para esta resulta í D. Diego Moreno Alvarez; y para una Canongía de la Colegial de Uxijar, en el Arzobispado de Granada, vacante por fallecimiento de D. Mariano Navarro, á D. Josef Viana, Cura propio y Vicario de la ciudad</t>
  </si>
  <si>
    <t>Moreno de Guerra, Ramón</t>
  </si>
  <si>
    <t>Ramón Moreno de Guerra</t>
  </si>
  <si>
    <t>lmansa á Ayudante al Teniente D. Juan Bonilla; y en el de cazadores de la Reyna á Alférez al Cadete D. Ramón Moreno de Guerra. El bergantin correo de la Real Armada, nombrado el Casilda, salió de Montevideo el 13 de Noviembre, y fondeó en Camarinas ei 29 de Enero último con la correspondencia del Real se</t>
  </si>
  <si>
    <t>Moreno de Tejada, Juan</t>
  </si>
  <si>
    <t>Juan Moreno de Tejada</t>
  </si>
  <si>
    <t>mos en 4.0 : su precio gó rs. en pasta. Excelencias del pincel y del buril, que en 4 silvas cantaba D. Juan Moreno de Tejada, Grabador de cámara de S. M., Académico de mérito de la Real Academia de S. Fernando, y de la de S. Carlos de México*, un tomo en 4.0 Véndese en la librería de Sancha y en la de C</t>
  </si>
  <si>
    <t>Moreno, Juan</t>
  </si>
  <si>
    <t>Juan Moreno</t>
  </si>
  <si>
    <t>Antonio de Escaño, Mayor General (*), herido en C4) El Comandante general del Departamento de Cádiz D. Juan Moreno, en oficio de 29 de Octubre, dixo al Excmo. Sr. Generalísimo Príncipe de la Paz lo siguiente: ,,La modestia del Mayor general Escaño al darme en confuso la relación del combate de</t>
  </si>
  <si>
    <t>Moreno, Julián</t>
  </si>
  <si>
    <t>Julián Moreno</t>
  </si>
  <si>
    <t>ado de Capitán, D. Fernando Campero; y en el de Sevilla Subtenencia de bandera al Sargento1 primero D. Julián Moreno. El Rey se ha servido conceder en el Regimiento de caballería del Príncipe empleo de Portaestandarte al Sargento primero D. Antonio Barreda : en él de Borbon Compañía al Ayudante,</t>
  </si>
  <si>
    <t>Moreno, Luis</t>
  </si>
  <si>
    <t>Luis Moreno</t>
  </si>
  <si>
    <t>D. Ramón Amaya id.: D. Francisco Calderón, herido: D. Marcos Guruzeta id.: D. Joaquin Jorganes id.: D. Luis Moreno id.: D. Rafael de Luna id. Tenientes de Fragata. D. Rafael Bobadilla, muerto; D. Martin Urias id.: D. Pedro Moriano id.: D. Josef Roso id.: D. Manuel Ribera, herido: D. Juan del B</t>
  </si>
  <si>
    <t>Moreno, Melchor</t>
  </si>
  <si>
    <t>Melchor Moreno</t>
  </si>
  <si>
    <t>ca de dicha parroquial. Los pretendientes dirigirán sus memoriales al Secretario de dicha Comunidad D. Melchor Moreno. Los examenes darán principio el dia 30 de Marzo próximo por el Sinodal, que nombrará la expresada Comunidad, y lo serán en canto-llano,órgano, lección de música,acompañamiento y</t>
  </si>
  <si>
    <t>Moreno, Tomás</t>
  </si>
  <si>
    <t>Tomás Moreno</t>
  </si>
  <si>
    <t>ez Verea y Aguiar: para una Média-Racion de la Cátedra h de Ségovia ,; vacante per fallecimiento de D. Tomas Moreno, á Don Manuel Martínez del Arne: para el Beneficio dé la villa del Tiemblo^ Diócesi de Avila , vacante por muerte dé D. FraociscoEscribanoMolano, á D. Julián García de Vegas, Cape</t>
  </si>
  <si>
    <t>Morentin, Francisco</t>
  </si>
  <si>
    <t>Francisco Morentin</t>
  </si>
  <si>
    <t>se ha servido nombrar para una Ración de la Parroquial de la villa de Epiia* Dibcesi.de Zaragoza, á D. Francisco Morentin. El Rey se ha servido nombrar. Coronel del Regimiento dQ infantería Suizo, vacante de Ruttiman, ai Coronel graduado £&gt;. Cirios de Reding, ( Teniente Coronel del de Betschart: Teni</t>
  </si>
  <si>
    <t>Morera, Sebastián</t>
  </si>
  <si>
    <t>Sebastián Morera</t>
  </si>
  <si>
    <t>os de las clases de matemáticas establecidas asimismo por la Sociedad, al cargo de sus Catedráticos D. Sebastian Morera y D. Juan, de Acosta, en los que fuéron examinados D. Josef Gutiérrez, D. Juan María Maestre y D011 Manuel Sotelo, D. Vicente Martínez Gómez y el Dr. D. Francisco Velazquez, los tres</t>
  </si>
  <si>
    <t>Morete, Manuel</t>
  </si>
  <si>
    <t>Manuel Morete</t>
  </si>
  <si>
    <t>«07 empleo al Teniente D. Manuel Morete: á Subtenientes á los de igual clase del Regimiento de infantería de España , y primer Batallón de Voluntarios de Cataluña D. Antonio ChicherI, y D. Francisco López, y ai Cadete d</t>
  </si>
  <si>
    <t>Moríalo, Agustín</t>
  </si>
  <si>
    <t>Agustín Moríalo</t>
  </si>
  <si>
    <t>... naderos de Córdoba.:....................!&gt;P- Josef GraaI11Capitán del Regimiento de la Corona. D. Agustín Moríalo. Tenientes de Córdoba......... ........... J£-'£??n ID. Miguel Vivaldo. Graduado de Capitán de la Corona.. D. Bernardo Corral. Teniente de Artillería dé Exército.... D. Miguel Ceb</t>
  </si>
  <si>
    <t>Moriano, Pedro</t>
  </si>
  <si>
    <t>Pedro Moriano</t>
  </si>
  <si>
    <t>id.: D. Rafael de Luna id. Tenientes de Fragata. D. Rafael Bobadilla, muerto; D. Martin Urias id.: D. Pedro Moriano id.: D. Josef Roso id.: D. Manuel Ribera, herido: D. Juan del Busto id.: D. Ignacio del Valle id. Teniente de Bornbarela. D. Juan de Medina, muerto. Alféreces_de Navio. D. Luis Pe</t>
  </si>
  <si>
    <t>Moro Benito, Jacinto</t>
  </si>
  <si>
    <t>Jacinto Moro Benito</t>
  </si>
  <si>
    <t>ido nombrar para una Capellanía de numero, vacante en la Catedral de Patencia, por fallecimiento de D. Jacinto Moro Benito, á-D. Silverio de la Vega. A El Rey se ha servido nombrar para un Beneficio de residencia de la Parroquial de la villa de Tárrega, Diócesis de Solsona, baxo la invocación de S. Pe</t>
  </si>
  <si>
    <t>Moro, Henrique</t>
  </si>
  <si>
    <t>Henrique Moro</t>
  </si>
  <si>
    <t>íguez, D. Rodrigo Plaza, y D. Josef Benito Florez; y á los segundos de á 16 pesos D. Martin Blanco, D. Henrique Moro, y D. Blas Guirao. Se previene á todas Jas personas á quienes conviniere el aviso, que los Señores F. R. Pcyer y compañía, del comercio de Dresde en el Electorado de Saxonia, no r</t>
  </si>
  <si>
    <t>Morris, Capitán</t>
  </si>
  <si>
    <t>Capitán Morris</t>
  </si>
  <si>
    <t>ía el h de Mayo, y que arribó el 29 de Junio. El 14 de Mayo se supo en Sta. Lucía ,- por .aviso del Capitán Morris., que .manda en la Roca acl Üiamante^ que Uíia</t>
  </si>
  <si>
    <t>de la Punta de Diamante, donde el Conmodoro Hood había coloca-, do varias baterías dirigidas por el Capitán Morris;, Comandante de. las tropas de la Marina, con 190 hombres* Dos navios de línea, 2 fragatas y algunas ')</t>
  </si>
  <si>
    <t>a un poco mas arriba, sostuviéron durante 3 dias con grande valor el acometimiento. La posición del Capitán Morris era ventajosa por ocupar una roca muy escarpada y casi inaccesible; pero por desgracia habiéndoles los enemigos interceptado una provisión de pólvora y de agua, se viéron reducidos</t>
  </si>
  <si>
    <t>Mórt'ifer, Mariscal</t>
  </si>
  <si>
    <t>Mariscal Mórt'ifer</t>
  </si>
  <si>
    <t>stió al exército Ruso, lo batió y le .obligó á retirarse, han resuelto hacer en mármol el busto del Mariscal Mórt'ifer ;s;u paisano, el qual se colocará en la sala del. Ayuntamiento con e$ta inscripción : Los vecinos de Cateau al vencedor de Diernstein 3 su ilustre compatriota y el valiente Marisc</t>
  </si>
  <si>
    <t>Mortier, Mariscal</t>
  </si>
  <si>
    <t>Mariscal Mortier</t>
  </si>
  <si>
    <t>de lo que se refiere.en e! diario del exército grande, sobre el combate de Diernstei i en que- el -Mariscal Mortier con 4© Franceses resistió al exército Ruso, lo batió y le .obligó á retirarse, han resuelto hacer en mármol el busto del Mariscal Mórt'ifer ;s;u paisano, el qual se colocará en la</t>
  </si>
  <si>
    <t>Morusi, Príncipe</t>
  </si>
  <si>
    <t>Príncipe Morusi</t>
  </si>
  <si>
    <t>STO DE i8oj. TURQUIA. Constantinopia 2$ de Junio. El Gran Señor ha expedido un decreto nombrando al Príncipe Morusi para la plaza de Director general de hospitales. En él se leen las cláusulas siguientes: „He tenido la mas viva satisfacción al ver que se han cumplido puntualmente mis ordenes co</t>
  </si>
  <si>
    <t>Moscoso Peñaranda, Manuel</t>
  </si>
  <si>
    <t>Manuel Moscoso Peñaranda</t>
  </si>
  <si>
    <t>á los Cadetes D. Andrés Vaibuena , D. Josef de Cangas y D. Lorenzo de Cangas. El Teniente de Navio D. Manuel Moscoso Peñaranda ha dad© cuenta al Excmo. Sr. Generalísimo Príncipe de ja Paz del combate que sostuvo el dia 27 de Abril, contra una goleta Inglesa, en las aguas de cabo Oropesa, ae la costa de Va</t>
  </si>
  <si>
    <t>Moscoso, Juan Alonso</t>
  </si>
  <si>
    <t>Juan Alonso Moscoso</t>
  </si>
  <si>
    <t>e tierras calmas y labrantías , propio de las memorias qué en la villa de Argete fundó el limo. Sr. D. Juan Alonso Moscoso, Obispó qué fué de Málaga, el qual se halla tasado en 167,790 rs. en venta, y en 2500 en renta anual, pudiendo pastarlo en sus respectivas temporadas 25 muías con sus guias, y 30</t>
  </si>
  <si>
    <t>Moyana, Tomás</t>
  </si>
  <si>
    <t>Tomás Moyana</t>
  </si>
  <si>
    <t>iano Alonso , y escribanía de provincia de-D: Miguel García: de* la Madrid. Por providencia del Sr. D. Tomas Moyana, del Consejo de- S: M, su Alcalde de Casa y Córte, y escribanía de provincia de D. Mauricio Justo- del Rincón, se ña mandado sacar á pública subasta, por término de 30 dias contad</t>
  </si>
  <si>
    <t>Moyano, Tomás</t>
  </si>
  <si>
    <t>Tomás Moyano</t>
  </si>
  <si>
    <t>riquita, en el Vireynato de Santa Fe, á D. Juan Salvador Rodríguez de Lago. Por providencia del Sr. D. Tomas Moyano, del Consejo dftS. M., su Alcalde de Gasa y Corte, y escribanía de .©. Mauricio;Justo del Rincón, se ha mandado sacar á pública subasta, por término de 30 dias contados desde-el 2</t>
  </si>
  <si>
    <t>dia 10 del corriente én la audiencia de Sé $./dé doce á-imá de su mañana. , Por providencia del Sr. D. Tomas Moyano, del Consejo de S. M., Alcalde en su Real Casa y'Corté, confirmada por los Sres. del Real y Supremo Consejo de Castilla., se ha mahdádó sacar 4 pública subasta, por término de 30</t>
  </si>
  <si>
    <t>quisiere hacer postura, acuda ante dicho Señor por la citada escribanía. , Por procidencia;del Sr. D. Tomas Moyano,.del Consejo de S. M., su Alcade de Casa y Corte, y escribanía de provincia de D. Mauricio justo del Rincón, se ha mandado sacar á pública subasta por término de 30 dias una casa</t>
  </si>
  <si>
    <t>5 del corriente en la audiencia de su Señoría, de doce á una de. su mañana. Por providencia del Sr. D. Tomas Moyano, del Consejo de S. M., su Alcalde de Casa y Corte, de 26 de Octubre próximo, y escribanía de provincia de EX Mauricio Justo del Rincón, se ha mandado sacar á pública subasta, por</t>
  </si>
  <si>
    <t>sitio*6115pie^ superficiales , 7 se halla tasada en 440,963 rs., acuda ante él Sr. Alcalde de Corte D. Tomas Moyano, y escribanía de provincia de D. Mauricio Justo del;Rincon¿.en el término de'30 dias contados desde el 2 2 del corriente. En virtud de providencias del Sr. AlcalderD¿ Juan Antonio</t>
  </si>
  <si>
    <t>dad: para la Canongía de la Iglesia de Vailadolid, vacante por muerte de D. Pedro Ramón de Villa, á D. Tomas Moyano, Canónigo de la Colegiata de Santa Fe, Diócesi de Granada: para el Priorato de nuestra Señora del Puy , extramuros de la ciudad de Estella, Diócesi de Pamplona, vacante por fallec</t>
  </si>
  <si>
    <t>Moyua, Francisco</t>
  </si>
  <si>
    <t>Francisco Moyua</t>
  </si>
  <si>
    <t>n el Monarca. Capitanes de Fragata. D. Antonio Castaños, segundo Comandante, muerto en el Montañés: D. Francisco Moyua, id., muerto en el Nepomuceno: D. Joaquin Somoza, id., herido en el Neptuno. D. Tomas Ramerí, id., herido en el Bahama: D. Josef Brandaris, id., herido en el S. Agustín. Tententes</t>
  </si>
  <si>
    <t>Mozo, Miguel</t>
  </si>
  <si>
    <t>Miguel Mozo</t>
  </si>
  <si>
    <t>Id. Art. Miguel Mozo........ Hijo de Romualdo y de Ana García,</t>
  </si>
  <si>
    <t>Mr, Almirante</t>
  </si>
  <si>
    <t>Almirante Mr</t>
  </si>
  <si>
    <t>l Archi-Canciller del Imperio, y prestaron el juramento acostumbrado, como tales Senadores, el Gran Almirante Mr. Murat, el Cardenal Cambacerés, y otros varios nombrados recientemente.__ Concluida esta ceremonia se presento Mr. Talleyrand, Ministro de Relaciones exteriores, para informar al</t>
  </si>
  <si>
    <t>a encargado la direc-; cion de la Artillería y de los Ingenieros. ? Augsbnrgo ztf de Marzo. El Vice-Almirante Mr. de Tchisehagaff, Ministro de Marina, ha remitido á la Academia de las Ciencias de Petersburgo un asuntó de premio sobre la teoría de la resistencia de los fluidos, y sobre la apl</t>
  </si>
  <si>
    <t>Mu, Lord</t>
  </si>
  <si>
    <t>Lord Mu</t>
  </si>
  <si>
    <t>die levanta su voz contra los Ministros. El dia 9 se juntó un Consejo de Gabinete en el despacho de Lord Mu 1grave de resultas de la llegada de la mala de Hamburgo. A las 3 de la tarde fueron al Almirantazgo los miembros del Gabinete, y estuviéron juntos dos horas, y se tomó la resoluci</t>
  </si>
  <si>
    <t>Muí, Lord</t>
  </si>
  <si>
    <t>Lord Muí</t>
  </si>
  <si>
    <t>18 de Octubre. Ayer él Lord Canciller acompañado de Mr. Pitt fué á las 3 de la tarde ai despacho de Lord Muí grave, donde se tuvo un consejo de Gabinete. El Embaxador de Rusia había trabajado algunas horas antes Con el misóte Lord en el despacho de Negocios extranjeros. El lunes por la m</t>
  </si>
  <si>
    <t>Mulgrave</t>
  </si>
  <si>
    <t>Mr.. Paget, Embaxador Británico en Viena. Se ignora qual sea su contenido; pero la reserva con que Mr. Mulgrave se ha explicado sobre dichos pliegos, hace creer que las noticias comunicadas por Mr. Paget no son tan satisfactorias como las que las Gazetas Ministeriales nos prometían.</t>
  </si>
  <si>
    <t>Mulgrave, Lord</t>
  </si>
  <si>
    <t>Lord Mulgrave</t>
  </si>
  <si>
    <t>o los Servios enteramente á las trepas mandadas por. Muss-Agá. . GRAN BRETAÑA. Londres jg de Enero. Lord Mulgrave, que reemplaza á Lord Harrowby en el Ministerio de</t>
  </si>
  <si>
    <t>entero de la paz entre ambas Potencias, no ha conseguido su objeto por desgracia de los hombres. El Lord Mulgrave, Ministro de Relaciones exteriores de Inglaterra, contesto á la carra del Emperador en nombre del Rey su amo, el 14 del mismo mes, diciendo: ,,Que S. M. sentía no poder responder</t>
  </si>
  <si>
    <t>no haber estragado enteramente sus costumbres. GRAN BRETAÑA. Londres 12 de Febrero. Ayer pronunció Lord Mulgrave en la Cámara de los Pares un largo discurso, reducido á justificar el rompimiento y guerra con España, y propuso se hiciese un humilde discurso á S. M. ,,para manifestarle que la Cá</t>
  </si>
  <si>
    <t>ra. Finalmente, propuso ei Canciller del Echiquier lo que en la Cámara de los Pares habia propuesto Lord Mulgrave. —Mr. Grey se opuso á los raciocinios de Mr. Pitt, y no tuvo la mas mínima dificultad en manifestar á los que ei espíritu de partido y de odio no ciega enteramente, que era un med</t>
  </si>
  <si>
    <t>escribió .el Emperador de los Franceses al Rey de Inglaterra proponiendo ia paz, y la respuesta del Lord Mulgrave, cuyas cartas van insertas; y de España la Real Cédula para que rija por ahora la Ordenanza de Montes de Marina de 1748, La parte literaria respuesta apologética á D. Gil Cano Moy</t>
  </si>
  <si>
    <t>nville solo quiere imponerle la necesidad de reconciliarse con él, y devolver á ocupar el lugar del Lord Mulgrave.</t>
  </si>
  <si>
    <t>.. ¿ • El Rey ha prorogado el Parlamento al 7 de Enero: Lord Catheart ha sido presentado al Rey por Lord Mulgrave, con motivo de su próximo viage á Petersburgo, adonde va en calidad de Embaxador. También ha sido presentado al Rey Sir Arturo Wellesley, que acaba de llegar de larIndia. La esqua</t>
  </si>
  <si>
    <t>Hamburgo. Se ha asegurado á razón de 2 guineas por 100. Ayer ha llegado Mr. Falconer al despacho de Lord Mulgrave con pliegos de Mr.. Paget, Embaxador Británico en Viena. Se ignora qual sea su contenido; pero la reserva con que Mr. Mulgrave se ha explicado sobre dichos pliegos, hace creer que</t>
  </si>
  <si>
    <t>Muller</t>
  </si>
  <si>
    <t>de Málaga, de Champaña ;y Malvasía,k Y, á ti.» de inspirar coníianza, á, los aliciouados., no tiene Mr. Muller reparo en, alminar que ¡su padre, que tenia trato, en vinos , hizo uso de la tai receta por espacio - de 30 años con el éxito mas deliz; Este</t>
  </si>
  <si>
    <t>Muller de Schwitz</t>
  </si>
  <si>
    <t>o mayor general. Mr. Watteville, que fué LandAmman el año ultimo, ha sido nombrado General en gefe: Mr. Muller de Schwitz, Gefe del Estado mayor; y Mr. Finsler, Tesorero del exército. El quartel general se establecerá en Zurich, adonde debe ir Mr. de Watteville en toda esta semana----- Los contingent</t>
  </si>
  <si>
    <t>Muller, Carlos</t>
  </si>
  <si>
    <t>Carlos Muller</t>
  </si>
  <si>
    <t>los Subtenientes D. Jodoco Traxler y D. Luis Cristen; y á Subteniente de granaderos al de fusileros D. Cárlos Muller: en el de Wimpffen á Subteniente de bandera á D. Cárlos Josef Mulier : en el de Reding á Teniente de granaderos al de fusileros D. Jacobo Rrugger; y esta resulta al Subteniente de</t>
  </si>
  <si>
    <t>Mungo Parck</t>
  </si>
  <si>
    <t>presentar en uno de los teatros una pieza dramática intitulada: la toma de Álexandría.** El célebre Mr. Mungo Parck, bien conocido por sus viages en lo interior del Africa, se ha embarcado, á bordo del buque Eugenia, para aquellas regiones distantes, con el objeto de establecer relaciones comer</t>
  </si>
  <si>
    <t>Mungo Park</t>
  </si>
  <si>
    <t>siquiera eá menor altercado entre ambas autoridades superiores. GRAN BRETAÑA. Londres 24 de Abril. Mr. Mungo Park, ya conocido por sus viages á lo interior del Africa , ha salido de nuevo para aquel pais á bordo del navio Eugenia. Ei objeto de su viage es procurar establecer relaciones de com</t>
  </si>
  <si>
    <t>Muñiz, Agustín</t>
  </si>
  <si>
    <t>Agustín Muñiz</t>
  </si>
  <si>
    <t>También se ha servido el Rey conferir la Tenencia de Rey de la ciudadela de la plaza de Pamplona á D. Agustín Muñiz, Teniente Coronel agregado al Estado mayor de la misma plaza. El Rey ha promovido á Teniente del Regimiento de caballería de M011tesa á D. Juan Luis Astraudi, Guardia de Corps de</t>
  </si>
  <si>
    <t>Muñiz, Cayetano</t>
  </si>
  <si>
    <t>Cayetano Muñiz</t>
  </si>
  <si>
    <t>l lugar de Valdeobispo, en la Diócesis de Coria, vacante por muerte de D. Pedro Antonio Calderón, á D. Cayetano Muñiz y. Bouvier. S. M. ha conferido en el Regimiento de. infantería de Ultbnia Compañía ai Ayudante, graduado de Capitán, D. Fernando Campero; y en el de Sevilla Subtenencia de bandera a</t>
  </si>
  <si>
    <t>Muñiz, Manuel</t>
  </si>
  <si>
    <t>Manuel Muñiz</t>
  </si>
  <si>
    <t>rnando Rosel, D. Vicente Vivanco y D. Anselmo de Arce; j de Portaestandartes á D. Eusebio Goizueta, D. Manuel Muñiz, D. Matías Salazar y D. Vicente Rodriguez. En el Regimiento de Milicias urbanas de dragones de Carabaya, en el Reyno del Perú, se ha dignado S. M. conceder el empleo de Coronel á</t>
  </si>
  <si>
    <t>Muñoz Álvarez, Agustín</t>
  </si>
  <si>
    <t>Agustín Muñoz Álvarez</t>
  </si>
  <si>
    <t>ara entrar en la traducción, con mas facilidad y menos tiempo que ordinariamente se acostumbra, por D. Agustín Muñoz Alvarez, Presbítero, individuo de las Reales Academias Latina Matritense y de Buenas Letras de Sevilla, y Catedrático primero de Latinidad en el Colegio de S. Miguel de dicha ciudad: quar</t>
  </si>
  <si>
    <t>Muñoz de Torres, Bartolomé</t>
  </si>
  <si>
    <t>Bartolomé Muñoz de Torres</t>
  </si>
  <si>
    <t>s que se requieran: que así es mi voluntad; y que al traslado impreso de ésta mí Cédula, firmado de D. Bartolomé Muñoz de Torres, mí Secretarlo, Escribano de Cámara mas antiguo y de Gobierno del mí Concejo, se le dé la misma fe y crédito que á. su original. Dada en Aranjuez á 29 de Junio de 1805.=YO EL REY.</t>
  </si>
  <si>
    <t>Muñoz, Antonio</t>
  </si>
  <si>
    <t>Antonio Muñoz</t>
  </si>
  <si>
    <t>ra tratar de su ajuste, puede acudir á la calle del Relox, núm. 8o, quarto segundo, preguntando por D. Antonio Muñoz. Variedades de ciencias, literatura y artes, núm. 7.0, con que principia el segundo trimestre de este año, y contiene los artículos siguientes: análisis del tomo i.° de la obra de</t>
  </si>
  <si>
    <t>juste, acuda á la calle del Relox, junto á la Inquisición, núni. 8, quarto segundo, preguntando por D. Antonio Muñoz. En la villa de Viiiaiuenga de la Sagra, distante de la Corte 8 leguas, y 4 de Toledo, se halla vacante la plaza de Maestro de primeras letras: su población es de 300 vecinos, y e</t>
  </si>
  <si>
    <t>mayor'de la plaza de Valencia. = Morir viviendo en la aldea, y vivir muriendo en la Corte: su autor D. Antonio Muñoz, dedicado al insigne Manuel Pascual, perpetuo voceador de las calles y paseos de Madrid. Se hallarán en la librería y puesto de Cerro, calle de Alcalá. . : . Graciosa canción del</t>
  </si>
  <si>
    <t>Muñoz, Bartolomé</t>
  </si>
  <si>
    <t>Bartolomé Muñoz</t>
  </si>
  <si>
    <t>re. =: Teniente de Canciller mayor, D. Josef Alegre. = Es copia de su original, de que certifico. = D. Bartolomé Muñoz. nota. Se avisará oportunamente al público los dias en que se abrirá la Subscripción en Madrid y en los puertos y capitales del Reyno, y también aquellos en que se entregarán á lo</t>
  </si>
  <si>
    <t>Muñoz, Bernardo</t>
  </si>
  <si>
    <t>Bernardo Muñoz</t>
  </si>
  <si>
    <t>as de la batería, y causado otros estragos de consideración. España, del mando del Capitán de Navio D. Bernardo Muñoz: las xarcias y todo el velámen están muy estropeados. Tiene maltratada la arboladura, rendidos el palo de mesana y varias vergas y masteleros, y desfondados bote y lancha. Recibió</t>
  </si>
  <si>
    <t>Muñoz, Fernando Antonio</t>
  </si>
  <si>
    <t>Fernando Antonio Muñoz</t>
  </si>
  <si>
    <t>er á Subteniente de bandera ai Cadete D. Pedro Morales: en el de Mallorca á Teniente al Subteniente D. Fernando Antonio Muñoz: en el de Burgos á Capitán al Teniente de granaderos D. Manuel Gestido; y á Teniente al Subteniente D. Francisco Céspedes; y en el de Jaén á Subtenientes de bandera al Sargento pr</t>
  </si>
  <si>
    <t>Muñoz, Miguel</t>
  </si>
  <si>
    <t>Miguel Muñoz</t>
  </si>
  <si>
    <t>,Hermandades, y lucido numeroso concurso de ambos sexos : concluida la bendición, predico el citado D. Miguel Muñoz un sermón análogo á Jas circunstancias. Al día siguiente y con asistencia de los mismos Cuerpos y sngetos principales convidados por el Corregidor, se celebró en la Iglesia Parroq</t>
  </si>
  <si>
    <t>núm. 18, desean saber la residencia de Doña Ramoija García, parienta de D. Miguel Muñoz, que fué comerciante, ó ha tenido tienda en la calle del Regó de Agua de la Coruña, ó arrabal de dicha ciudad, para reemplazarla de ciertos haberes qua la pertenecen, acreditándol</t>
  </si>
  <si>
    <t>Miguel Muñoz........ Hijo de Cecilio, natural de Granada: murió")</t>
  </si>
  <si>
    <t>Muñoz, Pablo</t>
  </si>
  <si>
    <t>Pablo Muñoz</t>
  </si>
  <si>
    <t>ros á D. Josef Rosello; y sencillas á D. Alexandro Benavente, D. Mariano Aragón, D. Josef Escovedo, D. Pablo Muñoz, D. Lorenzo Lencinas, Don Josef Silva y Laguado, D. Manuel de la Barrera, D. Mariano Murguía, D. Ramón Paredes, D. Mariano Figueroa, D. Valentín Toro y D. Juan Valenzuela; empleo</t>
  </si>
  <si>
    <t>Mur, Pedro</t>
  </si>
  <si>
    <t>Pedro Mur</t>
  </si>
  <si>
    <t>do; y empleo de Alférez al Portaestandarte Antonio Saliquet; y en el de Montesa Tenencia al Alférez D. Pedro Mur. También se ha dignado S. M, concedér en el de Dragones de Almansa Compañía al Ayudante, graduado de Capitán, D. Francisco Cardona; Tenencia al Alférez D. Antonio Yaques, y empleo</t>
  </si>
  <si>
    <t>Murar, Príncipe</t>
  </si>
  <si>
    <t>Príncipe Murar</t>
  </si>
  <si>
    <t>staban aquí han salido ya para ocupar sus púestos. Se asegura que ayer por la tarde pasó el Rhin el Príncipe Murar con su Estado mayor. También se dice que. otro de nuestros exércitos pasó el rio por ManHeira. ¿Nada-.sé; sabe ;del-{destino de l&lt;*s exércitos. Algunas personas que .vinieron, aye</t>
  </si>
  <si>
    <t>S. M. y qoíen le* hablo largó tiempo^ de los asuntos económicos de St país. Ha llegado á Munich el Príncipe Murar, quien ha manifestado suma actividad en su expedición» No cesa de alabar á los cazadores dé íá guardia Imperial y á los carabineros, Habiendo caído en sus manos un tésoró de idb®</t>
  </si>
  <si>
    <t>Príncipe Murat, Flahault, ha recibido ún balazo en el brazo. . • Ayer 4 pasamos el Enrís, y hoy el Príncipe Murar sigue1 ¿1 alcance de los enemigos. El Mariscal Davoust ha llegado el 3 á Steyer: ayer en todo el día se ha apoderado de la ciudad, haciendo 200 prisioneros: el enemigo daba muestr</t>
  </si>
  <si>
    <t>Murát Consiente, Príncipe</t>
  </si>
  <si>
    <t>Príncipe Murát Consiente</t>
  </si>
  <si>
    <t>Alemania, y se pondrá al púnto eir marcha' por él camino por dónde ha venido; con esta condición él Príncipe Murát Consiente en suspendA su marcha á la Moravia. Las presentes condiciones no se executarán hasta que las ratifique S. M. el Emperador Napoleón; y entre tanto, el exército Ruso y el cuerpo de ex</t>
  </si>
  <si>
    <t>Murat, Mariscal</t>
  </si>
  <si>
    <t>Mariscal Murat</t>
  </si>
  <si>
    <t>mohadón: el Mariscal Moncey, llevando la canastilla en que se pondrá el manto de la Emperatriz : el Mariscal Murat, llevando sobre un almohadón la corona de la Emperatriz:,, á- la derecha y á la izquierda de cada uno de estos 3 grandes Oficiales, un Gentilhombre ó un Caballerizo de la Emperatr</t>
  </si>
  <si>
    <t>hi-Canciiler del Estado: „ Senadores: Hemos nombrado Gran-Almirante del Imperio á nuestro cuñado el Mariscal Murat..Nos, hemos querido, no solamente reconocer los, servicios que ha hecho.á .la patria, y el afecto particular qne ha manifestado á nuestra persona;en todas las circunstancias de su</t>
  </si>
  <si>
    <t>2 de Febrero. El dia 9 se recibió en esta ciudad la agradable noticia de que nuestro compatriota el Mariscal Murat había sido elevado á la dignidad de Príncipe y Gran Almirante.__ El repique de las campanas y las repetidas salvas de la artillería anunciaron á nuestros conciudadanos una novedad</t>
  </si>
  <si>
    <t>Murat, Príncipe</t>
  </si>
  <si>
    <t>Príncipe Murat</t>
  </si>
  <si>
    <t>onjera. Todo el mundo corría en tropel por las calles expresando á voces su alegría. El hermano del Príncipe Murat se hallaba á la sazón aquí; pero iba á marchar á París, quando una multitud inmensa de pueblo, y la diputación de la ciudad, le obligaron á que suspendiese el viage para ser testi</t>
  </si>
  <si>
    <t>eón, el Mariscal Bernadotte, el Ministro Berthier, Mr. de Talleyrand-Perigord &gt; Mr. Cambaceres y el Príncipe Murat. El Doctor Portal, individuo del Instituto nacional de Francia, ha remitido á S. M. una obra suya tituladaCurso de anatomía médica, seguido aquí con buen éxito por algunos Médicos</t>
  </si>
  <si>
    <t>gwitz. _E1 Rey de Prusia ha conferido la Orden de la Aguila Negra al Emperador de los Franceses, al Príncipe Murat, al Príncipe Cambaceres, al Mariscal Berthier, al Ministro de Relaciones exteriores, al Mariscal Bernadotte y ai General Duroc. Se sabe de cierto que la esquadra de Rochefort ha v</t>
  </si>
  <si>
    <t>itiva. Al dia siguiente fué el Virey á visitar á S. A. E. FRANCIA. Boloña 20 de Agosto. S. A. S. el Príncipe Murat se halla aquí hace algunos dias, igualmente que SS. A A. II. las Princesas Luis y Carolina, y el joven Príncipe Napoleón. Habitan en una casa dé campo en el valle de la Learia, á</t>
  </si>
  <si>
    <t>■ ■ : *■ &lt; . El 1del corriéirite se transfirió el quartel general del Emperador a Rastadt, y el del Príncipe Murat se hallaba establecido; en Pforzheim. Todo el exército estaba en movimiento, y Se ¿avanzaba sóbfe todos lo£ puntos. El Ministro de Relaciones exteriores, Mr. de Talleyrand,1 ha ll</t>
  </si>
  <si>
    <t>tgardt.__ El cuerpo del Mariscal Lannes ha pasado el Rhin en Ivehl el 25 para ir á Louisburgo.__ El Príncipe Murat, con la caballería de reserva ha pasado el Rhin en Kehl el mismo dia, y ha permanecido apostado muchos dias en frente de los desfiladeros de la Selva-Negra; sus patrullas, que se</t>
  </si>
  <si>
    <t>4 Donawerth. .^-.El del Mariscal Ney en Koessirigen.__ El del Mariscal Lañnes en Neresheim. -—^. El Príncipe Murat con sus dragones junto al Danubio.--— El exército goza de perfecta salud., i El enemigo .se había avanzado hasta los desfiladeros de la Selva-Negra, en donde parece;que que'ria ma</t>
  </si>
  <si>
    <t>Ha habido algunos muertos, y se han hecho algunos prisioneros. El 7. Ai rayar el dia ha llegado el Príncipe Murat con sus dragones: al punto se reparó el puente ; y el Príncipe Murat con la división de dragones que manda el General Watter, se dirige al Lech, manda pasar al Coronel Water al fr</t>
  </si>
  <si>
    <t>dó á Augsburgo, igualmente que la división de coraceros, á las órdenes del General de Hautpouit. El Príncipe Murat con las divisiones de dragones de Klein y de .Beaumont, y la división de carabineros y coraceros del General Nansouty, pasó aceleradamente al pueblo de.Zusmershausen para intercep</t>
  </si>
  <si>
    <t>ha de una coluna que iba á rodear al enemigo. Al Gefe de esquadron E^celmans, Edecán de S. A. S. el Príncipe Murat, le mataron dos caballos. Este es el que traxo las banderas al Emperador , quien le dixo: Sé que nadie ^uede se: mas valeroso queVd.v le hago Oficial de la Legión de Honor. El Mar</t>
  </si>
  <si>
    <t>rgó tres veces, pero inútilmente, y tuvo que retirarse con precipitación, jorque la retaguardia del Príncipe Murat se acercaba á Burgau, y le iba a cortar. El Emperador ha pasado toda la noche del 9 al 10 y parte del dia 14» entre las colunas de los Mariscales Ney y Lannes. La actividad del ex</t>
  </si>
  <si>
    <t>icación del exército enemigo está cortada éri Augsburgo y Landsperg, y va á estarlo en Fuessen. ÍlI Príncipe Murat, con las colunas de los Mariscales Ney y Lannes, va al alcánce. Han sacado 10 Regimientos del exército Austríaco de Italia, y vienen en posta desde elTircl. Algunas divisiones Rus</t>
  </si>
  <si>
    <t>oél. Se tomó la boca del puente de Ulma, lo que causó sumo desorden en la plaza. Al mismo tiempo el Príncipe Murat hacia maniobrar las divisiones Klein y Beaumont, las quales derrotaban toda la caballería enemiga. i £1 día 14 el General Marmont ocupaba los puentes de Unterkirchcr y Oberkirch e</t>
  </si>
  <si>
    <t>ncipe tomó este último partido, y se fué á A alen con 4 esquadrones de caballería. r Entre tanto el Príncipe Murat iba al alcance del Príncipe Fernando. La división de Werneck pretendió detenerlo en Langenau; pero le tomó 3© prisioneros, entre ellos un Oficial General , y le quitó dos banderas</t>
  </si>
  <si>
    <t>barazosa por causa de 500 carros, y.debilitada con el combate de Langenau. En este combate quedó el Príncipe Murat muy satisfecho del Ge* neral Klein. El Regimiento 20 de dragones, el 9 de infantería ligera y ios cazadores de la guardia Imperial se han distinguido particularmente. El Ayudante</t>
  </si>
  <si>
    <t>ne que todo el resto de la coluna del Príncipe Fernando debe á estas horas estar acometida, pues el Príncipe Murat caminaba sobre su derecha por Aalen, y el Mariscal Lannes sobre la izquierda, por Nordlingen. Se espera el resultado de estas maniobras; al Príncipe Fernando le queda poca gente.</t>
  </si>
  <si>
    <t>con las tropas de su mando va al alcance del Príncipe Fernando, y estaba ayer en Aalen. ni. Que el-Príncipe Murat con sus tropas estaba ayer en Nordiingen: que los Tenientes Generales Werneck, Baiílet, Hohenzollem, y otros 7 Generales han capitulado con sus tropa? en Trotztelfingen. iv. Que e</t>
  </si>
  <si>
    <t>á continuación las dos capitulaciones anunciadas en. el dia-, rio de ayer, y ajustadas de orden del Príncipe Murat, la una firmada por el Gefe del Estado mayor del-Príncipe Murat, y la otra por el General Eauconnet. El Emperador ha pasado el dia de hoy desde las 2 de la tarde hasta las</t>
  </si>
  <si>
    <t>Se ha convenido entre el General de división Belliard, Gefe del Estado mayor general de S. A. S. el Príncipe Murat, Mariscal del Imperio, Teniente de S. M. el Emperador de los Franceses y Rey de Italia, y el Teniente General Wernek, Comendador y Gentilhombre de S. M. el Emperador de Alemania,</t>
  </si>
  <si>
    <t>uida: desde luego se arrojó en los países Prusianos, y se dirigió por Gunzenhausen á Nuremberga. El Príncipe Murat seguía sus huellas, y al fin consiguió alcanzarlo; lo que dio motivo á un combate, en el camino que va desde Furth á Nuremberga, que se verificó el 21 por la tarde. Todo el resto</t>
  </si>
  <si>
    <t>e, se han distinguido particularmente. El Coronel Cauchois ha sido herido. — El 21 pasó la noche el Príncipe Murat en Nuremberga, donde descansa hoy 22. En el combate de Elchingen del 15 del corriente se distinguió el 69 Regimiento de línea. Después de haber forzado el puente en coluna, sedesple</t>
  </si>
  <si>
    <t>abajo restablecerle. El 28 al medio dia había pasado gran parte del cuerpo del Mariscal Davoust. El Príncipe Murat ha hecho pasar una brigada de caballería por el puente de Muhldorf, ha restablecido los puentes ae Oeting y de Marekhl, y los ha pasado con una parte de su reserva: el Emperador h</t>
  </si>
  <si>
    <t>mediatamente hizo embarcar unos 60 hombres en dos barcos. El enemigo, á quien seguía la reserva del Príncipe Murat, abandonó la ciudad. La osadía de los cazadores del Regimiento 13 ha contribuido á precipitar sis retirada. Empieza á manifestarse poca armonía ó buena inteligencia entre Rusos y</t>
  </si>
  <si>
    <t>e sabían que los. Austríacos nabian perdido todas sus batallas, y no hacían mas que llorar. / • ,E1 Príncipe Murat se. ha puesto en seguimiento del enemigo : en el camino .de Merabaehencontró la Retaguardia de los Austríacos, acometido-* dola con su caballería apénas la divisó , y esparciéndol</t>
  </si>
  <si>
    <t>nuestra parte. Parts 11 de Noviembre. Sigue el diario del exército grande. Ried 2 de Noviembre. El Príncipe Murat ha continuado su marcha persiguiendo al enemigo, y llegó el 31 de Octubre mas allá de Larnbach. Viendo los Generales Austríacos que sus tropas no podían resistir, hicieron avanzar</t>
  </si>
  <si>
    <t>oy sus avanzadas cerca de Steyer. El General Milhaud con la reserva de caballería á las órdenes del Príncipe Murat, entró en Lintz el dia r.°, y hoy ha llegado allí el Mariscal Lannes con sus tropas. Se han encontrado en esta plaza varios almacenes bien provistos, y muchos enfermos en los hosp</t>
  </si>
  <si>
    <t>dores, y sus; Coroneles Latour.-Maubouiig y Durosnel, han mostrado grande intrepidez..El Edecán del Príncipe Murat, Flahault, ha recibido ún balazo en el brazo. . • Ayer 4 pasamos el Enrís, y hoy el Príncipe Murar sigue1 ¿1 alcance de los enemigos. El Mariscal Davoust ha llegado el 3 á Steyer:</t>
  </si>
  <si>
    <t>Mürat, Príncipe</t>
  </si>
  <si>
    <t>Príncipe Mürat</t>
  </si>
  <si>
    <t>sta ál.exércíto JBávaró , y ¡cbño'cérTos valientes que ló componen. Después deTa toma de Enns , él "Príncipe Mürat continuó él alcancé de los enemigos. El exército Ruso habia tomado posición en las alturas de ■Amstellen: él Príncipe Murat le acometió con los granaderos del General "Oudinot; la</t>
  </si>
  <si>
    <t>habiendo cortado, mas en vano, los puentes del Ips, que se,-han restablecido inmediatamente ; y el Príncipe Murat ha llegado á las inmediaciones de la Abadía de Molk. Hemos enviado una descubierta hácia la Bohemia, y nos hemos apoderado de almacenes muy considerables en Freystadt y en Matthau</t>
  </si>
  <si>
    <t>risioneros, entre los quales se encuentran 3 Coroneles y 5 Mayores. El dia 9 por la mañana llegó el Príncipe Murat á S. Hipólito, y ha enviado el General de brigada de dragones Sebastian! sobre Vna* Toda Corte'y los Grandes han salido de esta capital. En las avanzadas se tente aviso ac que el</t>
  </si>
  <si>
    <t>del Mariscal Bernadotte marcha pata flanquearlos por la izquierda. Ayer n á las io de la mañana el Príncipe Murat atravesó porVieha. AL amátlecer una celuna de caballería se encaminó al puente del Da nubio, y paso después de algunas conferencias con los Generales Austríacos. Los qué estaban e</t>
  </si>
  <si>
    <t>l al Consejero de Estado Daru. Diario del exército grande. Sehoenbrunn á iG de Noviembre. : Ayer el Príncipe Murat y el cuerpo del MariscaLXannes encontraron el exército Ruso en Hollabrunn. Ha habido un combate entre la caballería; pero el enemigo ha abandonado inmediatamente el campo, dexando ioo</t>
  </si>
  <si>
    <t>, quien en vista de la entrega de U1 ma,se.re.tr tiraba hácia la Bohemia por la Pomeraríiá; pero el Príncipe Murat, qúeQba</t>
  </si>
  <si>
    <t>Nuremberga con unos 12© hombres entre infantería y caballería; pero casi5 ál mismo tiempo llegó el Príncipe Murat, y le hizo 3® prisioneros. __La guarnición de 6® hombres que había en Memmingen, se vio precisada á rendirse á súplicas de los habitantes de la ciudad, que temian verla arruinada</t>
  </si>
  <si>
    <t>sma actividad en sus operaciones. Diario del exército grande. Znaim á 18 de Noviembre. Informado el Príncipe Murat de que ios Generales Rusos, luego que se firmo la capitulación, marchaban con una parte de su exército hacia Znaim, y que todo manifestaba que la otra parte se preparaba á seguir el</t>
  </si>
  <si>
    <t>tirada ¿ varios cuerpos, tomando 2© Rusos prisioneros. El mismo dia 18 á las 3 de la tarde entró el Príncipe Murat en Briinn, capital de la Moravia, sin aexar de perseguir al enemigo. Este evacuó inmediatamente la ciudad y la ciudadela, fortaleza excelente, que puede sostener un largo y dilatado</t>
  </si>
  <si>
    <t>Soult; el del centro al Mariscal Bernadotte, y el de toda la caballería reunida en un solo punto al Príncipe Murat. La izquierda del Mariscal Lannes estaba apoyada en el Santón, posición soberbia, que el Emperador había hecho fortificar colocando allí 18 cañones. Desde el dia ántes había confi</t>
  </si>
  <si>
    <t>éntras que huía creyéndose atacadora y viéndose atacada, se considera como medio batida. ; . ; . El Príncipe Murat empieza á moverse con su caballería. La izquierda, mandada por el Mariscal Lannes, marcha por Regimientos como en el exencicio. Se arma un terrible cañoneo sobre toda la línea: 200</t>
  </si>
  <si>
    <t>Murray, Coronel</t>
  </si>
  <si>
    <t>Coronel Murray</t>
  </si>
  <si>
    <t>en muy poco tiempo.__ Las últimas cartas de Bombay anuncian que el Coronel Monson sé ha reunido ál Coronel Murray en Cu ge 11, capital de los Estados de Scindia, donde Murray había hallado; toda especie de provisiones. —i:Dícese que Holkar tiene tal miedo de que íe maten, que siempre tiene á-su</t>
  </si>
  <si>
    <t>Coronel Monson, que estaba en marcha para reunirse ai cuerpo principal de ejército, que mandaba el Coronel Murray. Se halló en tal situación Mr. Monson, que debió ceder á fuerzas superiores, que continuamente le molestaban en su marcha, que duró mas de seis semanas. La falta de víveres , y lo</t>
  </si>
  <si>
    <t>recibido noticias de la India, que llegan casi hasta fines de Octubre---- El 26 de Agosto ocupo el Coronel Murray á Indore, desde cuya época, hasta el 23 de Octubre, no se ha sabido nada de sus operaciones - tal vez por haberse desbaratado su plan de campaña, con motivo de la derrota del Coro</t>
  </si>
  <si>
    <t>N Rasco García, Pedro</t>
  </si>
  <si>
    <t>Pedro N Rasco García</t>
  </si>
  <si>
    <t>al Ayudante D. Manuel Alvarez: á Ayudante al Teniente D. Manuel Garayo: á Tenientes á los Alféreces D. Pedro N Rasco García y D. Cristóbal Minguez: á Alféreces á los Portaguiones D. Francisco Saez y D. Marcos de Sobremonte; y á Portaguiones al Cadete D. Martin Josef Pestaña, y al Alférez agregado al propio</t>
  </si>
  <si>
    <t>Nadal y Mora, Francisco</t>
  </si>
  <si>
    <t>Francisco Nadal y Mora</t>
  </si>
  <si>
    <t>estas armas: obra muy útil para los cazadores, y principalmente para los reclutas y milicianos, por D. Francisco Nadal y Mora, Armpro del Real Cuerpo de Guardias de Corps. =: Oración que compuso S. Francisco de Sales para las Señoras embarazadas, traducida del francés. Se hallarán en la librería de Arrib</t>
  </si>
  <si>
    <t>Nadal, Joaquín Vicente</t>
  </si>
  <si>
    <t>Joaquín Vicente Nadal</t>
  </si>
  <si>
    <t>encias de bandera de los citado de CiudadReal , Segovia y Xerez á D. Manuel Antonio García Durango, D. Joaquín Vicente Nadal, y D. Antonio Arquellada. Habiendo tenido S. M. por conveniente trasladar á Vaíiadolid la Intendencia de Exército de Castilla la Vieja, mandando que la sirva D. Cesáreo de Gardoqu</t>
  </si>
  <si>
    <t>Nansouty, General</t>
  </si>
  <si>
    <t>General Nansouty</t>
  </si>
  <si>
    <t>es, de los Generales Beaumont y Klein, y de la división de carabineros y coraceros, mandados por el General Nansouty, se pone en marcha para cortar el camino de Ulm á Augsburgo. Llegado á Wertingen, descubre una división considerable de infantería enemiga apoyada por 4 esquadrones de coraceros d</t>
  </si>
  <si>
    <t>on las divisiones de dragones de Klein y de .Beaumont, y la división de carabineros y coraceros del General Nansouty, pasó aceleradamente al pueblo de.Zusmershausen para interceptar el camino de LJlm á Augsburgo. El Mariscal Lannes con la. división de granaderos de Oudinot, y con la división de</t>
  </si>
  <si>
    <t>Napkor, Juan</t>
  </si>
  <si>
    <t>Juan Napkor</t>
  </si>
  <si>
    <t>3...^ Juan Napkor......... Hijo de otro , natural de Raról en Hungría:^</t>
  </si>
  <si>
    <t>Napoleón Luis, Príncipe</t>
  </si>
  <si>
    <t>Príncipe Napoleón Luis</t>
  </si>
  <si>
    <t>quilidad posible , y se execute con toda ostentación el bautismo, que ha dé administrar* el Papa al Príncipe Napoleón Luis en la Capilla de St. Cloud. Sus padrinos serán S. M. el Emperador y Rey, y Madama , madre de S. M. ESPAÑA. Madrid 12, de Abril* El Rey se ha servido conceder en el Regimiento de inf</t>
  </si>
  <si>
    <t>á la española. . ¡ Antes de ayer, port la 'tarde se administró el santo Sacramento del Bautismo al Príncipe Napoleón Luis. ¿ Ayer tuvo una aúdieacia particular del Emperador el Excelentísimo</t>
  </si>
  <si>
    <t>Napoleón, Príncipe</t>
  </si>
  <si>
    <t>Príncipe Napoleón</t>
  </si>
  <si>
    <t>halla aquí hace algunos dias, igualmente que SS. A A. II. las Princesas Luis y Carolina, y el joven Príncipe Napoleón. Habitan en una casa dé campo en el valle de la Learia, á corta distancia del quartel general Imperial. 1 Parts 24 de Agosto. El juéves 22, á las 6 de la mañana, S. M. el Emperado</t>
  </si>
  <si>
    <t>Napolitá, Pedro</t>
  </si>
  <si>
    <t>Pedro Napolitá</t>
  </si>
  <si>
    <t>erona , , , 66. 12. Pedro Napolitá......... Antonio.- . Teresa Freyxa, , , Riera 9999 Tarragona , 66. 12. Pedro Casademunt. . Francisco.. Teresa Texido, 9 , Tuya, , , 9 Ger</t>
  </si>
  <si>
    <t>Narciso Barnada</t>
  </si>
  <si>
    <t>de Santa Lucía , vacante en la Parroquia de Caldas de Mombuy, Diócesis de Barcelona, por muerte de D. Narciso Barnada, á D. Francisco Amat: para una Ración de la Catedral de Orense, vacante por promoción de Don Tomas Cid á Canongía de la misma, á D. Jacinto Nicolás Taboada, Abad de la Parroquia d</t>
  </si>
  <si>
    <t>Narciso Carcer</t>
  </si>
  <si>
    <t>de Alférez al Portaestandarte D. Vicente Rebert; y en el de Algarbe el de Portaestandarte al Cadete D. Narciso Carcer. En los Regimientos de dragones se ha servido igualmente S. M. promover á Portaguiones, en el del Rey al Sargento primero D. Josef Tixero: en el de la Reyna al Cadete D. Josef Mar</t>
  </si>
  <si>
    <t>Narciso de Pedro</t>
  </si>
  <si>
    <t>demas del exácto cumplimiento de las órdenes que para este caso les ha dado su Coronel el Brigadier D. Narciso de Pedro, que se trasladó desde luego con todo el Regimiento á la playa, han sabido aquellos Oficiales y tropa, no solo desapropiarse del corto peculio que tenian, invirtiéndolo en el soco</t>
  </si>
  <si>
    <t>Narciso del Barrio</t>
  </si>
  <si>
    <t>Manuel Concha, D. Josef Antonio la Cueva, Don Agustín Valer, D. Manuel Perez, D. Francisco Vargas, D. Narciso del Barrio y D. Bartolomé Aguirre: Capítan de carabineros del Regimiento de caballería de Milicias urbanas de loa á D. Juan García Lobera; Capitán de la sexta compañía de dicho Cuerpo á D. Torib</t>
  </si>
  <si>
    <t>Narciso Doyle</t>
  </si>
  <si>
    <t>conceder en el Regimiento de infantería de Voluntarios de Castilla Subtenencia de bandera al Cadete D. Narciso Doyle. Igualmente ha conferido el Rey Subtenencias de bandera de los primeros Batallones de Voluntarios de Ajragon y Cataluña al Cadete D. Caslmi</t>
  </si>
  <si>
    <t>Narciso Roseiió</t>
  </si>
  <si>
    <t>ariano Mollinedo, D. Manuel Yañez Montenegro, D. Pedro Vicira Escovedo, D. Melchor de Salas Vaidés, D. Narciso Roseiió, Don Pablo Salgüeyro., D. Isidro Miranda, D. Mariano Sánchez, D. Angel Santa María Perez, D. Santiago Montesinos, D. Nicolás Perales y D. Esteban Perales ; y de Portaguiones á D.</t>
  </si>
  <si>
    <t>Narciso Rubio</t>
  </si>
  <si>
    <t>por ua-quadro de embutidos muy bien executado y acabado. Otra.medalla-de plata también de 4 onzas á D. Narciso Rubio , maestro reloxero , por él mérito que tiene un relox de faltriquera que ha construido con 4 manos para horas, minutos, segundos fixos, y dijis del mes, gobernado todo por solo un</t>
  </si>
  <si>
    <t>Narciso Yabar</t>
  </si>
  <si>
    <t>do el Rey promover á Teniente de granaderos á D. Mariano Lechuga, y de fusileros á los Subtenientes Don Narciso Yabar, D. Pedro Vejarano y D. Pedro la Hermosa; á Subtenientes de fusileros á D. Bernardino Toledo, y á los Sargentos primeros D. Faustino Valdés, D. Mariano Gamboa, D-. Felipe Borbolla</t>
  </si>
  <si>
    <t>Nardon</t>
  </si>
  <si>
    <t>mbrado para Prefecto del departamento de Genova á Mr. de Bureaux-de-Pacy; para el de los Apeninos á Mr. Nardon. que lo era de Angers, y para el üe Montenotte á Mr. Roland, que tenia igual destino en el departamento del Tánaro suprimido. Mr. Skipwith, Cónsul general de los Estados-Unidos, h</t>
  </si>
  <si>
    <t>Nava, Gaspar María</t>
  </si>
  <si>
    <t>Gaspar María Nava</t>
  </si>
  <si>
    <t>uto nacional; y en Madrid la señalaron para los Caballeros del Seminario: un tomo en 4.°=Poeaías de D. Gaspar María Nava, Conde de Noroña, que contiene anacreónticas , odas, madrigales, canciones, el poema filosófico de la muerte, y la celebrada oda de la paz entre España y Francia: z tomos en 8.® e</t>
  </si>
  <si>
    <t>Navajrrp, Ramón</t>
  </si>
  <si>
    <t>Ramón Navajrrp</t>
  </si>
  <si>
    <t>r. Alcalde, por la escribanía.de provincia de D. Juan Antonio Díaz Noriega. Por providencia del Sr. D. Ramón Navajrrp. Pingarron, del Consejo de S. M., Alcalde de su Real Ga^a-y,Corte,,- y escribanía de provincia de P. Valdomero Moraleda&gt; se ha mandado sacar nuevamente á pública..subasta una; cas</t>
  </si>
  <si>
    <t>Navarro Pingarron, Ramón</t>
  </si>
  <si>
    <t>Ramón Navarro Pingarron</t>
  </si>
  <si>
    <t>ra su remate, como no sea en méaos de la cantidad de su tasa, y á metálico. Por providencia dél Sr. D. Ramón Navarro Pingarron, del Consejo de S. M., Alcalde de su Real Casa y Corte, Juez que conoce en los autos de abintestato del difunto D. Joaquín Juan Díaz, artífice reloxero que fué en ella, con tienda</t>
  </si>
  <si>
    <t>azarles, se procederá en ellos á lo que haya lugar, y les parará perjuicio. Por providencia del Sr. D. Ramón Navarro Pingarron, del Consejo de S. M.-, Alcalde de, su Real Casa y Corte, y por la escribanía de provincia de D. Baldomcro Moraleda, se ha señalado el dia 29 del corriente, en la audiencia de S.</t>
  </si>
  <si>
    <t>lquiera persona que quisiese hacer postura, acuda á la referida escribanía* Pot providencia del Sr. D. Ramón Navarro Pingarron, del Consejo de S. M., Alcalde de sil Real Casa y Corte, y por la escribanía de provincia de D.. Baldomero Moraleda, se ha mandado sacar á subasta, por término de 30 dias, una cas</t>
  </si>
  <si>
    <t>r--------------------------——--------- ------- ----- -----------------—r1* Por providencia del Sr. D. Ramón Navarro Pingarron, del Consejo de S. M., Alcalde de su Real Casa y Corte,, y escribanía de provincia de D. Valdomero Moraleda, se ha mandado sacar á-pública subasta, por término de 30 días contados</t>
  </si>
  <si>
    <t>a venta en el mencionado acuerdo de la Junta general de 3 de Julio de 1804. Por providencia del Sr. D. Ramón Navarro Pingarron, del Consejo de S. M., Alcalde de su Real Casa y Corte, y escribanía de provincia de D. Baldomcro Morídeda, se ha mandado sacar á subasta, por término de 30 días contados desde el</t>
  </si>
  <si>
    <t>da ante dicho Sr. Teniente, por la escribanía de número de D. Claudio Sauz. Por providencia del Sr. D. Ramón Navarro Pingarron, del Consejo de S. M., Alcalde de su Real Casa y Corte, y por la escribmía de provincia de D. Valdomero Moraleda, se ha señalado el dia 24 del corriente, en la audiencia de S. S.,</t>
  </si>
  <si>
    <t>en metálico. Quien quisiere hacer mejora á dicho quarto, acuda ante el Sr, Alcalde de Casa y Corte D. Ramón Navarro Pingarron, por la escribanía de provincia de D. Valdo* mero Moraleda. A voluntad de sus dueños se vende una casa sita en esta Corte, calle del Ave María, que vuelve á la de S, Simón, núm. 8</t>
  </si>
  <si>
    <t>tá señalado su remate el dia 14 del presente á las puertas de su audiencia. Por providencia del Sr. D. Ramón Navarro Pingarron, del Consejo de S. M., y Alcalde de su Real Casa y Corte, y escribanía de provincia de D. Valdomerb. Moraleda, se ha señalado nuevamente el dia 15 del corriente para el remate de</t>
  </si>
  <si>
    <t>ien quisiere mejorarla, acuda ante dicho Sr. Juez por la citada escribanía. Por providencia del Sr. D. Ramón Navarro Pingarron, del Consejo* de S. M., Alcalde de su Real Gasa y Corte, se ha mandado sacar á pública subasta, por término de 30 dias contados desde el 2 de este mes , las Bacas y tierras sitas</t>
  </si>
  <si>
    <t>Navarro Pingarté'nyf, Ramón</t>
  </si>
  <si>
    <t>Ramón Navarro Pingarté'nyf</t>
  </si>
  <si>
    <t>Por providencia del Sr, D. Ramón Navarro Pingarté'nyf&lt;-jel Éo&amp;sejo; de $. M.|, y Alcalde de su Real Casa y Corté, se há mahdadó ^acar íí pública sub'astá» por 'término de 30 diás contados desde él 16 del córrié&amp;tévuhh Cask sita en lá</t>
  </si>
  <si>
    <t>Navarro y Dolz, Vicente</t>
  </si>
  <si>
    <t>Vicente Navarro y Dolz</t>
  </si>
  <si>
    <t>nombrar para el Deanato, primera silla de la Catedral de Albarracin , vacante por fallecimiento de D. Vicente Navarro y Dolz, á D. Manuel Crespo : para la Abadía Consistorial del Real Monasterio de S. Pedro de Camprodon, de la Congregación. Benedictina Claustral en Cataluña, vacante por muerte de D.Fr.</t>
  </si>
  <si>
    <t>Navarro y María Caudevlla, Francisco Xavier</t>
  </si>
  <si>
    <t>Francisco Xavier Navarro y María Caudevlla</t>
  </si>
  <si>
    <t>fanos de S. Vicente, nuestra Señora de la Misericordia, y fundaciones de D. Juan Bautista Mas, y de D. Francisco Xavier Navarro y Doña María Caudevlla, baxo las mismas condiciones y exámen----- Para estimular á la buena educación en otras poblaciones de este Reyno, seis premios de 50 rs.; quatro para niños, y dos para niñas de l</t>
  </si>
  <si>
    <t>Navarro, Manuel</t>
  </si>
  <si>
    <t>Manuel Navarro</t>
  </si>
  <si>
    <t>ho de la Imprenta Real: en el Real Sitio de Aranje.cz en la tienda del Rubio; y en Cádiz en casa de D. Manuel Navarro.</t>
  </si>
  <si>
    <t>cho de la Imprenta Real: en el Real Sitio de Aranjuez en la tienda del Rubio; y en Cádiz en casa de D. Manuel Navarro. —III ■ ■ II ■ - ■&gt;,-» ■ | l’m , I-- n.n--... — ■ ■ ■■■ ■■■■■ .1.1 ■■■■■■ ■■■—■. ■■ ..................... ... .................... . ■ .1 A las tierras sitas en término del lugar</t>
  </si>
  <si>
    <t>cho de la Imcrenta Real: en el Real Sitio de Aranjucz en la tienda del Rubio; y en Cádiz en casa de D. Manuel Navarro. Contiene en la parte polaca el estado de la Europa á fines del año de 1804 : noticias de vanos Estados de Amén.</t>
  </si>
  <si>
    <t>cho de la Imprenta Real: en el Real Sitio de Aranjuez en la tienda del Rubio; y en Cádiz en casa de D. Manuel Navarro.</t>
  </si>
  <si>
    <t>cho de la Imprenta Real: en el Real Sitio de Aranjuez en la tienda del Rubio; y en Cádiz en casa de D. Manuel Navarro. Contiene en la parte política noticias de Alemania, y las disposiciones sobre redención de deudas de Viena con el extrangero; noticia de la correspondencia de Cárlos Thum con Mr.</t>
  </si>
  <si>
    <t>cho de la Imprenta Real: en el Real Sitio de Aranjuez en la tiénda del Rubio; y en Cádiz en casa de D. Manuel Navarro. Contiene en la parte política el estado del Imperio Turco á fines del año de 1804: de Inglaterra, Italia y. Francia, noticias varias: de Alemania sobre el tratado de navegación p</t>
  </si>
  <si>
    <t>cho de la Imprenta Real: en el Real Sitio de Aranjuez en la tienda del Rubio; y en Cádiz en casa de D. Manuel Navarro. Contiene en la parte política el decreto del Congreso de los Estados-Unidos de América para mantener la neutralidad: de Inglaterra é Italia noticias varias: de Suiza la proclama</t>
  </si>
  <si>
    <t>cho de ia Imprenta Real: en el Real Sitio de Aranjuez en la tienda del Rubio; y en Cádiz en casa de D. Manuel Navarro. Contiene en la parte política la c ;sa del destierro del Capitán Baxá, y otras noticias de Constantinopla: de Dinamarca la ordenanza aboliendo la servidumbre que sufrían les alde</t>
  </si>
  <si>
    <t>cho de la Imprenta Real: en el Real Sitio de Aranjuez en la tienda del Rubio; y en Cádiz en casa de D. Manuel Navarro. Por auto del Real Consejo de las Ordenes, su fecha 3 de Abril próximo pasado, se halla aprobado el segundo y último remarte de los frutos y rentas de la Encomienda de Montanchuel</t>
  </si>
  <si>
    <t>cho de la Imprenta Real: en el Real Sitio de Aranjuez en la tienda del Rubio; y en Cádiz en casa de D. Manuel Navarro. Contiene en la parte política: la orden del Emperador de Alemania á su Ministro en Londres para que reclame las fragatas Españolas: de Inglaterra la. propuesta de gracias al Rey</t>
  </si>
  <si>
    <t>dió de la Imprenta Real: en el Real Sitio de Aránjuez en ia tienda del Rubio; y en Cádiz en casa dé D. Manuel Navarro. Contiene en la parte política noticias de las turbiiré'ncias en los dominios dél Gran Señor: noticias' de Rusia' y de Aleíriánía: éTpésííiqh- dé los temores que causa á la Gran B</t>
  </si>
  <si>
    <t>España de 31 de Mayo, núm. 10, se hallará en el despacho de Ja Imprenta Real; y en Cádiz en casa de D. Manuel Navarro. Contiene en la parte política los principios que se propone seguir el Presidente de los Estados-Unidos durante su gobierno; la consulta del Senado de Rusia á su Soberano sobre un</t>
  </si>
  <si>
    <t>ña de r 5 de Junto, núm. 1 r , se hallará en el despacho de la Imprenta Real; y en Cádiz en casa de D. Manuel Navarro. Contiene en la parte política: el estado de Turquía, la suspensión del nuevo sistema do aduanas, baxa de la moneda extrangera, y noticia de la embaxada del Rey de Persia: noticia</t>
  </si>
  <si>
    <t>e Junio, núm. 12, se hallará desde mañana en el despacho de la Imprenta Real; y en Cádiz en casa de D. Manuel Navarro^ Contiene la separación del Oran Visir: la ratificación del conclusum sobre el tratado de navegación por el Rhin*. la denegación á la petición presentada al Parlamento Ingles por</t>
  </si>
  <si>
    <t>de la Imprenta Real; en el Real Sitio de S. Ildefonso en la tienda del Rubio, y en Cádiz en casa de D Manuel Navarro. Contiene en la parte política varias noticias de Alemania y de Ingiat rra; el decreto dado en Milán por el Emperador de los Franceses, en el qual queda abolida la constitución de</t>
  </si>
  <si>
    <t>de la Imprenta Real; en el Real Sitio de S. Ildefonso en Ja tienda dei Rubio, y en Cádiz en casa de D. Manuel Navarro. Contiene varias reflexiones sobre las fuerzas marítimas de la Inglaterra, y la desconfianza de los capitalistas sobre Jos recursos de su Gobierno; discurso del Land-Amman, dando</t>
  </si>
  <si>
    <t>de la Imprenta Real; en el Real Sitio de S. Ildefonso en la tienda del Rubio, y en Cádiz en casa de D. Manuel Navarro. Contiene noticias de Argel, y de ios rumores de guerra en el Austria; el edicto de la policía de Viena; extracto del discurso de Grey sobre el estado de la Inglaterra, y varios d</t>
  </si>
  <si>
    <t>de la Imprenta Real ; en/el Real- Sitio de S. Lorenzo en la tienda del Rubio, y en Cádiz en casa de D. Manuel Navarro..Contiene la demanda de los</t>
  </si>
  <si>
    <t>e la Imprenta Real; en el Real Sitio» de S. Lorenzo' en. la tienda del Rubio, y en Cádiz en casa dé D. Manuel Navarro.. Contiene el mandato del Sultán para estableceré! estudio de la medicina en Turquía,, y el estado de aquel Imperio en Julio ultimo: establecimiento de diez escuelas militares en</t>
  </si>
  <si>
    <t>de la Impréfcta Real; en el Real Sitio de S. Lorenzo en la tienda del Rubio, y en Cádiz en casa de D. Manuel Navarro. Contiene la construcción del nuevo puerto de Arabat; el aumento de plazas en los Regimientos Austríacos, y su alta paga para entrar en campaña; sanción del tratado de alianza ent</t>
  </si>
  <si>
    <t>dé la Imprenta Real; en el Real Sitio de. S. Lorenzo en la tienda del Rubio, y en Cádiz en casa de D. Manuel Navarro. Contiene el edicto del Emperador de Alemania manifestando á sus síibditos su conducta con la Francia, y pidiendo ciertas porciones de trigo,y desvenar nota del Enviado Francés en</t>
  </si>
  <si>
    <t>ó de la Imprenta Real; en el Real Sitio de S, Lorenzo en la tienda del Rubio, y en Cádiz en casa de D. Manuel Navarro. Contiene la noticia del desembarco de las tropas Rusas en Suecia; manifiesto del Elector Bávaro Palatino; conferencia del Ministró Prusiano con él Emperador, en Viena; entrada de</t>
  </si>
  <si>
    <t>Nelso, Almirante</t>
  </si>
  <si>
    <t>Almirante Nelso</t>
  </si>
  <si>
    <t>nea, varias fragatas y otros buques ligeros. El Caballo marino partió inmediatamente á dar aviso al Almirante Nelso»; siguieron su alcance algunos buques Franceses; pero se escapó á favor de la obscuridad de la noche. A las 24 horas de la salida de la esquadra, el Caballo marino se reunió al Al</t>
  </si>
  <si>
    <t>Nelso, Lord</t>
  </si>
  <si>
    <t>Lord Nelso</t>
  </si>
  <si>
    <t>prontos á sajir para aquel crucero, 26 navios de línea: 4 la vista del Ferrol y en Lisboa 12,; con Lord Nelso.n, ó en camino para la Jamayca, 15: en la bahía de Beerhaven 5 total- 58; de los quales if S,on desde 98 hasta 120 cañones,,_-JE!squadras Española, Francesa y Holandesa en los pue</t>
  </si>
  <si>
    <t>Nelson, Almirante</t>
  </si>
  <si>
    <t>Almirante Nelson</t>
  </si>
  <si>
    <t>Ocupan sus fuerzas en quemar y destruir sin provecho. Para esta diversión me encargaría sin duda el Almirante Nelson que los botes de provisiones y ^os pescadores se dexasen reconocer sin huir de sus buques, ofreciendo no hostilizarles.’* Por la Escribanía'de Cámara y de Gobierno del Consejo se</t>
  </si>
  <si>
    <t>rse alejado las fragatas Inglesas de aquellos mares, en conseqüencia de la órden que les ha dado el Almirante Nelson. Según las últimas cartas de Viena, parece que aquella Corte ha enviado nuevas proposiciones de paz á París y á Londres, interesándose particularmente en favor de la Corte de Madr</t>
  </si>
  <si>
    <t>ncés, el que después de transbordar la tripulación , echó á pique el cúter , que llevaba pliegos ai Almirante Nelson. Mr. de Salmatoris, Maestro de Ceremonias de S. M. I., llegó á Turin el 4 de Febrero para preparar los alojamientos á S. M. el Emperador, y al Príncipe Josef, á quienes esperan en</t>
  </si>
  <si>
    <t>obscuridad de la noche. A las 24 horas de la salida de la esquadra, el Caballo marino se reunió al Almirante Nelson , quien marchó al instante á las costas de Sicilia con 11 ó 12 navios. La esquadra Inglesa se hallaba situada á la parte occidental de aquella isla, enfrente deTrápani, quando el</t>
  </si>
  <si>
    <t>bre la presa de mucho número de buques Austríacos, hecha por las naves de guerra de la esquadra dei Almirante Nelson, en el Mediterráneo, y pedir que se restituyan á sus dueños con ios daños y perjuicios. Mr. de Cobentzél ha remitido últimamente una nota á Mr. Paget, Ministro de Inglaterra en Vi</t>
  </si>
  <si>
    <t>la quarta parte de la tripulación, después de haber dobla Jo el Cabo de Spartimento, parece que el Almirante Nelson se dirigía hácia Malta, FRANGIA. Arras i.° de 'Marzo* El Sr. Obispo de esta Diócesi ha recibido de S. S. la carta siguiente: 9iProvrij Soberano Pontífice. Venerable hermano, salud</t>
  </si>
  <si>
    <t>se halla todavía en Trieste detenido de orden de su Gobierno. Ha recibido varias veces pliegos del Almirante Nelson, y ha expedido en pocos dias tres correos á Londres. Mr.de la Rochéfoucault, Embaxador de Francia cerca demuestra Corte , debe ir á Milán para asistir á la coronación del Rey de I</t>
  </si>
  <si>
    <t>a Otomana, va prolongando su estancia en Trieste, en donde tiene una correspondencia seguida con el Almirante Nelson, de quien ha recibido ya pliegos muchas veces, y de resultas ha despachado correos para Londres. ■ Por las Gazetas de Hungría, de i o de Marzo, sabemos que la animosidad de los Se</t>
  </si>
  <si>
    <t>s demas Ministros de la Puerta. Las últimas noticias recibidas de Italia nos han hecho saber que el Almirante Nelson, qüe ha estado algún tiempo en los puertos de la isla de Malta, hacia sus preparativos para salir á cruzar de nuevo en el Mediterráneo. Francfort s&gt; de Abril. Se lee en algunas de</t>
  </si>
  <si>
    <t>pone de 11 ó 12 y otros buques menores. No tenemos noticia positiva del paradero ce la esquadra del Almirante Nelson : se le puso en la cabeza que la esquadra de Tolon se había hecho á la vela, en Enero último, hacia Fgipto; y andaba buscándola por todas partes, quando se hallaba tranquilamente</t>
  </si>
  <si>
    <t>ediatamente al Ferrol: el bergantín Sir John Golpays se dirigió á Brest; y un aviso fué á buscar el Almirante Nelson. ITALIA. Milán 12 de Mayo. El día 10 se celebró un Consejo de Estado presidido por S. M., y organizado por un decreto del dia anterior, concebido en estos términos: ,, Napoleón &amp;c</t>
  </si>
  <si>
    <t>las que nos opongan en aquellos mares. El 21 por la mañana salieron de Plimouth para unirse con el Almirante Nelson, y con el Contra-Almirante Calder, que está delante del Ferrol, un navio de 98 cañones, uno de 80, ocho de 74, y uno de 64* Gran parte del convoy de Terranova ha sido apresada por</t>
  </si>
  <si>
    <t>a, Centauro, S. Jorge y Ayax, que saliérón de Jamayea el .19 de Junio para reforzar la esquadra del Almirante Nelson , que á lá sazón se hallaba en seguimiento de las eSquadras combinadas, han padecido infinito, en esta expedición de resultas de un huracán. El S. Jorge ha padecido tanto por habe</t>
  </si>
  <si>
    <t>Defiance de 74, su CapitánDurham, 150 caxones de pesos duros, que deben llevarse á la esquadra del Almirante Nelson.” HOLANDA. Haya i.° de Octubre. Dícese que la expedición que se prepara en Inglaterra se compone de 33 batallones de infantería, 18 Regimientos de dragones, y 8 de caballería. Aun</t>
  </si>
  <si>
    <t>te de la esquadra combinada en ia tarde y noche del dia 21 contra la esquadra enemiga del mando del Almirante Nelson en esas aguas de Cádiz; cuya noticia me da V. S. aunque se halla herido en la pierna izquierda y muy incomodado, por no poderlo hacer el Comandante general D. Federico Gravina á cau</t>
  </si>
  <si>
    <t>seguridad por nuestros Oficiales, que han estado prisioneros á bordo de los navios Ingleses, que el Almirante Nelson, al emprender el ataque, repitió por tres veces la señal de que fuese á toca-penoles; con la mira de que un total desarbolo y una extrema efusión de sangre decidiese á su favor la</t>
  </si>
  <si>
    <t>rencías del combate del navio Santísima Trinidad, en que tenia arbolada su insignia. El Almirante Nelson con su navio el Victoria y otros dos de tres puentes, se dirigió á cortar la línea entre la popa del Trinidad , y la proa del navio Bucentáuro del Almirante Villeneuf. El General</t>
  </si>
  <si>
    <t>ioo Desarbolado de todos Süs palo* en él acto del combate y de cortar la línea; herido dos veces el Almirante Nelson, que murió á las / horas. Bretaña............... too Desarbolado y á pique en el combate. Príncipe de Gales. 98 Idem. Temerario..... ....... 98 Desarbolado de todo* sus palos. Nep</t>
  </si>
  <si>
    <t>ó Revisor general. Se hallará en la librería de Ramos, carrera de S. Gerónimo. Entrada pública del Almirante Nelson en la corte de Pluton el dia 23 de Octubre de este año: por D. A. S. A. Se hallará en la librería de Soto, calle de Santiago. * Colección de varios idilios en prosa y verso, traduci</t>
  </si>
  <si>
    <t>Nelson, Lord</t>
  </si>
  <si>
    <t>Lord Nelson</t>
  </si>
  <si>
    <t>la alcance hasta estar á la vista de Cádiz. Ha llegado á Plimouth el cúter John BulL con pliegos de Lord Nelson delante de Tolon. El dia 19, en que se separó de la esquadra, que</t>
  </si>
  <si>
    <t>se han recibido noticias del Almirante Keith. El Almirantazgo ha publicado el aviso siguiente : ,, Lord Nelson sé hallaba el 19 á la altura de la isla del Toro S. G. de Cerdeña: sabia ya la salida de la esquadra de Tolon, y tenia con él 11 navios de línea.” Ayer pasó S. M. revista en Hyde</t>
  </si>
  <si>
    <t>r al Gobierno de las miras del Emperador Alexandro. Ha recibido el Gobierno noticia de haber pasado Lord Nelson el estrecho de Gibraltar con su esquadra el 24 del mes anterior___ En sus pliegos manifiesta su opinión particular de que las esquadras combinadas se dirijan á Irlanda, por cuya cau</t>
  </si>
  <si>
    <t>628 Se ha recibido una carta del Lord Nelson, con fecha en alta mar tres días después de su salida de la bahía de Lagos el 11 de Mayo. Iba este Almirante en seguimiento de las esquadras combinadas: concluye su carta en estos</t>
  </si>
  <si>
    <t>el 10 las noticias siguientes al café de Lloyd. El- Capitán Bettersworth-ha traído ayer pliegos del Lord Nelson, con fecha en la Autigua de 12 de Junio. En 4 de Junio había llegado este Almirante con su esquadra á la Barbada, y embarcó 2© hombres. Según parece, las- esquadras combinadas est</t>
  </si>
  <si>
    <t>Travcller ha publicado eí extracto de tina carta escrita por un Oftciaf á bordo de la esquadra del Lord Nelson, que contiene algunas particularidades sobre este Almirante , y la toma de fa Puríta de Diamante por las esquadras combinadas: su fecha es de la Antigua á 12 de Junio___ Según e*i</t>
  </si>
  <si>
    <t>n en buen estado y seguías, y habiendo entrado en la rada de S. Juan, en la Antigua, la esquadra de Lord Nelson', se creía se desembarcasen las tropas que se habían sacado de la isla. ITALIA. . Florencia 1.° de Julio. El Serenísimo Príncipe Elector de Baviera, que ha viajado por muchas provi</t>
  </si>
  <si>
    <t>s aunaseignora. :* • , - . ,]t .. , r, ... ,■? Se asegura que el Capitán del Curioso ha informado á Lord Nelson por dos navios Americanos mercantes, que iban de Inglaterra á las Antillas, y á quienes habló de haber visto la esquadra combinada y del rumbo que seguía .el 19 de Junio.^—LasGaze</t>
  </si>
  <si>
    <t>to , como lo hizo en la guerra pasada, , Se han recibido por Lisboa varias cartas de la esquadra de Lord Nelson, con fecha de 19 de Junio. Una de ellas, escrita en el mar á los 28 grados de latitud, y á los 5 8 de longitud dice , que el 12 salid de la Antigua Lord Nelson de vuelta á Europa.</t>
  </si>
  <si>
    <t>con. los 14 navios de línea de su mando (*). No se han recibido noticias algunas de la esquadra del Lord Nelson.__ Ha habido en los navios de S. M. 41 muertos, y 158 heridos.” Morning Post gi de Julio. Sabemos que se aguarda muy pronto en Bo~ loña áBonaparte; y se dice que el Comandante del</t>
  </si>
  <si>
    <t>jamas desembarcaban, esto ha dado motivo á las ordenes contra dichos' buques. El 22 de Julio llegó Lord Nelson á la bahía de Gibraltar, y después de haber refrescado su tripulación y tomado víveres, se ha hecho á la vela e» busca del enemigo. La expedición á las órdeqes del General Craig h</t>
  </si>
  <si>
    <t>a mandado que se unan con nuestras esquadras en caso de necesidad. No se tienen noticias algunas de Lord Nelson ni del Almirante Calder,. ni de las esquadras combinadas. : .. El Gobierno há recibido pliegos del Almirante Cdrnwallis , anunciando que en la noche del 8 del corriente la fragata</t>
  </si>
  <si>
    <t>Octubre próximo. •' « Ayer ha recibido el Almirantazgo por el telégrafo la noticia de la llegada de Lord Nelson á Spithead á las 8 de la mañana, á bordo del navio Y ictoria, el qual se ha puesto en quarentena; pero se ha permitido al Almirante que desembarque. Los navios de guerra Barfleur,</t>
  </si>
  <si>
    <t>ejorado del mal de ojos que padecia, de modo que puede andar y montar á caballo sin anteojos. £1 23 Lord Nelson se ha presentado en el Almirantazgo. Deben juntarse varios cuerpos de caballería, artillería y de infantería con Sir David Baud, y se cree que esten destinados á reforzar á Sir Ja</t>
  </si>
  <si>
    <t>quitar el cetro de la. industria Europea a los Ingleses. GRAN BRETAÑA. Londres i.° de Setiembre. El Lord Nelson volverá muy pronto, con poderes, mas amplios al mando que tiene en el Mediterráneo, y que se; extenderá por ahora hasta la bahía de Cádiz., El Lord Gardner debe volver inmediatame</t>
  </si>
  <si>
    <t>en Cádiz , y de no haber salido aun la de Cartagena el 15 del mismo-mes. El mártes próximo partirá Lord Nelson á tomar el mando de la esquadra que bloquea á Cádiz. Compónese de 26 navios de línea: 3 de ios que mandaba el Almirante ColÜngwood están reparándose en Gibraltar. Nuestros navios</t>
  </si>
  <si>
    <t>y el sosiego del norte consentirán este desembarco? GRAN BRETAÑA. Londres 15 de Setiembre. El día 7 Lord Nelson tuvo una conferencia en el Almirantazgo con Lord Barham, y se despidió de los demas Lores para su destino. Lleva los poderes mas ilimitados: su mando se extiende desde la bahía de</t>
  </si>
  <si>
    <t>ros cada uno, y salieron para Portsmouth escoltados con soldados de á caballo, donde se embarcarán. Lord Nelson ha salido para Portsmouth, y se cree se embarque directamente para Cádiz á bordo del navio Victoria. Causa admiración el que no se sepa positivamente si las esquadras combinadas d</t>
  </si>
  <si>
    <t>cula que esta leva producirá 150© hombres. GRAN B R E TAN A. . -- • Londres.* 2 / dé Setiembre. - - Lord Nelson ha llegado el 14 del corriente á Portsmouth, donde ha visto árCapitán Mam-ice , á quien ha expresado el sentimiento que había tenido en no haber podido socorrerle á tiempo quando</t>
  </si>
  <si>
    <t>9*0 El Almirante Puckwort ha de mandar una división de la esquadra del Lord Nelson. Se ha publicado en Londres y en Edimburgo el resultado de las investigaciones de la Sociedad Escocesa sobre la autenticidad de los poemas de Qssian. Queda bien probada la existen</t>
  </si>
  <si>
    <t>e debe haber dado el Gobierno, debe contarse con su buen éxito, atendidas todas las probabilidades. Lord Nelson debe acometer por el lado del mar para proteger el desembarco de la tropa. Créese que los Españoles no tienen muchas fuerzas en Cádiz; bien que para que esta empresa se logre es mene</t>
  </si>
  <si>
    <t>Los Ingleses han tenido también desgracias de consideración eñ este combate, en el qual murieron el Lord Nelson y otros Oficiales de distinguido mérito, según avisan de Gibraltar. EN LA IMPRENTA REAL.</t>
  </si>
  <si>
    <t>á los Cónsules extrangeros residentes en Inglaterra. ■ Ayer el Almirantazgo ha recibido pliegos del Lord Nelson. Créese qué contienen el aviso de su llegada á su destino á la vista de Cádiz. v , rkÁNCIA. :: ' : ( -i - ■ &gt; i . ‘ - . * • París de Qc tukre. ■ ' Se han confirmado de oficio las</t>
  </si>
  <si>
    <t>Nemesio Iberri</t>
  </si>
  <si>
    <t>Nosj' y á ;ségündos. Ayudantes, con grado de Subtenientes los Cadetes D. Francisco cfe_Ia Barrera y D. Nemesio Iberri. .También se ha dignado el Rey'nombrar para el Corregimiento de Mariquita, en el Vireynato de Santa Fe, á D. Juan Salvador Rodríguez de Lago. Por providencia del Sr. D. Tomas Moya</t>
  </si>
  <si>
    <t>Nemesio Salcedo</t>
  </si>
  <si>
    <t>osteada por S. M. para traer la vacuna, el Comandante general de las Provincias internasV Brigadier D. Nemesio Salcedo, se propuso anticipar quanto pudiese este beneficio á los pueblos de su mando, y encargó particularmente que al arribo á Vera-Cruz de dicha expedición marítima, le dirigiesen el f</t>
  </si>
  <si>
    <t>Nevado, Pedro</t>
  </si>
  <si>
    <t>Pedro Nevado</t>
  </si>
  <si>
    <t>•7 73 sido electo Lectoral de la Colegial de Soria, á D. Pedro Nevado, ViceRector de aquella Universidad y Seminario Conciliar : para una Canongía de la Catedral de Cuenca, vacante por no haber acudido á sacar el Real título de presentación el Carde</t>
  </si>
  <si>
    <t>Ney, General</t>
  </si>
  <si>
    <t>General Ney</t>
  </si>
  <si>
    <t>ido pasarle sino uno á uno, y solo 50 Tiroleses hubieran bastado para impedirlo; pero el cuerpo del General Ney ha tomado los reductos por asalto. Los arcabuceros Bávaros y los Franceses han trepado á las cimas de. los.montes mas escarpados, agarrándose á los picachos de las rocas, á los ar</t>
  </si>
  <si>
    <t>Ney, Mariscal</t>
  </si>
  <si>
    <t>Mariscal Ney</t>
  </si>
  <si>
    <t>egociaciones. Carlsrnhe 28. de Setiembre. El 6.° cuerpo del exército grande Francés, mandado por el Mariscal Ney, llegó ayer á las 6 de la mañana á la déredha’de Lauterburgo por colimas y ‘frentes de Regimiento en línea. La tropa se presentó cómo en una parada; los Oficiales y soldados traía</t>
  </si>
  <si>
    <t>ker.-.. El del Mariscal Soult marchó por Bruchsal á Héilbronn, donde se halla actualmente.__ Fi del Mariscal Ney ha dexadp las inmediaciones de Carlsruhe, y se -ha puesto en inarcha para Stuttgardt, donde se halla el cuerpo del Mariscal Lannes dividido en'cojunas para continuar su marcha. Se</t>
  </si>
  <si>
    <t>Rhin el mismo dia por el puente que se echo en Spira, para hacer alto en Heilbronn___ El cuerpo del Mariscal Ney ha pasado ¿1 Rhin el mismo dia sobre el puente echado en frente de Durlach, y ha ido a Stuttgardt.__ El cuerpo del Mariscal Lannes ha pasado el Rhin en Ivehl el 25 para ir á Louis</t>
  </si>
  <si>
    <t>924 Donawerth. .^-.El del Mariscal Ney en Koessirigen.__ El del Mariscal Lañnes en Neresheim. -—^. El Príncipe Murat con sus dragones junto al Danubio.--— El exército goza de perfecta salud., i El enemigo .se había avanz</t>
  </si>
  <si>
    <t>uien le dixo: Sé que nadie ^uede se: mas valeroso queVd.v le hago Oficial de la Legión de Honor. El Mariscal Ney, por su parte , con las divisiones de su mando , acometió al enemigo en su campo de Griimberg. Son las 5.;. y se oyen cañonazos. Llueve mucho; pero eso no detiene las marchas del</t>
  </si>
  <si>
    <t>urgo, ri de Octubre. ; A las 24 horas de la batalla de Wertingen se ha seguido* la de Günzburgo. El Mariscal Ney hizo marchar la división Loisop contra Langenau, y la división Malher contra Giinzburgo. El enemigo quiso oponerse á esta marcha, y en todas partes ha quedado escarmentado, En van</t>
  </si>
  <si>
    <t>situado en frente del exército enemigo, cuya izquierda esta en Uima, y la derecha en Memmingen. K1 Mariscal Ney está á caballo cerca del Danubio en frente de Ulma. El Mariscal* Lannes en Weissenhorn.</t>
  </si>
  <si>
    <t>ción fué apoderarse del puente y del puesto de Elchingen. El dia 14 al amanecer pasó este puente el Mariscal Ney al frente de la división Loison. El enemigo le disputaba la posesión de Elchingen con i63 hombres; pero por todas partes tuvo que ceder, dexó prisioneros 3® hombres y un Mayor Gen</t>
  </si>
  <si>
    <t>cuar en el dia de mañana la ciudad» de Ulma con las/ condiciones siguientes: , Qu,e el exército del Mariscal Ney, compuesto de 12 Regimientos de infantería y 4 de caballería, 110 se apartará de Ulma.y 10 leguas á la redonda hasta ^1 (2$,;d.e Octubre, á las 12 ¿a? .noche, ;eA cuyo tiempo espi</t>
  </si>
  <si>
    <t>l Soult está mas allá de Haag: el cuerpo del General Marmont pasa esta noche en Wihsbiburgo: el del Mariscal Ney en Landsberg : el del Mariscal Lannes en el camino de Landshut á Braunau: todas las noticias que se reciben del enemigo anuncian que el exército Ruso se retira. Ha llovido mucho tod</t>
  </si>
  <si>
    <t>p sé vio obligado á retirarse con pérdida al otiioblado del Danubio. El énemigO j á las órdenes del Mariscal Ney, penetró entonces coi* &gt; muchas fuerzas los puentes del Danubio; pero fueron) vanas sus-tentativas, t hasta poco antes de anochecer que consiguió una fuerte coluna enemiga: forzar</t>
  </si>
  <si>
    <t>1 ai medio día fue atacada el ala derecha del exército Austríaco decante de Ulma por las tropas del Mariscal Ney con mucha impetuosidad. Este General tenia la mira de hacerse dueño de IJlma por sorpresa; pero fueron rechazados sus ataques con valor, y desconcertada su ala derecha por el cuer</t>
  </si>
  <si>
    <t>El 9 el General Baraguay-d’Hilliers estaba enTreinitz en Bohemia: esperaba atacar á este cuerpo. El Mariscal Ney había tenido el encargo de apoderarse del Tirol, el que ha desempeñado con su inteligencia é intrepidez acostumbradas. Ha cercado los fuertes de Ssharnitz y Neustark, ios que han</t>
  </si>
  <si>
    <t>nal de Inspruck; un Oficial las reconoce apenas, y ya todos los soldados acuden al punto. Quando el Mariscal Ney las restituyó con pompa, los soldados viejos derramaban, lágrimas; y los mancebos conscriptos se gloriaban de haber contribuido á recobrar las banderas arrancadas á sus veteranos por</t>
  </si>
  <si>
    <t>ado de las fortalezas de Kufstein y de Scháritz, qúe^ defienden la entrada de aquella provincia; El Mariscal Ney ha entrado, según dicen-algunos, en Inspruck: y así todo el Tirol-estará en podqr de. los Franceses y de^los Bávárosi.f rw. A ei r/-^ .. -c. ■ En el exército Electo ral ha habido</t>
  </si>
  <si>
    <t>iodo el diario del exército grande. Brünn hg de 'Ñóviémbté. * ' r? El Mariscal Ney ha hecho ocupar á Brixen, habiendo tomado muchos prisioneros al enemigo, y ha encontrado en los hospitales muchos enfermos y heridos Austríacos. El 17 de Noviembre se apoderó de C</t>
  </si>
  <si>
    <t>entenares de prisioneros. El Príncipe de Roham, al frente dé ó® hombres que estaban cortados por el Mariscal Ney y por el Mariscal Augereau, se fue por Tremo, pasó la garganta de Boiiacio, é intentó penetrar en Veneciaj pero elGeneralSaint-Cyr lo batió, y lo tomó prisionero con sus 6® hombres.</t>
  </si>
  <si>
    <t>Nieto Herrero, Pedro</t>
  </si>
  <si>
    <t>Pedro Nieto Herrero</t>
  </si>
  <si>
    <t>por promoción de D. Alfonso Aguado y Jaraba ¿ la de Arcediano de Calatrava en la propia Iglesia, á D. Pedro Nieto Herrero, Capellán Penitenciario de su Real Monasterio de la Visitación: para una Ración de la misma Iglesia, vacante por fallecimiento de D. Antonio Gómez Gamero, á D. Vicente Perez de Sa</t>
  </si>
  <si>
    <t>Nieto, Pedro</t>
  </si>
  <si>
    <t>Pedro Nieto</t>
  </si>
  <si>
    <t>Capellán Penitenciario del Real Monasterio de la Visitación de esta villa, vacante por promoción de Don Pedro Nieto á la Dignidad de Capellán mayor, de Coro de la Iglesia de Toledo, á D. Bernardo Antonio Lucio, Cura de la Parroquia de Renera en este Arzobispado; y para el Beneficio de la Parroq</t>
  </si>
  <si>
    <t>Nogarolla, General</t>
  </si>
  <si>
    <t>General Nogarolla</t>
  </si>
  <si>
    <t>e sus sentimientos no eran siempre los mismos; sin embargo, apénas habia partido para su destino el General Nogarolla, quando se supieron en Munich los preparativos que hacia el exército Austríaco para pasar el Inn. ,, S. A, E. no pudo dexar de ver que los Generales Austríacos habían formado el i</t>
  </si>
  <si>
    <t>Nolasco Albo, Pedro</t>
  </si>
  <si>
    <t>Pedro Nolasco Albo</t>
  </si>
  <si>
    <t>María Andriani; y en los de Cantabria y America á Subtenientes de bandera á los Sargentos primeros D. Pedro Nolasco Albo y D. Benito Soldado. El Rey ha conferido en los Regimientos Provinciales empleo de Capitán de granaderos en los de Pontevedra y Lorca á los Capitanes de fusileros D. Benito Marino y D</t>
  </si>
  <si>
    <t>Nolasco de Toro, Pedro</t>
  </si>
  <si>
    <t>Pedro Nolasco de Toro</t>
  </si>
  <si>
    <t>Chantría á D. Josef de Silva: para la Tesorería al Canónigo D. Bartolomé Matute: para su Canongía á D. Pedro Nolasco de Toro : para la Ración que este dexa á D. Francisco Xavier de Irurzun ; y para la Media-Ración que resulta á D. Luis de la Torre y Urrutia&gt; Presbítero. •- . El Rey se ha servido nombrar</t>
  </si>
  <si>
    <t>Norfolk, Lord</t>
  </si>
  <si>
    <t>Lord Norfolk</t>
  </si>
  <si>
    <t>el discurso de gracias. Pasóse á votar la propuesta de Lord Elliot, y se adoptó sin contradicción. Lord Norfolk, extrañando que en U discurso del Rey no se hiciese la menor mención de la emancipación de los Católicos de Irlanda, anunció una propuesta de orden sobre este importante negocio.</t>
  </si>
  <si>
    <t>Noriega, Francisco</t>
  </si>
  <si>
    <t>Francisco Noriega</t>
  </si>
  <si>
    <t>Compañía de carabineros á D. Josef Pelotieri; y sencillas ú D. Mariano Oviedo, D. Estéban Pacheco , D. Francisco Noriega, D. Antonio de la Borda, D. Josef Colombo, D. Antonio García Muñiz, D. Fernando Belon y D.Juan Canabal; Ayudantías á D. Andrés Polvorinos y Don Hilario del Rivero ; Tenencia de ca</t>
  </si>
  <si>
    <t>Norzagaray, Fernando</t>
  </si>
  <si>
    <t>Fernando Norzagaray</t>
  </si>
  <si>
    <t>ancisco García. En el Real Cuerpo de Ingenieros del Exército ha promovido S. M. á Capitán primero á D. Fernando Norzagaray, Capitán segundo• y á este</t>
  </si>
  <si>
    <t>Notkerp Soldat</t>
  </si>
  <si>
    <t>egundo del mismo: á este empleo ai Ayudante D. Juan Steinhauser: á Subteniente de bandera al Cadete D. Notkerp Soldat; y en el de Wimpffen á Subteniente de bandera al Cadete D. Víctor Gugger. V Al Capitán primero del tercer Regimiento del Real Cuerpo de Artillería D. Josef de la Serna se ha servi</t>
  </si>
  <si>
    <t>Novosiltzoff</t>
  </si>
  <si>
    <t>a propuesta de indemnizar al Rey de Cerdeña con las Siete-Islas. Se espera que después de presentar Mr. Novosiltzoff á Napoleón su proyecto de paz, vendrá á esta capital á informar al Gobierno de las miras del Emperador Alexandro. Ha recibido el Gobierno noticia de haber pasado Lord Nelson el es</t>
  </si>
  <si>
    <t>destinada para Alexandría y Corfú. RUSIA. Petérsburgo 31 de Mayo. Hace 8 dias que está indispuesto Mr. Novosiltzoff: padece calenturas catarrales; y por esta causa ignoramos quando podrá efectuar su viage á París. Hemos sabido que el Conde de Mussin-Pachekin, célebre minerálogos</t>
  </si>
  <si>
    <t>Nowosiltzof</t>
  </si>
  <si>
    <t>alcanzar la paz sino con las condiciones que el Edecán Dolgorouki ha propuesto al Emperador, ycjue Mr. Nowosiltzof estaba encargado de llevar, la Rusia no las obtendría aupquüí su exército estuviese acampado en las alturas de Montmartre. i En una relación mas detallada de esta batalla el Estado</t>
  </si>
  <si>
    <t>Nowosiltzoff</t>
  </si>
  <si>
    <t>ación. Después los papeles Ingleses nos han anunciado alguna cosa sobre el objeto de la comisión de Mr. Nowosiltzoff. Según varias órdenes y contraórdenes este Chambelán llegó á Berlín, desde donde ha vuelto 4 Petersburgo , y fu comisión parece finalizada. Si era Mr. Nowosiltzoff quien debía tra</t>
  </si>
  <si>
    <t>o, y entre ellas una Nota entregada por la Legación Francesa, la qual refuta la famosa Nota Rusa de Mr. Nowosiltzoff.</t>
  </si>
  <si>
    <t>en cuerpo, „En dicha conferencia entró en la exposición de lo que había pasado desde la comisión de Mr. Nowosiltzoff hasta que se puso el quartel gene^ral en Munich, iy motivó la invasión súbita de Baviera en la necesidad de ©cuitar á los Franceses los preparativos que contra ellos se hacían.-_D</t>
  </si>
  <si>
    <t>Nowosiltzoflf</t>
  </si>
  <si>
    <t>ito en Berlin, con fecha de 15 del corriente. En él se hacen varias reflexiones sobre la llegada de Mr. Nowosiltzoflf á Berlin, de donde salió el 14 para Petersburgo , quando toda la Europa creía que continuaría su viage á Paris para desempeñar cerca del Emperador Napoleón la comisión de qite est</t>
  </si>
  <si>
    <t>Nowosiltzoíf</t>
  </si>
  <si>
    <t>de Londres, y fecha 31 de Julio: ,,En nuestro Diario del sábado último anunciamos sucintamente que Mr. Nowosiltzoíf no había continuado su via'ge á París como se esperaba,y que esta, tardanza provenia de la reunión de la RepúblicaXiguriana á la Francia, Tariíbien anunciamos, según una autoridad</t>
  </si>
  <si>
    <t>Nugent, Coronel</t>
  </si>
  <si>
    <t>Coronel Nugent</t>
  </si>
  <si>
    <t>da, y creemos que pronto se dará al publico. Ya han vuelto á Viena el General Barón de Vincent y el Coronel Nugent , después de haber desempeñado su importante comisión cerca del Emperador Napoleón___ Las fragatas que se han construido y armado eri Venecia se unirán con algunas corbetas para c</t>
  </si>
  <si>
    <t>Núñez</t>
  </si>
  <si>
    <t>pesos, procedentes de un pagaré, que ignoraba si estaba satisfecho; y á un Eclesiástico llamado el Doctor Nuñez, vecino de la ciudad de Cáliz, Provincia de Popayan, 50 pesos. Y por auto que ha proveído dicho Sr. Juez, en 27 de Agosto de este año, se ha mandado dar este aviso, para que dicho</t>
  </si>
  <si>
    <t>Núñez, Francisco</t>
  </si>
  <si>
    <t>Francisco Núñez</t>
  </si>
  <si>
    <t>o de Puerto Rico ha conferido el Rey el empleo de Coronel al Teniente Coronel, graduado de Coronel, D. Francisco Nuñez; esta resulta al Comandante, graduado de Coronel,D. Josef de Arata; la de este al Sargento mayor el Coronel D. Ildefonso Larrauri;y la que este dexa al Capitán de granaderos, grad</t>
  </si>
  <si>
    <t>Núñez, Pedro</t>
  </si>
  <si>
    <t>Pedro Núñez</t>
  </si>
  <si>
    <t>Alféreces_de Navio. D. Luis Perez del Camino, muerto: D. Cayetano Picado id.: D. Ramón Echague id.: D. Pedro Nuñez, herido: D. Josef Losada id.: D. Pedro Brigloer id.: D. Manuel Huergo, contuso: D. Simón Londoño id.: D. Pedro Rato, herido. Alféreces de Fragata. D. Benito Bermudez de Castro, mu</t>
  </si>
  <si>
    <t>...........\D. Antonio Bobadilla y Eslava. Heridos. Teniente de Navio.............................. D. Pedro Nuñez. fD. Josef Linares. ' . j T- ^ J D. Domingo Monteverde. Tenientes de Fragata..................... D vicen ® Laina y Montes. vD. Joaquín Aróstegui. Alférez de Navio................</t>
  </si>
  <si>
    <t>O-Farril, Gonzalo</t>
  </si>
  <si>
    <t>Gonzalo O-Farril</t>
  </si>
  <si>
    <t>ación, y S. E. Mr. de Talleyrand, Ministro de Relaciones exteriores, presentó también al Excmo. Sr. D. Gonzalo O-Farril, Teniente General de los exércitos de S. M. Católica, su Enviado extraordinario y Ministro Plenipotenciario cerca del Rey de Prusia; y á Mr. Van-Grasveld, Ministro Plenipotenciari</t>
  </si>
  <si>
    <t>O-Rian, Tomás</t>
  </si>
  <si>
    <t>Tomás O-Rian</t>
  </si>
  <si>
    <t>allecimiento de D. Andrés Tirado: para la Ganongia vacante en la Iglesia de Salamanca por muerte de D. Tomas O-Rian á D. Joaquín Barrena Caballero : para otra de la Colegiata de S. Hipólito de Córdoba, vacante por ascenso ae D. Salvador Ximenez Padilla á Canónigo de la Iglesia de Málaga á D. Be</t>
  </si>
  <si>
    <t>O-Rían, Tomás</t>
  </si>
  <si>
    <t>Tomás O-Rían</t>
  </si>
  <si>
    <t>dro Izquierdo; y para el Beneficio simple de Iniesta en la Diócesi de Cuenca, vacante por muerte de D. Tomas O-Rían, á D. Manuel Corelía y Orduñá. Asimismo ha nombrado el Rey para una Canongía de la Colegial de Uxijar, en el xArzobispado de Granada, vacante por fallecimiento de Don Mariano Nava</t>
  </si>
  <si>
    <t>Oamiafn de Vega, Blas</t>
  </si>
  <si>
    <t>Blas Oamiafn de Vega</t>
  </si>
  <si>
    <t>pañía Americana. ■S. M. se ha servido nombrar para la Vara de Alcalde mayor de la villa de JBerga 4 D. Blas Oamiafn de Vega., Abogado de los Reales Consejos.</t>
  </si>
  <si>
    <t>Obispado de Mondoñedo</t>
  </si>
  <si>
    <t>es, vecino que fué de esta Corte, natural del lugar de Santa María de Moimenta, Obispado de Mondoñedo, hijo de Domingo Montes , que lo filé del lugar de Santa Leocadia, en el Obispado de Lugo, y de María Perez , del de Bazan, en el mismo Obispado de Mondoñedo, para que dentro del términ</t>
  </si>
  <si>
    <t>Obispo de Basilea, Príncipe</t>
  </si>
  <si>
    <t>Príncipe Obispo de Basilea</t>
  </si>
  <si>
    <t>a en el Cantón del Tessino, y en parte del de los Grisones. Lo mismo sucederá respecto del anterior Príncipe Obispo de Basilea, que era el Superior eclesiástico del Cantón de Sóleure. Dicen que habrá en Suiza 4 Obispados territoriales con su Cabildo y Seminario en cada uno de ellos, y serán sufragáneos de</t>
  </si>
  <si>
    <t>Obispo de Montenegro, General</t>
  </si>
  <si>
    <t>General Obispo de Montenegro</t>
  </si>
  <si>
    <t>Ha llegado el Regimiento de Thurn á Cittaro, en la Albania Turca, para observar los movimientos del General Obispo de Montenegro , quien tiene pretensiones á algunos territorios dependientes de Cáttaro. El gabinete de Viena sigue empleando su mediación para que amistosamente se compongan las desavenencias s</t>
  </si>
  <si>
    <t>Obispo, Cardenal</t>
  </si>
  <si>
    <t>Cardenal Obispo</t>
  </si>
  <si>
    <t>rdenales con el amito, roquete y casulla, sin estola ni manípulo, con su mitra blanca *, excepto el Cardenal Obispo asistente, quien únicamente estará con capa pluvial i los Arzobispos y Obispos llevarán roquete, capa pluvial y mitra blanca._Los demas Eclesiásticos, que asistirán á la ceremonia</t>
  </si>
  <si>
    <t>e los dos Cardenales Diáconos asistentes, quienes sostendrán las puntas de su capa. Delante irán el Cardenal Obispo asistente con capa , y el Cardenal Diácono del Evangelio con dalmática. Irá inmediata á S. S. una guardia de honor, que le hará los honores correspondientes. 6.° Luego que la proc</t>
  </si>
  <si>
    <t>Obregon y San Román, Joaquín</t>
  </si>
  <si>
    <t>Joaquín Obregon y San Román</t>
  </si>
  <si>
    <t>Rey se ha servido nombrar para el empleo de* ©irector general de la Renta de la Lotería de México á D. Joaquín Obregon y San Román, Comisario Ordenador honorario*</t>
  </si>
  <si>
    <t>Obregon, Francisco</t>
  </si>
  <si>
    <t>Francisco Obregon</t>
  </si>
  <si>
    <t>1 En el Regimiente dé infantería de Córdoba se ha servido el Rey promover á Teniente al Subteniente D. Francisco Obregon, y á Subteniente de bandera al Cadete D. Nicolás Melendez: en el de Mallorca á Subteniente de bandera á D. Carlos Miranda, Sargento primero del del Príncipe: en el de Jaén á Ayuda</t>
  </si>
  <si>
    <t>Obregon, Gerónimo</t>
  </si>
  <si>
    <t>Gerónimo Obregon</t>
  </si>
  <si>
    <t>Juan Balsola, herido: D. Nicolás del Rio id.: D. Josef de la Serna id.: Don Diego del Castillo id.: D. Gerónimo Obregon id. Teniente de Brulote. D. Jacobo Alemán, herido. Contramaestre de Esquadra. D. Miguel García, muerto. Guardias Marinas. DvGerónimo Salas , muerto: D. Josef María Pardo id.: D. J</t>
  </si>
  <si>
    <t>Ochoa, Antonio</t>
  </si>
  <si>
    <t>Antonio Ochoa</t>
  </si>
  <si>
    <t>primeros D. Tomas de Luna y D. Cayetano Cárdenas, y á los vecinos de la jurisdicción del Regimiento D. Antonio Ochoa y D. Basilio Mendizabal; y empleos de Portaguión al Sargento segundo D. Francisco Esquivel y á D. Josef Joven, también vecino de la misma jurisdicción.</t>
  </si>
  <si>
    <t>Odet, Pedro</t>
  </si>
  <si>
    <t>Pedro Odet</t>
  </si>
  <si>
    <t>, í; &gt; ¡ ' ó S. M. se ha servido promover en el Regimiento Suizo de Courten á Subteniente al Cadete D. Pedro Odet: en el.de Ruttiinan á Subteniente</t>
  </si>
  <si>
    <t>Ojeda, Pedro Antonio</t>
  </si>
  <si>
    <t>Pedro Antonio Ojeda</t>
  </si>
  <si>
    <t>elipe, á 12 rs. en rústica. Manual de delitos y penis según las leyes y 'pragmáticas ere España,por D. Pedro Antonio Ojeda-,-quien le ha mejorado y aumentado en Ja presente edición. Es libró útil á toda clase de personas por contener lo más*substancial de nuestro Derecho teórico-práctico sobre cada del</t>
  </si>
  <si>
    <t>Okelíi</t>
  </si>
  <si>
    <t>ciarlos con todo el rigor -dejas leyes. El banco es deudor de tan buena obra al zelo infatigable de Mr. Okelíi, á quien ha premiado el Emperador con gran generosidad. - ; Eti los Estados del Austria alta y baxa se há publicado una orden de 5. M. I;, por la qual se manda que de aquí en adel</t>
  </si>
  <si>
    <t>Ol-aeta, Ignacio</t>
  </si>
  <si>
    <t>Ignacio Ol-aeta</t>
  </si>
  <si>
    <t>edo y Bustamante, Comandante, muerto en el Montañés: D. Josef Gardoqui, id., herido en el Sta. Ana: D. Ignacio Ol-aeta, segundo Comandante, herido en el Trinidad: D. Antonio Pareja, Comandante, herido en el Argonauta: D. Teodoro Argumosa, id., herido en el Monarca. Capitanes de Fragata. D. Antonio</t>
  </si>
  <si>
    <t>Olarte, Ignacio</t>
  </si>
  <si>
    <t>Ignacio Olarte</t>
  </si>
  <si>
    <t>omingo de Torres, D. Francisco Gutiérrez de la Lama, D. Tuan Manuel Cabello, D. Manuel de la Torre, D. Ignacio Olarte, y D. Diego de Abarca, vecinos de aquella demarcación. Los sugetos que tengan equipages ó efectos de qualquiera clase detenidos en los almacenes de la venta de Cárdenas, deberán a</t>
  </si>
  <si>
    <t>Olee</t>
  </si>
  <si>
    <t>Josef de Waílis, Consejero íntimo y Gobernador de Silesia y de Moravia. Bámberg 29 de Juíiio. » El Profesor Olee, redactor de la Gazeta de esta ciudad, ha insertado en ella la descripción de un manuscrito del siglo ix, que hace 10 años tuvo la fortuna de encontrar. Es una armonía 6 concordan</t>
  </si>
  <si>
    <t>Olivares, Juan</t>
  </si>
  <si>
    <t>Juan Olivares</t>
  </si>
  <si>
    <t>12... Juan Olivares.......... Hijo de¡ naismo , narural de Cojalia , Reyno! ✓</t>
  </si>
  <si>
    <t>Olive, Pedro</t>
  </si>
  <si>
    <t>Pedro Olive</t>
  </si>
  <si>
    <t>actual de la Química se considera entre los sabios como la mas completa y metódica, se traduce por D. Pedro Olive, y se imprime de cuenta de S. M. en Ja Imprenta Real, á beneficio de los que se dedican á las ciencias naturales, con notas de D. Luis Proust, Catedrático de Química del Real Labo</t>
  </si>
  <si>
    <t>Oliver, Miguel</t>
  </si>
  <si>
    <t>Miguel Oliver</t>
  </si>
  <si>
    <t>graduado de Capitán, D. Joaquín Aparici; y Subtenencia de bandera al Sargento primero de granaderos D. Miguel Oliver; y el empleo de segundo Ayudante en el segundo batallón dé Voluntarios de Barcelona al Teniente D. Ramón Blay. El Sr. Generalísimo Príncipe d$ la Paz ha comunicado, con fecha de x</t>
  </si>
  <si>
    <t>Olivera, Gregorio</t>
  </si>
  <si>
    <t>Gregorio Olivera</t>
  </si>
  <si>
    <t>elo Sanabria , Don Miguel Parra, D. Josef Mesa, D. Mariano Cosío, D. Pascual Zárate; y de bandera á D. Gregorio Olivera: la Tenencia Coronela del de caballería de Chancay al Marques de Casa-Boza: Compañía en el de Chota á D. Manuel Bernal : el Regimiento de Camaná á D. Raymundó Gutierres Otero : la</t>
  </si>
  <si>
    <t>Omul, Carlos Luis</t>
  </si>
  <si>
    <t>Carlos Luis Omul</t>
  </si>
  <si>
    <t>iudad de Ubeda, en el Obispado de Jaén, vacante por fallecimiento de D. Miguel Teodoro de Molina, á D. Carlos Luis Omul rrran; y para dos Medios-Beneficios simples servideros de la Parroquia de S. Mateo de la villa de Alburquerque, en la Diócesis de Badajoz , vacantes el uno por muerte ,de D. Tomas</t>
  </si>
  <si>
    <t>Onésimo Ruiz Martínez</t>
  </si>
  <si>
    <t>Peña, ambas de primera clase ó entrada: para la «JeTarancon, de segunda clase, y nueva creación,, á D. Onésimo Ruiz Martínez, todas tres ¿n el territorio de la Orden de Santiago; y para la de Brozas, en el de la de Alcántara, de primíera clase ¿ á D. Josef Ramón Hidalgo Loque. La Real Academia del Derec</t>
  </si>
  <si>
    <t>Onofie</t>
  </si>
  <si>
    <t>gimiento de Infantería de España se há servido, el Rey promover á. Subten jeme-de bandera al Cadete D. Onofie .Ir.iyarne: á Capitap primero en. eh primar Batallón de Voluntarios de Aragón, al. primer ¡Ayudante</t>
  </si>
  <si>
    <t>Ónofre Montoya, Juan</t>
  </si>
  <si>
    <t>Juan Ónofre Montoya</t>
  </si>
  <si>
    <t>„„ j. vacante por fallecimiento de D. Juan Ónofre Montoya, á Don ^ran Ped “ceaPy Zafra , Canónigo de la Colegial de Motril: para una ^ ^nnía Beneficial y Patrimonial de dicha Colegial, vacante por muerte de D f rancisco Xavier Diaz, i D.</t>
  </si>
  <si>
    <t>Oñoro, Francisco</t>
  </si>
  <si>
    <t>Francisco Oñoro</t>
  </si>
  <si>
    <t>Francisco Oñoro.... Hijo de Juan , nat. de la villa de Santorcazo</t>
  </si>
  <si>
    <t>Oppizzcni, Cardenal</t>
  </si>
  <si>
    <t>Cardenal Oppizzcni</t>
  </si>
  <si>
    <t>Guastaviüani y CLognara.srDe la del Culto, el Cardenal Caprara, Arzobispo de Milán, Presidente; el Cardenal Oppizzcni, Arzobispo de Bolonia; Allegri, Canónigo de Novara, y Roña, Cura de S. Babil de Milán, v. Mr. Compagnoni está también nombrado Secretario del Consejo de Estado. El presente decret</t>
  </si>
  <si>
    <t>Orde, Almirante</t>
  </si>
  <si>
    <t>Almirante Orde</t>
  </si>
  <si>
    <t>on un viento favorable. Si ha pasado el estrecho de Gibraltar, podrá atacar la esquadra Inglesa del Almirante Orde, que bloquead puerto de Cádiz, y obligarla ¿ alejarse, pues sus fuerzas se reducen á 7 u 8 navios de línea, y la de Tolon se compone de 11 ó 12 y otros buques menores. No tenemos</t>
  </si>
  <si>
    <t>actividad continúan los preparativos que se hacen en Holanda. Algunos Oficiales de la esquadra del Almirante Orde han publicado las circunstancias del modo cómo se levantó el bloqueo pretendido de Cádiz. Hallábase anclada la esquadra Inglesa, quando el Capitán Bickerton, Comandante del navio</t>
  </si>
  <si>
    <t>Orduña, Antonio</t>
  </si>
  <si>
    <t>Antonio Orduña</t>
  </si>
  <si>
    <t>cio de Sta. Eulalia dé la ciudad de Murcia, en dicha Diócesi de Cartagena, vacante por promoción de Don Antonio Orduña á la Dignidad dé Tesorero de la Catedral de Plasencia, á D. Francisco Perez López, Teniente de-Cura de la Parroquia de San Juan de la misma ciudad, con carga de precisa personal r</t>
  </si>
  <si>
    <t>is de Badajoz , vacantes el uno por muerte ,de D. Tomas Escarda Palmero, y el otro por promoción de D. Antonio Orduña á la Dignidad de Tesorero de la Catedral de Plasencia , á D. Pedro Josef do Vera y Pantoja. El Rey se ha servido conferir el empleo de Guarda-Almacén extraordinario de Artillería</t>
  </si>
  <si>
    <t>Orihuela, Manuel</t>
  </si>
  <si>
    <t>Manuel Orihuela</t>
  </si>
  <si>
    <t>Francisco Caracholi; y sencillas á D. Bernardo Manrique, D. Francisco Alcántara, D. Nicolás Gódiel, D. Manuel Orihuela, D. Vicente Herencia, D.Vicente Portugal,D. Miguel Carrasco y D. Martin Vargas; Ayudantías á D. Jorge Santos García y D. Melchor Olaquibel; Tenencia de granaderos á D. Melchor Ram</t>
  </si>
  <si>
    <t>Oriófrio, Antonio</t>
  </si>
  <si>
    <t>Antonio Oriófrio</t>
  </si>
  <si>
    <t>Lima presentaron sus credenciales Mr. Marcacci, Encargado de Negocios de la Confederación Suiza, y Mr. Antonio Oriófrio , Diputado de S. Marín* El día 3 fueron SS. MM.acompañados del Príncipe Eugenio , á Brera á visitar los objetos de • las artes y de la industria. Distinguieren; entre las producci</t>
  </si>
  <si>
    <t>Orive y Viana, Tomás</t>
  </si>
  <si>
    <t>Tomás Orive y Viana</t>
  </si>
  <si>
    <t>balleros Cadetes de la Compañía establecida en el Alcázar de Segovia Don Jacobo Escario y Carrasco, D. Tomas Orive y Viana, D. Luis Tarber— né y Pavía, D. Josef Herrera Dávila y Albear, D. Francisco de Paula Uclés de Herrera y Ramírez, D. Diego Entrena y Mosquera, D. Manuel Cavaleri y Arana, D. Agustí</t>
  </si>
  <si>
    <t>Orózco, Nicolás</t>
  </si>
  <si>
    <t>Nicolás Orózco</t>
  </si>
  <si>
    <t>ronel de Húsares; á D. Leonardo Teran, Ministro de S. M. C. en Génova ; á D. Gerónimo de la Grúa; á D. Nicolás Orózco, Ministro plenipotenciario en Milán; al Caballero Viérgol, Secretario de la Legación en Milán; á Don Fernando de los Ríos, agregado á la misma Legación; á D. Agustín Diiboyfe, Ofi</t>
  </si>
  <si>
    <t>Orta y Arcos, Fernando</t>
  </si>
  <si>
    <t>Fernando Orta y Arcos</t>
  </si>
  <si>
    <t>* ■« Y Obispado de Cuenca, vacante por fallecimiento de D. Fernando Orta y Arcos , á D. Rafael Peñas Franco, relevando al poseedor del Curato de Villarubio, en la misma Diócesis, de la pensión de 3® reales con que le está contribuyendo desde que lo renunció ;</t>
  </si>
  <si>
    <t>Ortega y Rengel, Antonio</t>
  </si>
  <si>
    <t>Antonio Ortega y Rengel</t>
  </si>
  <si>
    <t>S. M. se ha servido conferir el Gobierno Militar y Política é Intendencia de la Provincia de Puno á D. Antonio Ortega y Rengel, Capitán del Regimiento de infantería de Aragón. . Habiéndose aprobado por el Real Consejo de las Ordenes el remate celebrado en esta Corte de los frutos y rentas de la Encomienda</t>
  </si>
  <si>
    <t>Orteu, Francisco Antonio</t>
  </si>
  <si>
    <t>Francisco Antonio Orteu</t>
  </si>
  <si>
    <t>al de Barcelona, vacante por promoción de D. Ramón Lázaro Dou á la Maestrescoiía de la de Lérida, á D. Francisco Antonio Orteu, con retención de la Canongía que obtiene en aquella Catedral: para la Dignidad regular de Pavorde del Real Monasterio de San Salvador de Breda, vacante por promoción de D. Fr. Ja</t>
  </si>
  <si>
    <t>Ortiz Badillo, María</t>
  </si>
  <si>
    <t>María Ortiz Badillo</t>
  </si>
  <si>
    <t>as, y obras pías que en la Iglesia Parroquial de Santa Leocadia de ¿a ciudad de Toledo fundó y dotó Dona María Ortiz Badillo (entre otras rentas) con la parte y porción que la tocaba del principal y réditos de un crédito de 10© ducados, que en el Consulado de la ciudad de Sevilla impuso su padre D, Rodr</t>
  </si>
  <si>
    <t>Ortiz Canelas, Julián</t>
  </si>
  <si>
    <t>Julián Ortiz Canelas</t>
  </si>
  <si>
    <t>para el año de 180/, calculadas de orden de S. M. para el Observatorio Real de la Isla de León, por D. Julián Ortiz Canelas, Capitán de Fragata de la Real Armada, y Director de dicho establecimiento. Esta obra contiene las materias siguientes: Explicación de Jos caracteres que tienen uso en las Efeméri</t>
  </si>
  <si>
    <t>Ortiz de Saracho, Diego</t>
  </si>
  <si>
    <t>Diego Ortiz de Saracho</t>
  </si>
  <si>
    <t>a servido conceder Tenencias en los Regimientos de infantería de Murcia y Málaga á los Subtenientes D. Diego Ortiz de Saracho y D 'Vicente Moreno; y Subtenencias de bandera en el de Navarra al Sargento primero de granaderos D. Lorenzo Rico; y en el de América á los Cadetes D. juañ Martínez y D. Eduardo Rrett</t>
  </si>
  <si>
    <t>Ortiz de Zarate, Antonio</t>
  </si>
  <si>
    <t>Antonio Ortiz de Zarate</t>
  </si>
  <si>
    <t>án Solana, D. Braulio Henriquez y D. Josef Jalón; y á Tenientes á los Subtenientes D. Luis Mazuelo, D. Antonio Ortiz de Zarate, D. Domingo Antonio Loriga, D. Joaquín Montenegro, D. Miguel Panes, D. Ramón Cucalón, D. Joaquín de Miguel, D. Cristóbal de Reyna, D. Ramón Tovar y D. Joaquín Crame. El Emo. Sr. D</t>
  </si>
  <si>
    <t>Ortiz de Zarate, Rafael Antonio</t>
  </si>
  <si>
    <t>Rafael Antonio Ortiz de Zarate</t>
  </si>
  <si>
    <t>ervidero de S. Nicolás de Ubeda, en la de Jaén , vacante por muerte de D Tuan Antonio Monasterio, á D. Rafael Antonio Ortiz de Zarate, con íetencion del de la villa de Arjona; y para el de la Parroquia de Santiago de la ciudad de Huáscar, Reyno de Granada , vacante por promofion de D. Tomas Martínez Carayol a ot</t>
  </si>
  <si>
    <t>Ortiz, Miguel</t>
  </si>
  <si>
    <t>Miguel Ortiz</t>
  </si>
  <si>
    <t>D. Pedro Terrón: á Ayudante al Teniente Don Santiago Mora: á Teniente al Subteniente de granaderos D. Miguel Ortiz; á Subteniente de granaderos al de fusileros D. Antonio Mora; y á Subteniente de bandera al Cadete D. Juan González. En el Regimiento de infantería Provincial de las Tres Villas,</t>
  </si>
  <si>
    <t>Ortiz, Tomás</t>
  </si>
  <si>
    <t>Tomás Ortiz</t>
  </si>
  <si>
    <t>34...^ Tomas Ortiz........... Hijo de Josef, natural de la villa de Puer-}</t>
  </si>
  <si>
    <t>Órtiz, Vicente</t>
  </si>
  <si>
    <t>Vicente Órtiz</t>
  </si>
  <si>
    <t>t&gt;. Josef Alonso Yaldenebro; de la villa de Vivero á D. josef Ibarlucea ; de láciudad de Falencia i D. Vicente Órtiz, y de la ciudad de Marbella á í). Juan Alonso Andrade y San Juan. Y últimamente ha nombrado S. M. para Alcaldes mayores de la villa dfe Quesada á D. Mariano Rufino; de la villa de</t>
  </si>
  <si>
    <t>Ortuño, Andrés</t>
  </si>
  <si>
    <t>Andrés Ortuño</t>
  </si>
  <si>
    <t>ra otra de la Catedral de Cartagena, vacante por muerte de D. Francisco Ramón de Moneada y Botia, á D. Andrés Ortuño, Cura de la Parroquia de S. Lorenzo de Murcia: para una Ración de la Colegial de la villa de Roa, Diócesi de Osma, vacante por promoción de Don Manuel Ramírez á otra de aquella Ca</t>
  </si>
  <si>
    <t>Osona, Alberto</t>
  </si>
  <si>
    <t>Alberto Osona</t>
  </si>
  <si>
    <t>de Ntra. Sra. de la Redonda, fundado en la Iglesia de la misma invocación de la ciudad de Vique , á D. Alberto Osona. S. M. se ha servido promover á Ayudante en el Regimiento de infantería de Murcia al Teniente, graduado de Capitán, D.Tomas López *. áTeniente en el de Navarra al Subteniente de g</t>
  </si>
  <si>
    <t>Osorno, Juan Nepomuceno</t>
  </si>
  <si>
    <t>Juan Nepomuceno Osorno</t>
  </si>
  <si>
    <t>eniente al Subteniente D. Manuel Arcada: en el de Jaén á Tenientes á los Subtenientes de granaderos D. Juan Nepomuceno Osorno y D. Francisco Echegaraya ; y á Capitán segundo en el batallón de Voluntarios , segundo de Cataluña, al Teniente D. Pedro de Lavega. El Rey se ha servido conceder Subtenencias de band</t>
  </si>
  <si>
    <t>Otto</t>
  </si>
  <si>
    <t>de los Españoles en el mar Océano en el siglo xy y principios del xvi, en respuesta á la Memoria de Mr. Otto sobre el verdadero descubridor de América: un tomo en 4° con láminas, á 40 rs. á la rústica y 48 en pasta. =Las obras de Cayo Cornelio Tácito, con la vida de Julio Agrícola, que e</t>
  </si>
  <si>
    <t>na carta de D. Cristóbal Cladera, dirigida al editor del Correo de Londres, refutando la memoria de Mr. Otto sobre el descubrimiento de América: el extracto del tratado de los Tropos de César Dumarsais, traducido por D. Josef Miguel Alca; y unas observaciones sobre el Origen y diversos e</t>
  </si>
  <si>
    <t>Oudinot, General</t>
  </si>
  <si>
    <t>General Oudinot</t>
  </si>
  <si>
    <t>múér.tós tendidos en !él campo de batalla,y í500 prííiónerós. EÍKPríncip¿ elogia'particulatmenté al General Oudinot j cuyo ‘Edecán, Lagrange. lia'sido'herido. Eí'Mariscal Davóust elogia la conducta dél GeneralHeüdelet, que manada su vanguardia en el paso dél Enns por Steyer. Ha continuado su ma</t>
  </si>
  <si>
    <t>caballería, y en especial á ios Regimientos 9 y 10 de húsares, yá ios granaderos de ia división del General Oudinot. Después del qual los Rusos han acelerado su retirada , habiendo cortado, mas en vano, los puentes del Ips, que se,-han restablecido inmediatamente ; y el Príncipe Murat ha llegad</t>
  </si>
  <si>
    <t>Oudínot, General</t>
  </si>
  <si>
    <t>General Oudínot</t>
  </si>
  <si>
    <t>peleado con arma blanca: algunos batallones de granaderos Rusos han mostrado grande intrepidez. El General Oudínot ha sido herido; también lo han sido sus dos Edecanes, Gefes de esquadron Demangeot y Lamotte, que peleaban á su lado. La herida del General Oudinot le impedirá servir por unos 1.5</t>
  </si>
  <si>
    <t>Oviedo, Diego</t>
  </si>
  <si>
    <t>Diego Oviedo</t>
  </si>
  <si>
    <t>ntonio Pascual Barradas; á supernumerario al Brigadier D. Antonio Ruano; á Brigadier al Subrigadier D. Diego Oviedo.; á Subrigadier al Cadete D. Tomas Castilla; á Cadete de número al supernumerario D. Josef de la Cueva, y á supernumerario al Guardia D. Joaquín Somaio. En el Regimiento de infant</t>
  </si>
  <si>
    <t>Oviedo, Ramón</t>
  </si>
  <si>
    <t>Ramón Oviedo</t>
  </si>
  <si>
    <t>arreri,D. Juan Anglés, Don Pascual Toledo, D. Manuel Carpió, D. Francisco Grambel,D. Josef Cordero, D. Ramón Oviedo y D. Juan Cornejo; Subtenencia de granaderos á D. Miguel San Román, y de fusileros á D. Julián Antezana, D. Evaristo Ximenez , D. Mariano Estevez, D. Fernando Aragón, D. Josef Callisa</t>
  </si>
  <si>
    <t>Oyos, Santiago</t>
  </si>
  <si>
    <t>Santiago Oyos</t>
  </si>
  <si>
    <t>arcelona », 66» 12. Santiago Oyos............Antonio. . * Rafaela Alexos» .» Patencia,»,» Idem » » » » 66. 12» Cabo..... Juan Cliviliart...... Lorenzo:.. Teresa Pastells. . Areyñs,, ,,, Mataró ,</t>
  </si>
  <si>
    <t>Ozores de Puga, Francisco Antonio</t>
  </si>
  <si>
    <t>Francisco Antonio Ozores de Puga</t>
  </si>
  <si>
    <t>macola. En el Diario y Gazeta de 21 y 23 de Diciembre de 1803 se citó y emplazó ¿ Jos acreedores de D. Francisco Antonio Ozores de Puga, Receptor de los Reales Consejos, que hizo clexacion de bienes en 17 de Setiembre de 1751, y ahora se les cita y emplaza nuevamente, ó á sus herederos, por 30 dias, que respectiva</t>
  </si>
  <si>
    <t>O’Connell, Capitán</t>
  </si>
  <si>
    <t>Capitán O’Connell</t>
  </si>
  <si>
    <t>el auxilio de los habitantes y de los Caribes. Quatro dias después de marchas penosas se le unió el Capitán O’Connell, que estaba herido, con otros varios, y algunos soldados de la Real artillería, las reliquias del Regimiento 46, y la compañía ligera del primero de las Antillas.__ El 25 le intim</t>
  </si>
  <si>
    <t>Pa, Archiduque</t>
  </si>
  <si>
    <t>Archiduque Pa</t>
  </si>
  <si>
    <t>ust, y ambas son del tenor siguiente__ _ Carta del General Conde de..Palffy.. „General, S. A* R* el Archiduque Pa</t>
  </si>
  <si>
    <t>PAbbé Fleury</t>
  </si>
  <si>
    <t>encias. Catéchisme historique ,contenant en abrégé l’Histoire sainte et la Doctrine Chretienne, par Mr. PAbbé Fleury, Prétre, Prieur d’Argenteuíl, et Confesseur du B oy. Nueva edición, corregida por un Francés profesor de su lengua. Todo el orbe cris</t>
  </si>
  <si>
    <t>Pac, Miguel</t>
  </si>
  <si>
    <t>Miguel Pac</t>
  </si>
  <si>
    <t>729 m los-de Ultonia y Málaga áTos Subtenientes,!). Miguel Peirson y D. Miguel Pac heeo; y Subtenencia de bandera en el de Voluntarios de Castilla al Sargento primero D. Miguel Sánchez. S. M. se ha servido conferir en el Regimiento de infantería de la Corona Com</t>
  </si>
  <si>
    <t>Pacheco, Estéban</t>
  </si>
  <si>
    <t>Estéban Pacheco</t>
  </si>
  <si>
    <t>D. Ramón del Valle ; Compañía de carabineros á D. Josef Pelotieri; y sencillas ú D. Mariano Oviedo, D. Estéban Pacheco , D. Francisco Noriega, D. Antonio de la Borda, D. Josef Colombo, D. Antonio García Muñiz, D. Fernando Belon y D.Juan Canabal; Ayudantías á D. Andrés Polvorinos y Don Hilario del</t>
  </si>
  <si>
    <t>Pacheco, Martín</t>
  </si>
  <si>
    <t>Martín Pacheco</t>
  </si>
  <si>
    <t>, Don Vicente Bellido y D. Diego Felipe Cevallos; y de Portaguiones á D. Pablo Portugal y Cevallos, D. Martin Pacheco, D. Juan Caracholi y D. Juan de Dios Valdés. S. M. se ha servido conferir el Gobierno Militar y Política é Intendencia de la Provincia de Puno á D. Antonio Ortega y Rengel, Capitá</t>
  </si>
  <si>
    <t>Pacheco, Pedro Alonso</t>
  </si>
  <si>
    <t>Pedro Alonso Pacheco</t>
  </si>
  <si>
    <t>allarán en el despacho de la Imprenta Real. Por el juzgado del Corregidor de Avila, y escribanía de D. Pedro Alonso Pacheco, se han sacado á pública subasta la dehesa y término redondo llamado de Navares, apreciados todos sus terrenos en la forma siguiente: un molino harinero con 4 ruedas usuales y cor</t>
  </si>
  <si>
    <t>Pacheqo, Pedro Alonso</t>
  </si>
  <si>
    <t>Pedro Alonso Pacheqo</t>
  </si>
  <si>
    <t>ios, contados desde el 13 del*comente,c acudan al juzgado del referido Corregidor, y escribaiíía de D. Pedro Alonso Pacheqo, á deducir y alegar lo que á su derecho les convenga; con apercibimiento que pasado el dicho término, sin mas citarles ni emplazarles, les parará el perjuicio que haya lugar. : r</t>
  </si>
  <si>
    <t>Padre Marcos Burriel</t>
  </si>
  <si>
    <t>rid, quien las dedica á la Reyna nuestra Señora, que Dios guarde. El nombre del Padre Marcos Burriel, autor de estas memorias, y las doctas adiciones con que el editor las ha ilustrado, y de que da razón en el prólogo, bastan para hacer recomendable esta obra. La multitud'de documentos</t>
  </si>
  <si>
    <t>Padró, Pedro</t>
  </si>
  <si>
    <t>Pedro Padró</t>
  </si>
  <si>
    <t>el carbono, principio fecundante según el descubrimiento de Hassenfraz y observaciones de Fourcroy: D. Pedro Padró sobre las tierras de pan llevar en sus tres clases de granos frumenticios, 4e legumbres y de plantas fibrosas, su cul</t>
  </si>
  <si>
    <t>Paget</t>
  </si>
  <si>
    <t>ituyan á sus dueños con ios daños y perjuicios. Mr. de Cobentzél ha remitido últimamente una nota á Mr. Paget, Ministro de Inglaterra en Viena, relativa al mismo objeto----- Se espera con ansia Saber el efecto que producirán estas representaciones, y tanto mas quanto el Ministro Prusiano</t>
  </si>
  <si>
    <t>y representó, no solo al Embaxador Británico en Viena,sino también al Gobierno Ingles en derechura. Mr. Paget ha dado por respuesta que remitirá las reclamaciones á Londres, y recomendará por su parte con eficacia la restitución pronta de los buques Austriacos apresados indebidamente. El</t>
  </si>
  <si>
    <t>que Mr. Mulgrave se ha explicado sobre dichos pliegos, hace creer que las noticias comunicadas por Mr. Paget no son tan satisfactorias como las que las Gazetas Ministeriales nos prometían.</t>
  </si>
  <si>
    <t>Palacio, Mateo</t>
  </si>
  <si>
    <t>Mateo Palacio</t>
  </si>
  <si>
    <t>lo diferencial: D. Ramón Mateo, también cursante en Cánones, de Trigonometría y Geometría práctica: D. Mateo Palacio, de Algebra: D. Miguel Pascual, cursante en Leyes, de la aplicación del Algebra á la Geometría: D. Luis María de Cistué, Maestro en Artes, Caballero de la Real y distinguida Orden</t>
  </si>
  <si>
    <t>Palafox, Cipriano</t>
  </si>
  <si>
    <t>Cipriano Palafox</t>
  </si>
  <si>
    <t>cil. D. Pablo de la Puente y Aranguren* D. Luis Cepeda y Ruliere, D. Francisco Andrada Wanderwilde, D. Cipriano Palafox, Marques de Fuente el Sol, D. Josef Povil y Correger, D. Juan Lliñas y Repiso, D. Joaquín Alvarez Maldonado Abadelanzana, D. Romualdo Miranda y Mon, y D. Rodrigo Sánchez de Arjona</t>
  </si>
  <si>
    <t>Palao, Pedro</t>
  </si>
  <si>
    <t>Pedro Palao</t>
  </si>
  <si>
    <t>Teniente Coronel, D. Francisco Collell; á Capitanes los Tenientes de granaderos D. Cayetano Perez, D. Pedro Palao y D. Vicente Fernandez Texéyro ; á Ayudante mayor el Teniente D. Juan Blanco; a Tenientes de granaderos los de fusileros D. Antonio Coudougnan, D. Rafael Croquer y D. JoseF Cortes; á</t>
  </si>
  <si>
    <t>Palau, Manuel</t>
  </si>
  <si>
    <t>Manuel Palau</t>
  </si>
  <si>
    <t>ervido conceder Subtenencias de bandera en el Regimiento de infantería de Extremadura á los Cadetes D. Manuel Palau y D. Josef Gutiérrez Camberos y España; y en el de Borbon al Cadete D. Henrique de Valadous, y al Sargento primero D. Bernardo Casenave. El Rey se ha servido conceder empleo de Alfére</t>
  </si>
  <si>
    <t>Palau, Vicente</t>
  </si>
  <si>
    <t>Vicente Palau</t>
  </si>
  <si>
    <t>a Parroquia de Rusafá, extramuros de la ciudad de Valencia, vacante por muerte de D. Andrés Grau, á Don Vicente Palau. S. M. se ha servido promover en el Regimiento de infantería de Valencia á Sargento mayor al Capitán, graduado de Teniente Coronel, Don Luis María Andriani; y en los de Cantabria</t>
  </si>
  <si>
    <t>Palero, Miguel</t>
  </si>
  <si>
    <t>Miguel Palero</t>
  </si>
  <si>
    <t>del Provincial de Milicias de Segovia: en el de Murcia Subteniencia de bandera al Sargento primero D. Miguel Palero. Para la plaza de Ministro togado de la Cámara de Comptos del Reyno de Navarra, vacante por fallecimiento de O. Andrés de Santa María y Morales , ha venido S. M. en nombrar á DV A</t>
  </si>
  <si>
    <t>Paliza, Domingo Julián</t>
  </si>
  <si>
    <t>Domingo Julián Paliza</t>
  </si>
  <si>
    <t>rihuega y Ortega, Dignidad de Prior y Canónigo de Ja de Sigiienza: para esta Dignidad y .Canongía á D. Domingo Julián Paliza, Canónigo ae la Real Iglesia de S. Isidro: para una Ración de la Catedral de Patencia á D. Manuel' Caballero, Curaé Párroco de S. Juan de Moura,en el Obispado de Orense: para una</t>
  </si>
  <si>
    <t>Paliza, Miguel</t>
  </si>
  <si>
    <t>Miguel Paliza</t>
  </si>
  <si>
    <t>D. Josef Galindo y D. Benigno Morales, y á Subtenientes de bandera á los Cadetes D. Félix Truxillo, D. Miguel Paliza y D. Josef Paliza. Para hacer pago á los acreedores de la ocurrencia del Sr. D. Pedro de Astrearena, Marques que fué de Morillo, y en conformidad de lo que acordaron en Junta general</t>
  </si>
  <si>
    <t>Palomo, Cayetano</t>
  </si>
  <si>
    <t>Cayetano Palomo</t>
  </si>
  <si>
    <t>3° . Colegial de Antequera, en la de Málaga, por fallecimiento de D. Francisco de Paula Aguilera, á D. Cayetano Palomo: para una Canongía dé la Colegial de Cervatos , en la de Burgos, vacante por muerte de Don Pedro Gutiérrez del Piélago , á D. Francisco- Antonio Alonso , Cura Beneficiado de ia Pa</t>
  </si>
  <si>
    <t>Panchuelo, Antonio</t>
  </si>
  <si>
    <t>Antonio Panchuelo</t>
  </si>
  <si>
    <t>Antonio Panchuelo. Hijo de Francisco, nat. delv Villar de Pía-}</t>
  </si>
  <si>
    <t>Pancracio Forster</t>
  </si>
  <si>
    <t>uevas contribuciones que se han impuesto» SUIZA. Zurich jj de Febrero. El Príncipe Abad de S. Gall, Mr. Pancracio Forster, que en sus proclamas no habia invocado hasta ahora mas que la mediación del Austria, solicita en el dia, con mas prudencia, la protección del Papa y de la Corte de Francia. Si se</t>
  </si>
  <si>
    <t>Panes, Miguel</t>
  </si>
  <si>
    <t>Miguel Panes</t>
  </si>
  <si>
    <t>ntes D. Luis Mazuelo, D. Antonio Ortiz de Zarate, D. Domingo Antonio Loriga, D. Joaquín Montenegro, D. Miguel Panes, D. Ramón Cucalón, D. Joaquín de Miguel, D. Cristóbal de Reyna, D. Ramón Tovar y D. Joaquín Crame. El Emo. Sr. D. Luis de Borbon , Cardenal de Scala, y Arzobispo de Toledo, ha dir</t>
  </si>
  <si>
    <t>Panigo, Ramón María</t>
  </si>
  <si>
    <t>Ramón María Panigo</t>
  </si>
  <si>
    <t>de Capitán , D.. Manuel Ar— mijo; y empleo/de Alférez en el de Dragones de Almansa. al Portaguión. D. Ramón María Panigo.. El Rey se ha servido nombrar para la Vara de Alcalde, mayor de la. Villa de Nava dei Rey á D. Manuel J.osef Sánchez. Fano : para la de. Rueda á D. Gerónimo Agüero: para, la de Q</t>
  </si>
  <si>
    <t>Panlagua, Manuel</t>
  </si>
  <si>
    <t>Manuel Panlagua</t>
  </si>
  <si>
    <t>1091 dro Frías, D. Manuel Panlagua y D. Alexo Castilla ; Subtenencia de granaderos á D. Juan de Dios Tapia; y de fusileros á D. Josef Meneses, D. Mariano Hinojosa, D. Andrés Losa, D. Manuel Calderón, D. Estéban Carvaja</t>
  </si>
  <si>
    <t>Pantaleon de Gires</t>
  </si>
  <si>
    <t>naderos D. Santos Allende; Subtenencias de bandera en dicho Cuerpo ai Cadete dei Inmemorial del Rey D. Pantaleon de Gires; y en el de Jaén al Soldado distinguido de Reales Guardias Españolas D. Domingo lbarrola; y Tenencia en el segundo Batallón de Voluntarios de Cataluña al Subteniente D. Josef Mort</t>
  </si>
  <si>
    <t>Papin</t>
  </si>
  <si>
    <t>Presidente del Colegio Electoral del Aisne; á Mr. St.-Vallier, Presidente del Colegio del Droma; á Mr. Papin, Presidente de la Asamblea del Cantón de Aire; y á Mr. Valence, Presidente del Cantón de Verry. También ha nombrado varias Damas de la Emperatriz, Gentrleshombres de Cámara y Gobe</t>
  </si>
  <si>
    <t>Paradela, Manuel</t>
  </si>
  <si>
    <t>Manuel Paradela</t>
  </si>
  <si>
    <t>dignado conferir el empleo de Guarda-Almacén extraordinario de Artillería del Campo de Gibraltar á D. Manuel Paradela, Guarda-Almacén reformado. En cumplimiento de lo inanclado en Real Pragmática-Sanción de 36 de Agosto de 1800, desde i.d de* Abril próximo hasta 31 de Mayo siguiente se presentará</t>
  </si>
  <si>
    <t>Parandier</t>
  </si>
  <si>
    <t>dor, hereditario de Francia: mandando que dexase por Encargado de Negocios, no á Mr* Ruffin, sino á Mr. Parandier, Secretario de la Legación'Francesa.__ El Embaxador comunicó inmediatamente al Ministerio Turco esta decisión; y no habiendo recibido contestación perentoria al término prefixado,</t>
  </si>
  <si>
    <t>colo, á dos jornadas de aquella capital, donde ha dexado como Encargado de Negocios á su Secretario Mr. Parandier. SUIZA. Basilea $ de Febrero. ■. El famoso proceso del Coronel Pfyífer, miembro, del Cantón de Lucerna, ha tomado-repentinamente un aspecto inesperado. Después de muchas tentativa</t>
  </si>
  <si>
    <t>carta del Emperador Napoleón, como se ha divulgado en las Gazetas. La cosa fue del modo siguiente: Mr. Parandier, Encargado dé Negocios de Francia, remitió al Reiss-Eífendi otra nota, reiterando su antenor solicitud de una audiencia para entregar dicha carta en mano propia de S. A.; quejábas</t>
  </si>
  <si>
    <t>den, que residió hace algún tiempo en Corfú en calidad de Cónsul de Francia. Ha traido pliegos para Mr. Parandier. Encargado' de'Negocios cerca de la Puerta , y parece que son relativos á la proclamación del Emperador Napoleón como Rey de Italia, á fin de que lo comunique de oficio al Gran Se</t>
  </si>
  <si>
    <t>Pardilla, Juan</t>
  </si>
  <si>
    <t>Juan Pardilla</t>
  </si>
  <si>
    <t>er de 14,526 pies, tasada en 36,022 rs. La persona que quisiere hacer postura, se verá con su dueño D. Juan Pardilla, que vive en dicha casa y citado lugar.</t>
  </si>
  <si>
    <t>Pardinas, Antonio</t>
  </si>
  <si>
    <t>Antonio Pardinas</t>
  </si>
  <si>
    <t>litares D. Domingo Galludo y D. Felipe Santiago Zaragoza; y en el de Aragón al Cadete dei de Toledo D. Antonio Pardinas. S. M. se ha servido conceder la Comandancia del tercer batallón del Regimiento de infantería de Extremadura ai Sargento Mayor del mismo Cuerpo, graduado de Teniente Coronel, D. D</t>
  </si>
  <si>
    <t>Pardiñas, Gregorio</t>
  </si>
  <si>
    <t>Gregorio Pardiñas</t>
  </si>
  <si>
    <t>34 8. Id. Ayud. ^*4ÍJre^ono * ar” jHijo de Juan Antonio y de Feiipa Diz diñas............../ Perez, natural de la villa de Noya.... 39° 6. Id. id. Josef Pretel.......... Hijo de Pedro y de Paula García, natu-</t>
  </si>
  <si>
    <t>Pardo, Ignacio</t>
  </si>
  <si>
    <t>Ignacio Pardo</t>
  </si>
  <si>
    <t>Colegial de la Ciudad -áe Alcaóiz, Diócesis de Zaragoza , vacante .por muerte de D. Luis Minaur-, á D. Ignacio Pardo. El Rey se ba servido conceder honores de Alcalde del Crimen de la Chancilléría de Vallado lid á D. Matías Herrero Prieto, Alcalde mayor del :Señorío de Vizcaya. En América. El Re</t>
  </si>
  <si>
    <t>Pardo, Joaquín</t>
  </si>
  <si>
    <t>Joaquín Pardo</t>
  </si>
  <si>
    <t>ncia al Alférez D. Joaquín Escamez y Santander: en el de España empleo de Portaestandarte al Cadete D. Joaquín Pardo; y en el de Cazadores de Olivencia empleo de Alférez al Sargento primero D. Juan Barranco. . \ El Rey se ha servido conferir la Tenencia de Rey de la plaza de Zamora al Teniente C</t>
  </si>
  <si>
    <t>Pardp, Manuel</t>
  </si>
  <si>
    <t>Manuel Pardp</t>
  </si>
  <si>
    <t>cia del Cuzco,, vacante por haberla renunciado D. Jo&amp;ef Pareja, Fiscal de lo civil de la de Lima, % D. Manuel Pardp,. Oidor de esta última : pava la que este dexa i D. Tomas Ignacio, Pato meque; y para la. de Alcaide: deL crimen que este obtenía en ella, á D. Gaspar Antonio de Osma y Tricio^ Ab</t>
  </si>
  <si>
    <t>Paredes, Luis</t>
  </si>
  <si>
    <t>Luis Paredes</t>
  </si>
  <si>
    <t>de Áyala; á Tenientes de fusileros á los Subtenientes D. Antonio de Fabrega, D. Josef de Fromista, D. Luis Paredes, D. Antonio García y D. Francisco Ximénez; á Subtenientes de fusileros al Sargento primeto D. Sebastian Beasini , y á lós Cadetes D. Manuel Rodríguez y D. Justo Paredes; y de band</t>
  </si>
  <si>
    <t>Paredes, Ramón</t>
  </si>
  <si>
    <t>Ramón Paredes</t>
  </si>
  <si>
    <t>Muñoz, D. Lorenzo Lencinas, Don Josef Silva y Laguado, D. Manuel de la Barrera, D. Mariano Murguía, D. Ramón Paredes, D. Mariano Figueroa, D. Valentín Toro y D. Juan Valenzuela; empleo de Alférez de granaderos á D. Carlos Velarde; y sencillos á D. Mariano Mollinedo, D. Manuel Yañez Montenegro, D</t>
  </si>
  <si>
    <t>Pareja, Antonio</t>
  </si>
  <si>
    <t>Antonio Pareja</t>
  </si>
  <si>
    <t>ardoqui, id., herido en el Sta. Ana: D. Ignacio Ol-aeta, segundo Comandante, herido en el Trinidad: D. Antonio Pareja, Comandante, herido en el Argonauta: D. Teodoro Argumosa, id., herido en el Monarca. Capitanes de Fragata. D. Antonio Castaños, segundo Comandante, muerto en el Montañés: D. Franc</t>
  </si>
  <si>
    <t>Pareja, Manuel</t>
  </si>
  <si>
    <t>Manuel Pareja</t>
  </si>
  <si>
    <t>e de artes y olicios , y son los que siguen: Una medalla de plata de 4 onzas, y 240 rs. en dinero á D. Manuel Pareja, maestro de la Real fábrica de texidos de Brihuega, autor de la cartilla ó arte elemental del fabricante dé paños; otras 2 medallas de plata de 4 onzas cada una á D. Juan Bautista</t>
  </si>
  <si>
    <t>Parmentier</t>
  </si>
  <si>
    <t>rteneciente al dia 10 de Octubre.'Contiene noticias acerca de la pintada ó gallinaza de Indias, por Mr. Parmentier; carta á los editores acerca del Anti-Qúixote; mt modo de pensar sobre el matrimonio; noticia que ha remitido, con fecha de 20 de Setiembre último, á los editores el autor del nue</t>
  </si>
  <si>
    <t>Parra, Miguel</t>
  </si>
  <si>
    <t>Miguel Parra</t>
  </si>
  <si>
    <t>Subtenencia de granaderos á D. Fermín Albares; de fusileros á IX Dámaso Mesa, D. Marcelo Sanabria , Don Miguel Parra, D. Josef Mesa, D. Mariano Cosío, D. Pascual Zárate; y de bandera á D. Gregorio Olivera: la Tenencia Coronela del de caballería de Chancay al Marques de Casa-Boza: Compañía en el</t>
  </si>
  <si>
    <t>Parreño, Antonio</t>
  </si>
  <si>
    <t>Antonio Parreño</t>
  </si>
  <si>
    <t>o, y D. Mateo Burguera; y en los de la Corona, Sevilla, León y el expresado de Málaga.á los Cadetes D. Antonio Parreño, D. Francisco Benmidez de Castro, D. Manuel de la Iglesia Smith, y D. Saturnino Figueroa, que lo era del de Cantabria. El Rey se ha servido promover á Capitán segundo en el Regimi</t>
  </si>
  <si>
    <t>Parreu, Antonio</t>
  </si>
  <si>
    <t>Antonio Parreu</t>
  </si>
  <si>
    <t>arragona ,, 66. 12» Antonio Parreu.........Josef. .... Maria Argenten . . Pratdit, ,,,,. Montblanc,, 66. 12» Francisco Vidal......... Antonio... Teresa Mabar. . .. Juncadella,</t>
  </si>
  <si>
    <t>Partouneaux, General</t>
  </si>
  <si>
    <t>General Partouneaux</t>
  </si>
  <si>
    <t>instante: la división de los cazadores montados del mando del General Espagne, la de granaderos del General Partouneaux, la reserva de caballería mandada por el General Monnet y la división del General Moiitor entraron por Veroneta, y se dirigiéron á la carretera de S. Miguel, donde los Austríacos</t>
  </si>
  <si>
    <t>ninguna cosa al acaso envió* á; marchas forzadas al Piaye la división de granaderos mandada-por el General Partouneaux, dos brigadas de las divisiones Duhesme y Seras* la, divi^, sion dbi c^jía.c^roS ;y unabbri^dar4^ dragones: los granaderos debían ^ubir eLPiaye por el.-^^cO; deF ManyélLo;, y toma</t>
  </si>
  <si>
    <t>Pascual Aguilar</t>
  </si>
  <si>
    <t>Pascual Aguilar...... Hijo de Antonio, natural de Roden en Ara-1</t>
  </si>
  <si>
    <t>Pascual Alpuente</t>
  </si>
  <si>
    <t>[la de Lietor á D. Pascual Alpuente: para la de Usagre á D. Francisco Sanz de la Peña, ambas de primera clase ó entrada: para la «JeTarancon, de segunda clase, y nueva creación,, á D. Onésimo Ruiz Martínez, todas tr</t>
  </si>
  <si>
    <t>Pascual Barradas, Antonio</t>
  </si>
  <si>
    <t>Antonio Pascual Barradas</t>
  </si>
  <si>
    <t>ido el Rey á Alférez al Exento D. Francisco Manuel de Villena; á Exento de número al supernumerario D. Antonio Pascual Barradas; á supernumerario al Brigadier D. Antonio Ruano; á Brigadier al Subrigadier D. Diego Oviedo.; á Subrigadier al Cadete D. Tomas Castilla; á Cadete de número al supernumerario D. Jo</t>
  </si>
  <si>
    <t>Pascual Bayot, Antonio</t>
  </si>
  <si>
    <t>Antonio Pascual Bayot</t>
  </si>
  <si>
    <t>*99 servían D. Antonio Pascual Bayot y D. Josef Antonio Solana. Introducción al estudio de la Astronomía física, escrita en francés por Mr. Cousin, traducida por D. Pedro Ziriza, á 30 rs. en pasta. Uranografía, ó Descrip</t>
  </si>
  <si>
    <t>Pascual Casales, Pedro</t>
  </si>
  <si>
    <t>Pedro Pascual Casales</t>
  </si>
  <si>
    <t>s, territorio de la .Orden de Santiago, á D. Juan Antonio Do«oso: para la de la villa de:Castuera á D. Pedro Pascual Casales: para la .de l Gobierno de Valenc ia de Alcántara á D. Fi an cisco Garacciolo Perez, ambas en el territorio de la Orden de Alcántara; y para La de la villa de S. Mateo, en el de l</t>
  </si>
  <si>
    <t>Pascual de Mateo, Félix</t>
  </si>
  <si>
    <t>Félix Pascual de Mateo</t>
  </si>
  <si>
    <t>ervido nombrar para la Dignidad de Arcediano dé la Catedral de Panamá, vacante por fallecimienta de D. Félix Pascual de Mateo, á D. Tomas Baxo y Ozerin:. para la Chantría que este dexa á D. Pe</t>
  </si>
  <si>
    <t>Pascual Díaz Ximenez</t>
  </si>
  <si>
    <t>es nuevos de dicha Catedral de^Toledo, vacante por fallecimiento de D. Ignacio Mellizo y Alvarez, a D. Pascual Díaz Ximenez, Teniente do Cura de la Iglesia dé Alpagés del Real Sitio</t>
  </si>
  <si>
    <t>Pascual Enrile</t>
  </si>
  <si>
    <t>dante de los Tercios navales del Dé-r partamento de Ferrol; y el de Teniente de Navio al de Fragata D. Pascual Enrile, Comandante del bergantín Prueba y de las fuerzas sutiles de Bar-* Celona. Ai Marques de la Solana, en premio de su mérito y actividad, sirt lá qual no hubieran llegado á efecto v</t>
  </si>
  <si>
    <t>Pascual Ferrer, Ventura</t>
  </si>
  <si>
    <t>Ventura Pascual Ferrer</t>
  </si>
  <si>
    <t>ervido nombrar para el empleo de Oficial Real Contador de las Caxas Reales de Cartagena de Indias á D. Ventura Pascual Ferrer. Epítomes de la colección de Varones ilustres de ía nación Española, cuyos nombres se expresan en la noticia de las estampas de la Real Calcografía, que va á continuación. Van pub</t>
  </si>
  <si>
    <t>Pascual Hernández</t>
  </si>
  <si>
    <t>ido un aprecio muy particular de los concurrentes. : Salamanca 2$ de Setiembre. Pascual Hernández, natural y vecino del lugar de Parada de Rubiales, de la provincia y jurisdicción de esta ciudad, de edad de 31 años, temperamento sanguíneo y bilioso, de cuerpo bastante fornido y robusto</t>
  </si>
  <si>
    <t>Pascual Martín</t>
  </si>
  <si>
    <t>IJ. IJ. Pascual Martin..... Hijo de Manuel y de María Bravo, na­</t>
  </si>
  <si>
    <t>Pascual Maupoey, Tomás</t>
  </si>
  <si>
    <t>Tomás Pascual Maupoey</t>
  </si>
  <si>
    <t>e Teniente Coronel; á Capitán primero D. Juan Sociats, Capitán segundo; y á este empleo el Teniente D. Tomas Pascual Maupoey. S. M. ha conferido en los Regimientos provinciales empleo de Sargento Mayor del dé Badajoz á D. Francisco Texta, Capitán dél de infantería de Sabóya: Compañías'dé granaderos en l</t>
  </si>
  <si>
    <t>Pascual Puyol</t>
  </si>
  <si>
    <t>Id. Bomb. Pascual Puyol...... Hijo de Josef y de Catalina Roca, na­</t>
  </si>
  <si>
    <t>Pascual Rodenas</t>
  </si>
  <si>
    <t>decasílabos á la educación de la infancia: D.Domingo Baquer una oda á Mercurio y contra el egoísmo: D. Pascual Rodenas otra en celebridad de la junta pública: y se concluyó leyendo D. Josef de la Cerda y Palafox una anacreóntica dirigida á los niños premiados. Madrid i.° de Enero de j80g. Ayer se</t>
  </si>
  <si>
    <t>Pascual Toledo</t>
  </si>
  <si>
    <t>Romero; Tenencia de granaderos á D. Juan Estevez,y de fusileros á D. Tomas Carreri,D. Juan Anglés, Don Pascual Toledo, D. Manuel Carpió, D. Francisco Grambel,D. Josef Cordero, D. Ramón Oviedo y D. Juan Cornejo; Subtenencia de granaderos á D. Miguel San Román, y de fusileros á D. Julián Antezana,</t>
  </si>
  <si>
    <t>Pascual Zárate</t>
  </si>
  <si>
    <t>usileros á IX Dámaso Mesa, D. Marcelo Sanabria , Don Miguel Parra, D. Josef Mesa, D. Mariano Cosío, D. Pascual Zárate; y de bandera á D. Gregorio Olivera: la Tenencia Coronela del de caballería de Chancay al Marques de Casa-Boza: Compañía en el de Chota á D. Manuel Bernal : el Regimiento de Caman</t>
  </si>
  <si>
    <t>Pascual, Miguel</t>
  </si>
  <si>
    <t>Miguel Pascual</t>
  </si>
  <si>
    <t>, también cursante en Cánones, de Trigonometría y Geometría práctica: D. Mateo Palacio, de Algebra: D. Miguel Pascual, cursante en Leyes, de la aplicación del Algebra á la Geometría: D. Luis María de Cistué, Maestro en Artes, Caballero de la Real y distinguida Orden Española de Cirios ni, de Hidr</t>
  </si>
  <si>
    <t>Pasquini, Tomás</t>
  </si>
  <si>
    <t>Tomás Pasquini</t>
  </si>
  <si>
    <t>. Rafael de la Puente; y Subtenencia de bandera en el de Hibernia al Sargento primero de granaderos D. Tomas Pasquini. S. M. se ha servido conceder Subtenencias de bandera en el Regimiento de infantería de Hibernia al Cadete D. Josef María Rosas ; y en el de Málaga á los Cadetes del Fixo de Zeuta</t>
  </si>
  <si>
    <t>Pastor, Estéban</t>
  </si>
  <si>
    <t>Estéban Pastor</t>
  </si>
  <si>
    <t>ia, Valladolid, Truxillo y Ronda, Tenencias de fusileros á los Subtenientes D. Gerónimo Valladares, D. Estéban Pastor, Don Santos Rábago, D. Josef Martinez Henao, y al Teniente agregado Don Ignacio Simó: en el de Lorca la Subtenencia de granaderos al Subteniente de fusileros D. Joaquín Chico;y en</t>
  </si>
  <si>
    <t>Patourneau, General</t>
  </si>
  <si>
    <t>General Patourneau</t>
  </si>
  <si>
    <t>la división de cazadores á caballo, á las ordenes del General Espagne, la de granaderos, á las del General Patourneau, la reserva de caballería, mandada por el General Mennet, ^ la 3.adivisión por el General Molitor, han atravesado Veronneta, encaminándose hácia el camino real de S. Miguel, donde</t>
  </si>
  <si>
    <t>Patriarca Griego</t>
  </si>
  <si>
    <t>ellos cargan. Griegos, Judíos,Cristianos son oprimidos de un modo horrible : el Patriarca Griego ha huido del Cayro. Es increíble la aparia de estos desgraciados habitantes,diariamente vexados y muertos hasta en ios umbrales de sus casas, despojados de tod</t>
  </si>
  <si>
    <t>dos á Bucharest, y de allí pasáron á esta capital, y se han alojado en casa del Patriarca Griego. Ya han entablado su pretensión, que no puede concillarse de modo alguno con la dignidad y los intereses de S. A. Una de las cosas que solicitan es que la Serv</t>
  </si>
  <si>
    <t>Patricio Bouiger</t>
  </si>
  <si>
    <t>, difuntos; para lo qual, hasta fin de Setiembre próximo, acudirán ios que las quieran, en Madrid á D. Patricio Bouiger, calle de S. Andrés, núm. ó, y en Mon-beltran á D.Gregorio Rodríguez,que darán razón de las condiciones, y demas que se desee saber. Se halla vacante la plaza de Médico de la vill</t>
  </si>
  <si>
    <t>Patricio Boulgér</t>
  </si>
  <si>
    <t>egas dé‘tierra de labor, y el monte anexo; Quién quisiere tratar de ajuste, acudirá en esta Corté á D. Patricio Boulgér, que vive calle dé S. Andrés, núm. 6, y en Mombeltran á D. Gregorio Rodríguez, Administrador del correo, en todo el presente mes. En la librería de Campo, calle de Alcalá, se hall</t>
  </si>
  <si>
    <t>Patricio de Berguizas, Francisco</t>
  </si>
  <si>
    <t>Francisco Patricio de Berguizas</t>
  </si>
  <si>
    <t>ier Duran, Ministro de la Sala de Alcaldes de Casa y Corte. Asimismo lia venido S. M. en conceder a D. Francisco Patricio de Berguizas, en atención á sus méritos, y circunstancias, honores de su Consejo, en los mismos términos que los. tienen Los Auditores del Tribunal de la Rota de la Nunciatura. Habiendo resuel</t>
  </si>
  <si>
    <t>Patricio ODughan</t>
  </si>
  <si>
    <t>nfantería de Hibernia y Voluntarios de Estado á los Tenientes de grana Jeros, graduados de Capitán, D. Patricio ODughan y D. Josef Rivert: Tenencias</t>
  </si>
  <si>
    <t>Patricio Prieto</t>
  </si>
  <si>
    <t>fixo del Reyno de Nueva•España, se ha servido el Rey promover á 'Capitán al Teniente de granaderos D. Patricio Prieto; á Teniente de granaderos al de fusileros D. Andrés Vivas; á Teniente al Subteniente de granaderos D. Pedro Góngora; á Sub* teniente de granaderos al de fusileros!).Francisco de F</t>
  </si>
  <si>
    <t>Patricio Yangíie</t>
  </si>
  <si>
    <t>endiol 300 pesos fuertes por sí, y 200 dichos por parte de su hermano: á la Señora Meñaca, viuda de D. Patricio Yangíie, 200 pesos fuertes poco mas ó menos: á D. Pedro de Robles 500 pesos: á Doña Luisa Polo de Aguila 300: al Marques de Santacos, vecino de la villa de Mompós, 150 pesos, procedentes</t>
  </si>
  <si>
    <t>Paul</t>
  </si>
  <si>
    <t>ados. GRAN BRETAÑA. Londres i.Q de Julio ; En la Junta del 25 de Junio de la Cámara de los Comunes, Mr. Paul íecordó una propuesta , que debía hacer sobre la conducta del Marques de WeMesiey en la India. ,, Aunque este personage, dixo, tenga amigos poderosos , y mucha influencia en la Cá</t>
  </si>
  <si>
    <t>ndo cogido los Franceses un paquete que venia de la India* seria imposible satisfacer los deseos de Mr. Paul , por quanto era muy probable que dichos documentos se hallasen entre los que habia interceptado el enemigo. Mr. Francis miró como cosa muy extraordinaria que el Gobierno no tuvie</t>
  </si>
  <si>
    <t>Paulina Vicente</t>
  </si>
  <si>
    <t>nieros, . S. M. ha promovido á Teniente de la Brigada, dé carabinero? Reales aí Alférez de la misma D, Paulina Vicente, S. M. se ha servido conferir Compañía en el Regimiento de infantería de Guadálaxara al Ayudanter graduado de Capitán, D, Rafael de Lianza? Tenencias en los de Granada,-Voluntario</t>
  </si>
  <si>
    <t>Paulino Deza</t>
  </si>
  <si>
    <t>stro, y de fusileros á D. Pedro Bustinza, D. Vicente Béjar, D. Manuel Céspedes, D. Higidio Mariaca, D. Paulino Deza, D. Eugenio Dueñas , D. Pedro Cegarra , D. Mariano García Romani; y Subtenencias de bandera á f). Simón Aguirre y D. Gregorio Santander. En el Batallón de nueva creación de Milici</t>
  </si>
  <si>
    <t>Paulino Rodríguez Mutiosabal</t>
  </si>
  <si>
    <t>ana, respondiendo con conocimiento y oportunidad. Se adjudicaron ocho premios á D. Pedro de Guinea, D. Paulino Rodríguez Mutiosabal, D. Josef Joaquin de Vera, D. Joaquín de Garay Artabe, Don Lucas Cano, D. Juan Cano, D. Matías Angulo, y el octavo se sorteo entre D. Antonio Hernando Cárabes, D. Miguel Arguelles</t>
  </si>
  <si>
    <t>Paulino Roxas</t>
  </si>
  <si>
    <t>Cuenca , I). Faustino Aragón, D. Juan de Dios Camborda, Don Josef Bobadilla, D. Silverio Mogrovejo, D. Paulino Roxas, D. Tomas Herencia, D. Josef Perez del Portillo, D. Simón Aguirre y D. Manuel Oreilana; el empleo de Alférez de granaderos á D. Casimiro Contreras; y sencillos á D. Miguel Riquelm</t>
  </si>
  <si>
    <t>Paulo, Príncipe</t>
  </si>
  <si>
    <t>Príncipe Paulo</t>
  </si>
  <si>
    <t>astillo de Asper^. El delito que se les atribuye es el haber representado contra varias ordenes del Príncipe Paulo, hijo segundo del Elector, que es General de las tropas de su padre. Se han mirado sus representaciones como una desobediencia formál.</t>
  </si>
  <si>
    <t>PawJowitsch, Miguel (duque)</t>
  </si>
  <si>
    <t>Duque Miguel PawJowitsch</t>
  </si>
  <si>
    <t>nstantinopla. * RUSIA. , Petersburgo r$ de Febrero. El 8 del corriente, día del cumpleaños del Gran Duque Miguel PawJowitsch, se vistió la Corte de gala, hubo besamanos, y al uso de la Rusia el EmperadorÁlexandro ciño por primera vez la espada á su hermano el Gran Duque Mague!El 12 paso revista el Emper</t>
  </si>
  <si>
    <t>Payeras, Antonio</t>
  </si>
  <si>
    <t>Antonio Payeras</t>
  </si>
  <si>
    <t>, de la propia Diócesi, unido con otro de la misma Iglesia, vacante por muerte de D. Matías Pons, y D. Antonio Payeras, á D. Luis Ripoll: para otro Beneficio eclesiástico fundado en la Parroquial de Santa Eulalia de Palma, Diócesi de Mallorca, y unido con otros 6, también vacantes en la misma Parr</t>
  </si>
  <si>
    <t>Payés y Font, Juan</t>
  </si>
  <si>
    <t>Juan Payés y Font</t>
  </si>
  <si>
    <t>ción de Milicias disciplinadas de Goatemala se ha dignado el Rey conceder 'Compañía de granaderos á D. Juan Payés y Font, y de fusileros á D. Josef Ignacio Larrazabal y D. Antonio Batres y Asturias; Tenencia de grariaderos á D. Ramón de Zelaya, y de fusileros á D. Leonardo Josef Jáuregui ,D. Antonio</t>
  </si>
  <si>
    <t>Payo, Pedro</t>
  </si>
  <si>
    <t>Pedro Payo</t>
  </si>
  <si>
    <t>ente D. Juan Carvajal; y á Subteniente de bandera en el de Toledo al Sargento primero de granaderos D. Pedro Payo. En América. £1 Rby se ha dignado conceder la Tenencia Coronela deFRegimiento de infantería Real de Lima al Comandante de su tercer •batallón, graduado de Coronel, D. Angel de Fue</t>
  </si>
  <si>
    <t>Pazr, Manuel</t>
  </si>
  <si>
    <t>Manuel Pazr</t>
  </si>
  <si>
    <t>ontevedra á los Tenientes D. Francisco García Bernarda, D. Manitel de Gracia, D» Francisco Arráez y D. Manuel Pazr á Tenientes de granaderos en los de Sevilla y Ecija á los de fusileros D. Josef Vejarano y D. Antonio Pareja: á Teniente de fusileros en el de Ronda al Subteniente de granaderos D</t>
  </si>
  <si>
    <t>Pbipps</t>
  </si>
  <si>
    <t>María hacen ios honores. De este modo pasa el Rey su vida, y emplea ?as 15 horas que no duerme. El Dr. Pbipps le ha prohibido todo trabajo penoso, y una grande atención de espíritu; de modo que el Rey no se ocupa de la guerra actual , como si no la hubiese. Pero Mr. Pitt se ocupa de ella,</t>
  </si>
  <si>
    <t>Peaguda, Pedro</t>
  </si>
  <si>
    <t>Pedro Peaguda</t>
  </si>
  <si>
    <t>ellán de Coro de la misma Catedral: para una Ración de la Catedral de Orense, vacante por muerte de D. Pedro Peaguda, y por haberla renunciado ántes de tomar posesión D. Luis Antonio Taboada y Ulloa , á D. Gregorio Perez Verea; y para un Beneficio de la Parroquial de S. Bartolomé de Carmona, en</t>
  </si>
  <si>
    <t>Pedrb de Astrearena</t>
  </si>
  <si>
    <t>rer desde el 22 de este mes. Para hacer pago á los acreedores de la ocurrencia á los bienes del Sri D. Pedrb de Astrearena, Marques que fué de Muríllo, y en conformidad de lo que'acordaron en junta general, que celebraron en 3 de Julio de 1804, se ha mandado sacar á pública subasta, por término de 30</t>
  </si>
  <si>
    <t>Pedrb Godiel</t>
  </si>
  <si>
    <t>, D. Josef Mendez, D. Matías Aguirre, D. Mariano Llanos, D. Lorenzo Portugal, D. Francisco Gamarra, D. Pedrb Godiel, D. Juan de Dios Va'dés, D. Matías Velazquez, D. Diego Mexía, Don Vicente Bellido y D. Diego Felipe Cevallos; y de Portaguiones á D. Pablo Portugal y Cevallos, D. Martin Pacheco,</t>
  </si>
  <si>
    <t>Pedro Antonio</t>
  </si>
  <si>
    <t>Estado, el Cónsul de S. M. en Pcrtcíongon, jy Máximo Gasperi; se da esta noticia á sus dos hermanos D. Pedro Antonio y D Josef María Henrique Cito y Bravo, que parece residen en España , empleados en el Real servicio, v cuyo destino se ignora, para que puedan acudir al referido Cónsul con los documentos que estimen convenientes, al</t>
  </si>
  <si>
    <t>Pedro Carlos</t>
  </si>
  <si>
    <t>e año, honrando este acto con su presencia' el Príncipe Regente, el Príncipe de Beyra, y el Infante D. Pedro Carlos. Después de un breve y elegante discurso del Duque de Lafoens, Presidente perpetuo de la Academia, leyeron el Brigadier Custodio Gómez de Villas-Boas la noticia de quatro observac</t>
  </si>
  <si>
    <t>Pedro Martín</t>
  </si>
  <si>
    <t>Pedro Martin. Hijo dé Ambrosio , nat. de Aranzina en Cas*} .</t>
  </si>
  <si>
    <t>PedroFaurie</t>
  </si>
  <si>
    <t>Larraondo; ,en 'Barcelona D. Gerónimo Jacchella, cálle de la Palma de S. Justo* núm. 4 : enValencia D. PedroFaurie:en Murcia los.Sres. Valeñce. y sobrinos: en Cartagena D. Hchrique Fauson y . compa-, nía: en Alicante D. L.; Jrouchaud; en, G ranada-D. Juan Manuel García de Tejada y compañía; en</t>
  </si>
  <si>
    <t>Pedro’ Antoñio' Sanchez</t>
  </si>
  <si>
    <t>de 1500 reales vellón, depositados en la tesorería.de este*Cuerpo patriótico por el Socio de mérito'Don Pedro’ Antoñio' Sanchez , Canónigo de la Santa Iglesia Metropolitana de;Santiagov para el que en una memoria desempeñe mejor el problélniaisiguiente:: qué in-&lt; fluencia podrán tener en las riquezas y cos</t>
  </si>
  <si>
    <t>Peiro del Rio, Santiago</t>
  </si>
  <si>
    <t>Santiago Peiro del Rio</t>
  </si>
  <si>
    <t>r. D. Victoriano López Gonzalo, que lo es de Cartagena, y natural de aquel Señorío, 4©; su Familiar D. Santiago Peiro del Rio 1©; la Marquesa de Viliel, veci X10 \Í Barcelona, 32c, ademas de haberse subsv crito por 12 rs. diarios para la sopa económica; el Presbítero D. Manuel Escolano, por encargo de pe</t>
  </si>
  <si>
    <t>Pellicer de la Torre, Antonio</t>
  </si>
  <si>
    <t>Antonio Pellicer de la Torre</t>
  </si>
  <si>
    <t>ido nombrar para una plaza de Oidor de la Real Audiencia de Cataluña , vacante por fallecimiento de D. Antonio Pellicer de la Torre , á D. Josef María Fernandez de Córdoba, Alcalde del Grí—* mea-mas antiguo de la* misma Audienciaf y para esta resulta á D. Do-; mingo Dueñas y Castro. * ''■* En atención áTos gra</t>
  </si>
  <si>
    <t>Pellicer, Juan Antonio</t>
  </si>
  <si>
    <t>Juan Antonio Pellicer</t>
  </si>
  <si>
    <t>tfewille, Predicador de Luis xv, Rey de Francia, y dedicados á Luis xvi, traducidos del francés por D. Juan Antonio Pellicer, Bibliotecario de S. M., y Académico de número.de la Real Academia, fistos Sermones fuéron recibidos en Francia con tal aplauso,' ¿jue en un año se hiciérpn 3 impresiones. Consta</t>
  </si>
  <si>
    <t>Peña, Francisco</t>
  </si>
  <si>
    <t>Francisco Peña</t>
  </si>
  <si>
    <t>nuel Travanino, Subtenientes del mismo Cuerpo; y á Subtenientes de bandera á los Sargentos segundos D. Francisco Peña,yI)on Brígido Valdés. í^ £1 Sr. D. Sebastian de Torres, dei Consejo Real, ha señalado el dia 16 del corriente para dar principio á las lecciones dei duodécimo curso del lenguage g</t>
  </si>
  <si>
    <t>Peñas Franco, Rafael</t>
  </si>
  <si>
    <t>Rafael Peñas Franco</t>
  </si>
  <si>
    <t>* ■« Y Obispado de Cuenca, vacante por fallecimiento de D. Fernando Orta y Arcos , á D. Rafael Peñas Franco, relevando al poseedor del Curato de Villarubio, en la misma Diócesis, de la pensión de 3® reales con que le está contribuyendo desde que lo renunció ; y para el Préstamo de Sta.</t>
  </si>
  <si>
    <t>Peñuñuri, Manuel</t>
  </si>
  <si>
    <t>Manuel Peñuñuri</t>
  </si>
  <si>
    <t>iente D. Tomas Beña; á Teniente al Alférez: D. . Francisco Xavier Quintana; á Alférez al Portaguión D. Manuel Peñuñuri , y á Portaguiones á D. Benito Fuentes y D. Bernardo Lexarza. El Mereuria.de. España de, 30.de Setiembre ,, cúm. i&amp;r se hallara en el despacho de la Imprenta Real; en el Real Siti</t>
  </si>
  <si>
    <t>Peradejordi, Juan Pablo</t>
  </si>
  <si>
    <t>Juan Pablo Peradejordi</t>
  </si>
  <si>
    <t>ecucion de las diferentes piezas de hierro que entran en la composición de la máquina. El calderero D. Juan Pablo Peradejordi tuvo á su cargo la formación de la caldera, va*os de alambre, inflexión de tubos, y'lo demas perteneciente á este ramo; y el carpintero D. Antonio Pujadas, sobre haber trabajado e</t>
  </si>
  <si>
    <t>Perales, Gregorio</t>
  </si>
  <si>
    <t>Gregorio Perales</t>
  </si>
  <si>
    <t>, D. Nicolás Perales y D. Esteban Perales ; y de Portaguiones á D. Juan Cáceres, D. Mariano Pinedo, Don Gregorio Perales y D. Matías Perlado. Igualmente se ha servido S. M. conferir Compañía en el esquadron de dragones Vblüntarios del Corozal, én el Reyno de Santa Fe, al Teniente D. Pedro Josef de la Os</t>
  </si>
  <si>
    <t>Perales, Nicolás</t>
  </si>
  <si>
    <t>Nicolás Perales</t>
  </si>
  <si>
    <t>güeyro., D. Isidro Miranda, D. Mariano Sánchez, D. Angel Santa María Perez, D. Santiago Montesinos, D. Nicolás Perales y D. Esteban Perales ; y de Portaguiones á D. Juan Cáceres, D. Mariano Pinedo, Don Gregorio Perales y D. Matías Perlado. Igualmente se ha servido S. M. conferir Compañía en el esquadr</t>
  </si>
  <si>
    <t>Perales, Vicente</t>
  </si>
  <si>
    <t>Vicente Perales</t>
  </si>
  <si>
    <t>ierno del Real Sitio de S. Lorenzo, vacante por fallecimiento del Brigadier de los Reales exércitos D. Vicente Perales. En América. En el Regimiento de infantería de la Luisiana se ha servido el Rey promover á Capitán de granaderos al de fusileros, graduado de Teniente Coronel, D. Francisco Collel</t>
  </si>
  <si>
    <t>Percival</t>
  </si>
  <si>
    <t>caballería, que vienen de los Condados meridionales, y se les hará muy pronto su interrogatorio. El Dr. Percival acaba de publicar un tratado acerca de los remedios que deben administrarse por el pronto á las personas mordidas de animales rabiosos: aconseja lavar la parte mordida con agua ca</t>
  </si>
  <si>
    <t>Peregrina Gosalbó</t>
  </si>
  <si>
    <t>s D. Luis Kicola, D. Miguel Cabellos, D. Vicente Tortilla, D. Ensebio Carda, D. Juan Bautista Cruz, Doña Peregrina Gosalbó, Doña Teresa Lamaneta y Doña Manuela Lamaneta. Después recitáron los niños quatro letrillas en acción de gracias. Leyó una oda D. Esteban Chaix; y el Señor Presidente el Coronel D</t>
  </si>
  <si>
    <t>Pereyra, Juan</t>
  </si>
  <si>
    <t>Juan Pereyra</t>
  </si>
  <si>
    <t>e por promoción de D. Josef Rebellón al Curato de S. Salvador de Boadilla, en la propia Diócesis, ú Don Juan Pereyra,con igual carga de residencia personal y de ayudar al Párroco; y para la Prestamera de la villa de Villanueva de Escuderos, en la Diócesis de Cuenca, vacante por fallecimiento de</t>
  </si>
  <si>
    <t>Pereyra, Juan Manuel</t>
  </si>
  <si>
    <t>Juan Manuel Pereyra</t>
  </si>
  <si>
    <t>gera se ha, servido igualmente S. M. promover á Ayudante en ei de cazadores de la Reyna al Teniente Don Juan Manuel Pereyra: á Teniente en el de cazadores de Átmansa ai Alférez D. Antonio Salgado ; á Alféreces en el mismo Cuerpo, al Sargento primero D. Josef Gutiérrez , y á les Cadetes de los de cazado</t>
  </si>
  <si>
    <t>Pérez Álvarez, Francisco</t>
  </si>
  <si>
    <t>Francisco Pérez Álvarez</t>
  </si>
  <si>
    <t>lla Médico titular, y es el vecindario de 130 vecinos. Los pretendientes dirigirán sus memoriales á D. Francisco Perez Alvarez, Presbítero, Beneficiado curado, por Medina del Campo, Carpió. La provisión será para el dia 23 de Junio de este año. Memorial literario, ó Biblioteca periódica de ciencias y arte</t>
  </si>
  <si>
    <t>Pérez Arroyo, Félix</t>
  </si>
  <si>
    <t>Félix Pérez Arroyo</t>
  </si>
  <si>
    <t>alle. Tratado de las operaciones de la dentadura, y método para conservarla en el mejor estado, por D. Félix Perez Arroyo, Cirujano hernista que ha sido de los Reales hospitales de Madrid. Se incluyen en esta obra los medios para precaver la caries de los dientes, y cómo se deben conservar: un tomo e</t>
  </si>
  <si>
    <t>Pérez Biachoí, Andrés</t>
  </si>
  <si>
    <t>Andrés Pérez Biachoí</t>
  </si>
  <si>
    <t>referido Puenté para otra Canongía que ha vacado ahora en dicha Metropolitana por fallecimiento de D. Andrés Perez Biachoí para la Ración que este obtiene á D. Casimiro Mendez, Guardia de Corps de la Compañía Española: para la primera Ración de la Parroquia de la villa de Hinojosa de Duero, en la Dióc</t>
  </si>
  <si>
    <t>Pérez de Albeniz, Mateo Antonio</t>
  </si>
  <si>
    <t>Mateo Antonio Pérez de Albeniz</t>
  </si>
  <si>
    <t>ón metódica, especulativa y práctica para enseñar á cantar y tañer la música moderna y antigua, por D. Mateo Antonio Perez de Albeniz, Maestro de Capilla y Organista de la ciudad de S. Sebastian de Guipúzcoa: obra que ha merecido la atención de los sabios inteligentes, como muy útil para aprender la música instr</t>
  </si>
  <si>
    <t>Pérez de Arrieta, Joaquín</t>
  </si>
  <si>
    <t>Joaquín Pérez de Arrieta</t>
  </si>
  <si>
    <t>orden de matrícula son lot siguientes: D. Juan Asensio, cursante en Leyes, que diserto de Estática: D. Joaquín Perez de Arrieta , Maestro en Artes , y cursante en Cánones, del cálculo diferencial: D. Ramón Mateo, también cursante en Cánones, de Trigonometría y Geometría práctica: D. Mateo Palacio, de Algeb</t>
  </si>
  <si>
    <t>Pérez de Arroyo, Andrés</t>
  </si>
  <si>
    <t>Andrés Pérez de Arroyo</t>
  </si>
  <si>
    <t>Arroyo el empleo de Contador de Diezmos del Obispado de Popayan, vacante por jubilación de su padre D. Andrés Perez de Arroyo. No permitiendo las circunstancias de la guerra actual que las embarcaciones que han de conducir la correspondencia ultramarina salgan de los puertos que están señalados para tiem</t>
  </si>
  <si>
    <t>Pérez de Castro, Pedro</t>
  </si>
  <si>
    <t>Pedro Pérez de Castro</t>
  </si>
  <si>
    <t>id, traducidos ó parafraseados en¿ verso castellano por varios y diferentes metros: obra postuma de D. Pedro Perez de Castro. Se hallará en la librería de Munita, calle de las Carretas. Recuerdos á la vida mortal desde la cuna al sepulcro en 15 edades, adaptadas á sus láminas en metro poético: un cuader</t>
  </si>
  <si>
    <t>Pérez de Guzman, Alonso</t>
  </si>
  <si>
    <t>Alonso Pérez de Guzman</t>
  </si>
  <si>
    <t>ei partido posible á favor de las buenas costumbres; é incluye la historia verdadera de la vida de Don Alonso Perez de Guzman el Bueno, cuyo prodigioso heroísmo es bien conocido de la nación, quien al mismo tiempo carecía de la noticia exacta y puntual de las demas virtudes políticas y militares de un pers</t>
  </si>
  <si>
    <t>Pérez de Santa María, Vicente</t>
  </si>
  <si>
    <t>Vicente Pérez de Santa María</t>
  </si>
  <si>
    <t>ación: para una Ración de la misma Iglesia, vacante por fallecimiento de D. Antonio Gómez Gamero, á D. Vicente Perez de Santa María: para una Canongía de la Colegial de Baeza, en la Diócesis de Jaén, vacante por fallecimiento de D. Josef Diego García de Ñera, á D. Juan de Campos, Cura de la Parroquial de S. Pa</t>
  </si>
  <si>
    <t>Pérez de Tejada, Vicente</t>
  </si>
  <si>
    <t>Vicente Pérez de Tejada</t>
  </si>
  <si>
    <t>eyrolon y compañía. EnValladolid....... Sres. D. Francisco Durango é hijo mayor. En Zamora......... D. Vicente Perez de Tejada. En Zaragoza........ D. Tomas de la Madrid. En Zeuta.................D. Pedro Huguet, comisionado subalterno del de Cádiz. El dia 18 de Abril próximo venidero se executará pública</t>
  </si>
  <si>
    <t>Pérez del Camino, Luis</t>
  </si>
  <si>
    <t>Luis Pérez del Camino</t>
  </si>
  <si>
    <t>95*5 .... el Alférez de Navio D. Luis Perez del Camino, y 107 heridos gravemente en cuyo púmero está incluso el Teniente de Voluntarios de la Corona Don Bernardo Corral y el Brigadier de Guardias Marinas D. Alexandro Rúa. He sabido qu</t>
  </si>
  <si>
    <t>d.: D. Ignacio del Valle id. Teniente de Bornbarela. D. Juan de Medina, muerto. Alféreces_de Navio. D. Luis Perez del Camino, muerto: D. Cayetano Picado id.: D. Ramón Echague id.: D. Pedro Nuñez, herido: D. Josef Losada id.: D. Pedro Brigloer id.: D. Manuel Huergo, contuso: D. Simón Londoño id.: D. Pedr</t>
  </si>
  <si>
    <t>Pérez del Viso, Nicolás</t>
  </si>
  <si>
    <t>Nicolás Pérez del Viso</t>
  </si>
  <si>
    <t>el Colegio de la de Sevilla; y para la Asesoría del Gobierno del Tucuman, vacante por jubilación de D. Nicolás Perez del Viso, á D. Victoriano Rodríguez, Catedrático de Instituía de la Universidad de Córdoba, y Abogado de la Audiencia de Charcas. Los baños de Sacedon, conocidos y acreditados desde la mas</t>
  </si>
  <si>
    <t>Pérez Faxardo, Antonio</t>
  </si>
  <si>
    <t>Antonio Pérez Faxardo</t>
  </si>
  <si>
    <t>iudad: para el Préstamo de Domingo Perez, en el Arzobispado de Toledo, vacante por fallecimiento de D. Antonio Perez Faxardo, á D. Josef Caruncho: para el Beneficio del lugar de Codorniz, en el Obispado de Avila, por promoción de D. Antonio Prieto á una Canongía de la Catedral de Cuenca, á D. Antonio Gu</t>
  </si>
  <si>
    <t>Pérez González, Francisco</t>
  </si>
  <si>
    <t>Francisco Pérez González</t>
  </si>
  <si>
    <t>en quisiere tratar de su ajuste, y enterarse de las cargas que sobre sí tiene, acuda á la tienda de D. Francisco Perez González, en la puerta del Sol. En 1798 falleció en la villa de Orcellon, provincia de Orense, D.Manuel Alvarez, Sargento que fué de Voluntarios blancos de la Havana, y por su testamento d</t>
  </si>
  <si>
    <t>Pérez López, Francisco</t>
  </si>
  <si>
    <t>Francisco Pérez López</t>
  </si>
  <si>
    <t>acante por promoción de Don Antonio Orduña á la Dignidad dé Tesorero de la Catedral de Plasencia, á D. Francisco Perez López, Teniente de-Cura de la Parroquia de San Juan de la misma ciudad, con carga de precisa personal residencia: para el de la villa de Mosto les, en el Arzobispado de Toledo^ vacante</t>
  </si>
  <si>
    <t>Pérez Peñuelas, Luis</t>
  </si>
  <si>
    <t>Luis Pérez Peñuelas</t>
  </si>
  <si>
    <t>qualquiera de las expresadas casas, acuda ante el citado Sr. juez, por la escribanía del número de D. Luis Perez Peñuelas. A voluntad de su dueño se vende una casa en el lugar de Getafs, calle de Vi-*</t>
  </si>
  <si>
    <t>del Sr. D. Manuel Vicente de Torres, Teniente Corregidor de esta villa, y escribanía del número de D. Luis Perez Peñuelas, se ha mandado sacar á pública subasta, por término de 30 dias contados desde el 18 de Noviembre próximo.pasado;, las casas-y tierras si-tas en'la población y término del lugar de</t>
  </si>
  <si>
    <t>Pérez Ruiz, Francisco</t>
  </si>
  <si>
    <t>Francisco Pérez Ruiz</t>
  </si>
  <si>
    <t>mple servidero de Sta. María del Mercado de la villa de Alburquerque., vacante por fallecimiento de D. Francisco Perez Ruiz, á D. Pedro de Vera y Pantoja, con retención de los dos Medios-Beneficios servideros que obtiene en la Parroquial de S. Mateo de la misma villa. El Rey se ha servido nombrar para</t>
  </si>
  <si>
    <t>Pérez Verea y Aguiar, Ramón</t>
  </si>
  <si>
    <t>Ramón Pérez Verea y Aguiar</t>
  </si>
  <si>
    <t>a: para una Canongía de la Catedral de Orense,. vacante por muerte de D. Lope Rodríguez Carrillo, a D. Ramón Perez Verea y Aguiar: para una Média-Racion de la Cátedra h de Ségovia ,; vacante per fallecimiento de D. Tomas Moreno, á Don Manuel Martínez del Arne: para el Beneficio dé la villa del Tiemblo^ Dióce</t>
  </si>
  <si>
    <t>Pérez Verea, Gregorio</t>
  </si>
  <si>
    <t>Gregorio Pérez Verea</t>
  </si>
  <si>
    <t>Pedro Peaguda, y por haberla renunciado ántes de tomar posesión D. Luis Antonio Taboada y Ulloa , á D. Gregorio Perez Verea; y para un Beneficio de la Parroquial de S. Bartolomé de Carmona, en ei Arzobispado de Sevilla, vacante por fallecimiento de D. Francisco Pizarro, á D. Juan Josef Freyre, Presbíte</t>
  </si>
  <si>
    <t>Pérez y Muro, Francisco</t>
  </si>
  <si>
    <t>Francisco Pérez y Muro</t>
  </si>
  <si>
    <t>Dufosat, el primero, segundo y quinto de granaderos; á Subtenientes de granaderos los.de fusileros D. Francisco Perez y Muro, D. Matias Cervera y D. Ffancisco Morejon ; á Subtenientes de Compañía los de oandera D. Esteban Folch, D. Carlos de Grand-pré, D. Juan Josef Bon , Don Antonio Balde ras, D, Arnal</t>
  </si>
  <si>
    <t>Pérez Zaragoza, Agustín</t>
  </si>
  <si>
    <t>Agustín Pérez Zaragoza</t>
  </si>
  <si>
    <t>a de Hinojosa de Duero, en la Diócesi de Ciudad-Rodrigo, vacante por muerte de D. Juan Luis Mato, á D. Agustín Perez Zaragoza: para el Beneficio simple servidero de la Parroquia de S. Lorenzo de la ciudad de Murcia, vacante por fallecimiento de D/Miguel Antonio de Ribera, á D. Ramón Ibargiien: para igual</t>
  </si>
  <si>
    <t>olegiata de Santa Fé, en el Arzobispado de Granada, por fallecimiento de D. Fernando Josef Calvo, á D. Agustín Perez Zaragoza, electo primer Racionero de la Parroquia de la villa de la Hinojosa de Duero, Diócesi de CiudadRodrigo; y para el Beneficio servidero de la Parroquial de Villatoro, en la de Avila</t>
  </si>
  <si>
    <t>Pérez, Antonio</t>
  </si>
  <si>
    <t>Antonio Pérez</t>
  </si>
  <si>
    <t>e la canción yo me caso: 3 dúos grandes á 2 flautas, de Pleyel; y 3 dúos á 2 violines, de Girovetz. D. Antonio Perez, profesor de Música en esta Corte, habiéndose esmerado en reunir las mejores obras para guitarra, así concertantes, como á solo, de los célebres autores extrangeros Caruli, Doysis</t>
  </si>
  <si>
    <t>Id. id. Antonio Perez..... Hijo de Juan y de Josefa Rodríguez, na­</t>
  </si>
  <si>
    <t>Id. Ayud. Antonio Perez..... FU jo de Fernando y de Josefa Bérmu-</t>
  </si>
  <si>
    <t>Pérez, Cayetano</t>
  </si>
  <si>
    <t>Cayetano Pérez</t>
  </si>
  <si>
    <t>ileros, graduado de Teniente Coronel, D. Francisco Collell; á Capitanes los Tenientes de granaderos D. Cayetano Perez, D. Pedro Palao y D. Vicente Fernandez Texéyro ; á Ayudante mayor el Teniente D. Juan Blanco; a Tenientes de granaderos los de fusileros D. Antonio Coudougnan, D. Rafael Croquer y</t>
  </si>
  <si>
    <t>Pérez, Diego</t>
  </si>
  <si>
    <t>Diego Pérez</t>
  </si>
  <si>
    <t>¿Diego Perez............ Hijo de Francisco, nat.de Penadas, Reyno!</t>
  </si>
  <si>
    <t>Pérez, Domingo</t>
  </si>
  <si>
    <t>Domingo Pérez</t>
  </si>
  <si>
    <t>T/opeñ ; D.' Francisco.Aguirre , D. Antonio Monasterio, Di Manuel Vito Rarbajosa, D. Josef Vázquez, D. Domingo Perez4 D. Antonio Roxásy Di Antonio* Claros, D. Alexo Fariñas, D. Santiago de Alboniga y‘Romero , Di Antonio María Vitoria Hernaez, D. Mamerto Vázquez, D. Antonio Castro; D.' Crisanto V</t>
  </si>
  <si>
    <t>Pérez, Francisco</t>
  </si>
  <si>
    <t>Francisco Pérez</t>
  </si>
  <si>
    <t>2 cuerpos y parte de 3 ídem, sita en la calle Real de la Almina, que linda por el Este con otra de D. Francisco Perez, tasada en 30,008 rs. 1 2 mrs. Otra en la propia ciudad, y callejón que nombran de Duarte, compuesta de dos cuerpos, que linda por el Sur con casas del mismo Señor, y por el Norte</t>
  </si>
  <si>
    <t>Pérez, Francisco Antonio</t>
  </si>
  <si>
    <t>Francisco Antonio Pérez</t>
  </si>
  <si>
    <t>egial de Uxijar, en el xArzobispado de Granada, vacante por fallecimiento de Don Mariano Navarro, á D. Francisco Antonio Perez. S. M. se ha servido conceder Ayudantías en los Regimientos de infantería de Guadalaxara y Toledo á los Tenientes D. Matías Cardona y Don Antonio Losada: Tenencia en el de Zamora</t>
  </si>
  <si>
    <t>Pérez, Joaquín</t>
  </si>
  <si>
    <t>Joaquín Pérez</t>
  </si>
  <si>
    <t>egimiento de dragones de España, fixo de México, se ha servido S. M. promover á Teniente al Alférez D. Joaquín Perez; á Alférez al Portaguión D. Josef Joaquín de Náxera, y á Portaguión al Cadete D. Josef Irala. . Habiendo salido del Ferrol el Teniente de Navio D. Fernando Freyre de Andrade con l</t>
  </si>
  <si>
    <t>Pérez, Juan</t>
  </si>
  <si>
    <t>Juan Pérez</t>
  </si>
  <si>
    <t>lexo Lessacier yD. Carlos de. Villers, y los Sargentos primeros. D. Diego Barredo, de granaderos, y D. Juan Perez. Por Real Provisión de los Señores del Supremo Consejo de Castilla de 30 de Setiembre de este año, se ha concedido facultad á la villa de Auto!, en la Rioja, para celebrar mercado</t>
  </si>
  <si>
    <t>Pérez, Juan Antonio</t>
  </si>
  <si>
    <t>Juan Antonio Pérez</t>
  </si>
  <si>
    <t>I11 acudirá á D. Juan Antonio Perez, vecino de Madrid*, *que vive en ia plazuela de la Cebada, baxo del hospital de la Latina, tienda de Dorador, quien manifestará todas las circunstancias y noticias necesarias para</t>
  </si>
  <si>
    <t>Pérez, Juan Bautista</t>
  </si>
  <si>
    <t>Juan Bautista Pérez</t>
  </si>
  <si>
    <t>egorio xnr, sobre la división de las Iglesias de Segorve y f Albarracin , inedita. == Carta del Sr. D, Juan Bautista Perez al Cabildo de: Segorve-, dándole cuenta de sus bulas y poderes para tomar posesión de aquel Obispado, inedita. =r Otra al Papa Clemente vm , en que tresta la obediencia á ,la Sill</t>
  </si>
  <si>
    <t>Pérez, Lucas</t>
  </si>
  <si>
    <t>Lucas Pérez</t>
  </si>
  <si>
    <t>Id. id. Lucas Perez......... Fíijo de Josef y de María Andrea de La­</t>
  </si>
  <si>
    <t>Pérez, Luis</t>
  </si>
  <si>
    <t>Luis Pérez</t>
  </si>
  <si>
    <t>Id. ¡d. Luis Perez............ Hijo de Esteban y de Isabel Menendez.</t>
  </si>
  <si>
    <t>Pérez, Manuel</t>
  </si>
  <si>
    <t>Manuel Pérez</t>
  </si>
  <si>
    <t>icho Cuerpo á Don Francisco Vidad , D. Manuel Concha, D. Josef Antonio la Cueva, Don Agustín Valer, D. Manuel Perez, D. Francisco Vargas, D. Narciso del Barrio y D. Bartolomé Aguirre: Capítan de carabineros del Regimiento de caballería de Milicias urbanas de loa á D. Juan García Lobera; Capitán</t>
  </si>
  <si>
    <t>Pérez, Nicolás</t>
  </si>
  <si>
    <t>Nicolás Pérez</t>
  </si>
  <si>
    <t>mprenta Real. Postillón extraordinario de Valencia, de agricultura, comercio, artes y ciencias, por D. Nicolás Perez, el Setabiense, Catedrático que fué de la Universidad de Valencia, y Socio de varias Academias. Este periódico empezó en la ciudad de Valencia, con el título de Correo de Valencia</t>
  </si>
  <si>
    <t>traducción del nuevo Robinson, en la librería de Baylo, calle de las Carretas. El Anti-Quixote, por D. Nicolás Perez, el Setabiense. Los subscriptores acudirán á recoger el tomo i.°, y se admite la subscripción al t.° en las librerías de' Esparza, puerta del Sol, y en la de Montero, calle de la</t>
  </si>
  <si>
    <t>Pérez, Salvador</t>
  </si>
  <si>
    <t>Salvador Pérez</t>
  </si>
  <si>
    <t>o único, para que fuera el primero que se vacunara; encargando al referido profesor de Medicina y á D. Salvador Perez, Cirujano titular de la referida villa, la continuación en extender este preservativo y la conservación de su fluido. Dichos profesores siguen tan laudable empresa, llevando un li</t>
  </si>
  <si>
    <t>Perignon, Mariscal</t>
  </si>
  <si>
    <t>Mariscal Perignon</t>
  </si>
  <si>
    <t>la Señora de honor de la Emperatriz: el Mariscal Kellerraann, llevando la corona de Cario Magno: el Mariscal Perignon, el cetro de Cario Magno: el Mariscal Lefebvre,la espada de Cario Magno: el Mariscal Bernadotte, el collar del Emperador: el Coronel General Beauharnais , el anillo de S. M.: ei M</t>
  </si>
  <si>
    <t>Perraut</t>
  </si>
  <si>
    <t>al Cuerpo Legislativo una obra intitulada: Principios generales del derecho civil privado, su autor Mr. Perraut, ex-miembro del Tribunado, y mandó que se depositase el exemplar en la biblioteca.__EL mismo dia se adoptó el proyecto de ley presentado el 23 de Enero, que pone á cargo de los em</t>
  </si>
  <si>
    <t>Perrone, Capitán</t>
  </si>
  <si>
    <t>Capitán Perrone</t>
  </si>
  <si>
    <t>avía el número de muertos y heridos, pero lo creo poco considerable. He sentido mucho Ja muerte del Capitán Perrone, Comandante del navio de S. M. el Intrépido. El Capitán Rolland del Atlas ha sido herido. Tendré el honor de dar cuenta mas exacta á V. E. sobre el particular &amp;c.” También da cuen</t>
  </si>
  <si>
    <t>Persa, Príncipe</t>
  </si>
  <si>
    <t>Príncipe Persa</t>
  </si>
  <si>
    <t>on quiéai: tuvo una lar-1* ga conferencia. &lt; &lt; -’ov, u:,; . ... t :r , Ha llegado a esta;capital un Príncipe Persa,; llamado Sedi-Ali, .d* edad de unos 45 años, -h -o.-.;,.. v. :c: - « . r" ' , T ' • ii HOLANDA. ' Haya 2 § de Julio. :„ : Nuestra última Gazeta se explica en estos términos: ,, P</t>
  </si>
  <si>
    <t>Pesser de Honduras, Capitán</t>
  </si>
  <si>
    <t>Capitán Pesser de Honduras</t>
  </si>
  <si>
    <t>ia separado del convoy del 15 al 22 de Enero. Se ha ¡do á pique el buque el Strangu, mandado por el Capitán Pesser de Honduras; pero la fragata la Sabiduría ha conseguido salvar la tripulación. Se han dado órdenes para construir en Portsmouth con la mayor prontitud dos fragatas nombradas Apolo y Alexandro</t>
  </si>
  <si>
    <t>Pestalozzi</t>
  </si>
  <si>
    <t>las Rusias ha mandado establecer en sus dominios el nuevo método de educación que dispuso en Suiza Mr. Pestalozzi, luego que se presenten en sus éstados sugetos competentemente instruidos para enseñarlo. Ya se hallan de venta en S. Petersburgo los 5 primeros tomos de las obras de educación de</t>
  </si>
  <si>
    <t>Petro del Campo</t>
  </si>
  <si>
    <t>ctae sunt Christophori Cellarii adnotationes. Editio secunda Matritensis aucta, longeque correcta á D. Petro del Campo et Lago, Philosoph. ac sacr. Theolog. ex profess. nunc humanor. literar. moderat necnon Reg. Latín. Matrit. Acad. Socio: un tomo en 8.° mayor. Se hallará'en las librerías de esta Co</t>
  </si>
  <si>
    <t>Peyer, Francisco</t>
  </si>
  <si>
    <t>Francisco Peyer</t>
  </si>
  <si>
    <t>o al Teniente D. Benito Weyman; á Teniente al Subteniente D. Jacobo Bueller; á Ayudante al Teniente D. Francisco Peyer: en el ele Reding á Capitán segundo al Teniente de granaderos D. Antonio Mabillard. En el Real Cuerpo de Artillería se ha servid© S. M* nombrar Ayudante mayor del quinto Regimient</t>
  </si>
  <si>
    <t>Peynado, Luis</t>
  </si>
  <si>
    <t>Luis Peynado</t>
  </si>
  <si>
    <t>ombrar para una Ración de la Catedral de Sigiienza; vacante por fallecimiento de D. Manuel Rubio, á D. Luis Peynado, Cura Párroco del lugar de Trillo, en aquella Diócesis*, para una MediaRación de la Catedral de Málaga, vacante por muerte de D. Salvador Raudo, á D. Juan Rosales Sánchez: para el</t>
  </si>
  <si>
    <t>Peynado, Manuel</t>
  </si>
  <si>
    <t>Manuel Peynado</t>
  </si>
  <si>
    <t>adete Garzón D. Domingo Vasallo : á Cadetes de número ai Supernumerario D. Andrés Gómez, y Guardias D. Manuel Peynado y D. Josef Burone; y á Cadete Supernumerario al Guardia D. Juan Gómez. El Rey se ha servido conferir Compañía en el Regimiento de Húsares Españoles al Ayudante , graduado de Capitán ,</t>
  </si>
  <si>
    <t>Peyri, General</t>
  </si>
  <si>
    <t>General Peyri</t>
  </si>
  <si>
    <t>eneral en gefe ha partido de Stra con la reserva compuesta de un cuerpo de Polacos, mandados por el General Peyri, de un Regimiento de caballería Francesa, de un Regimiento de infantería también Francesa, de un batallón mandado por el General Regnier, y en fin de 4 cañones de artillería, mand</t>
  </si>
  <si>
    <t>egnier, Léchi y Verdier; y él'se hallaba en campo SanPictro con el Regimiento Polaco que mandaba el General Peyri. Ei General Regnier, que estaba en Navale, tenia orden de marchar ei 24 a! amanecer á Castel-Franco. El enemigo, que había llegado la víspera, y conociendo la dificultad de su pos</t>
  </si>
  <si>
    <t>Peyrolon, Francisco</t>
  </si>
  <si>
    <t>Francisco Peyrolon</t>
  </si>
  <si>
    <t>Sres. Chavarri y Posadillo. En Toro.................. D. Joseph Ligero. En Valencia.......... Sres. D. Francisco Peyrolon y compañía. EnValladolid....... Sres. D. Francisco Durango é hijo mayor. En Zamora......... D. Vicente Perez de Tejada. En Zaragoza........ D. Tomas de la Madrid. En Zeuta..........</t>
  </si>
  <si>
    <t>Martínez de Aparicio. En Toledo............. Sres. Chavan-i y Posadiüo. En Valencia..........Sres. D. Francisco Peyrolon y compañía. En Valladolid. Sres. D. Francisco Durango é hijo mayor. En Zamora........... D. Josef Ligero. En Zaragoza........ D. Tomas de la Madrid. En Zenta ............ D. Pedro H</t>
  </si>
  <si>
    <t>Pezzoni, Antonio</t>
  </si>
  <si>
    <t>Antonio Pezzoni</t>
  </si>
  <si>
    <t>a, profesor público de Matemática sublime de la Universidad de Pavía, y traducido ai castellano por D. Antonio Pezzoni. Obra muy útil para los profesores de Medicina. Se hallará en la librería de Escribano, calle de las Carretas, á 2 rs. en rústica. El Padre de los pobres, sermón fúnebre que en la</t>
  </si>
  <si>
    <t>Pfyífer, Coronel</t>
  </si>
  <si>
    <t>Coronel Pfyífer</t>
  </si>
  <si>
    <t>do de Negocios á su Secretario Mr. Parandier. SUIZA. Basilea $ de Febrero. ■. El famoso proceso del Coronel Pfyífer, miembro, del Cantón de Lucerna, ha tomado-repentinamente un aspecto inesperado. Después de muchas tentativas infructuosas para cortar esta causa , hechas ^por personas de la prim</t>
  </si>
  <si>
    <t>Phipps</t>
  </si>
  <si>
    <t>nta buenos efectos del método de vida sosegada que lleva. Está mejor de su mal de ojos. Su oculista Mr. Phipps le visita dos veces por semana, y le ha recomendado particularmente el reposo y la tranquilidad de espíritu. De 15 dias á esta parte se levanta á las 8 de la mañana: nacía años qu</t>
  </si>
  <si>
    <t>Pic-o, Félix</t>
  </si>
  <si>
    <t>Félix Pic-o</t>
  </si>
  <si>
    <t>providencia del Sr. D. Manuel Vicente de Torres, Teniente Corregidor de esta villa, y escribanía de D. Félix Pic-o, se ha mandado publicar por término de 30 dias contados desde el 12 del presente, para la admisión de la mejora del quarto, de-una casa sita en Ja calle de Bordadores, tumi. 17, m</t>
  </si>
  <si>
    <t>Picado, Cayetano</t>
  </si>
  <si>
    <t>Cayetano Picado</t>
  </si>
  <si>
    <t>nte de Bornbarela. D. Juan de Medina, muerto. Alféreces_de Navio. D. Luis Perez del Camino, muerto: D. Cayetano Picado id.: D. Ramón Echague id.: D. Pedro Nuñez, herido: D. Josef Losada id.: D. Pedro Brigloer id.: D. Manuel Huergo, contuso: D. Simón Londoño id.: D. Pedro Rato, herido. Alféreces de</t>
  </si>
  <si>
    <t>Picard, Coronel</t>
  </si>
  <si>
    <t>Coronel Picard</t>
  </si>
  <si>
    <t>ociones y nombramientos: al Teniente General Zach Jas operaciones propias de la guerra: al Teniente Coronel Picard la policía del exército; y al Feld-Mariscal Barón de Skal todo lo relativo á la administración y subsistencia del exército.” FRANCIA. Strasburgo 8 ds Octubre. Mr. de Rosenstiel, Cons</t>
  </si>
  <si>
    <t>Pichardo, Domingo</t>
  </si>
  <si>
    <t>Domingo Pichardo</t>
  </si>
  <si>
    <t>servido conceder Tenencia en el Regimiento dé infantería de Cantabria al Subteniente de granaderos D. Domingo Pichardo, y Subtenencias dé .bandera en los de la Corona, León y Ordenes Militares á los Cadetes D. Juan'Manuei Parreño, D. Josef María de Oya y D. Tomas de Irazoqui, este del de Mallorca.</t>
  </si>
  <si>
    <t>Pico de Haedo, Félix</t>
  </si>
  <si>
    <t>Félix Pico de Haedo</t>
  </si>
  <si>
    <t>postura á ellas juntas ó separadas, que acuda á exccutarlo por la escribanía del número que exerce D. Félix Pico de Haedo. Compendio de la historia universal, escrito en lengua latina por el P. Horacio Turselino, con notas sobre la historia, fábula y geografía, y traducido al castellano por el Dr. D.</t>
  </si>
  <si>
    <t>uisiere hacer postura, acuda por la escriba* nía numeraria de D. Juan Manuel López Fando, que sirve D. Félix Pico de Haedo. La casa sita en esta Corte en la calle de Santa Catalina de Sena, núm. 24, manzana 220 , perteneciente sumitad á la testamentaría de D. Julian .de lllescas, y se está subastando,</t>
  </si>
  <si>
    <t>r. I&gt;. Manuel Vicente de Torres, primer Teniente dé Corregidor, y [escribanía del número que exerce D. Félix Pico de Haedo, se ha mandado sacar á pública subasta, por término de 30 días, una casa sita en esta Corte, calie de la Luna, esquina á la de la Magdalena,núm. 13, manz. 470, que tiene de sitio</t>
  </si>
  <si>
    <t>idencia del Sr. D. Manuel Vicente de Torres, Teniente Corregidor de esta villa, está señalado, ante D. Félix Pico de Haedo, el dia 30 de este mes, de doce á una, en.la audiencia del referido Señor, para celebrar el remate de una casa sita en lá calle de la Liína, esquina;á larde la.Magdalena, núm. 13,</t>
  </si>
  <si>
    <t>tepar. El Sr. D. Torquato Antonio Collado, Teniente Corregidor de esta villa , ha señalado por ante D. Félix Pico de Haedo, Escribano de ella, el dia 2 2*del comen-1 te, á hora de las doce y inedia de su mañana, en las puertas de ia audiencia de su</t>
  </si>
  <si>
    <t>ii Señoría. Quien quisiere hacer postura acuda ante dicho Señor y escribanía que actualmente exerce D. Félix Pico de Haedo. • 'Por ia andieiibiíi del-Sr. D. Torquato Antonio Collado; y escribanía de número de Pvamorr García Ximcnez, está señalado el 23 del corriente para el remate de las fincas qué si</t>
  </si>
  <si>
    <t>ien quisiere hacer mejora, acuda á executarlo por la escribanía del número que actualmente despacha D. Félix Pico de Haedo, en el término señalado, que deberá contarse desde el dia 20 de este mes. Quien quisiere hacer postura á una casa sita en la calle de S. Lorenzo, núm. 14, manz.332, que comprehend</t>
  </si>
  <si>
    <t>Pico, Félix</t>
  </si>
  <si>
    <t>Félix Pico</t>
  </si>
  <si>
    <t>s desde el 24 del presente, por la escribanía dei número de D. Juan Fando, que actualmente despacha D, Félix Pico, Qualquiera persona que quisiere comprar la casa, r.úm. *4, manz. 204, sita en la plazuela de la Leña de esta Corte, acudirá á tratar con el dueño de ella, que vi: ve en la fonda</t>
  </si>
  <si>
    <t>tura, acudirá á executarlo por la escribanía de L&gt;. Juan Manuel López Fando, que actualmente exerce D. Félix Pico. Por providencia del Sr. D. Torquato Antonio Collado, Teniente Corregidor de esta villa, se ha mandado volver á publicar por 15 días mas la subasta de la casasita en la [calle de</t>
  </si>
  <si>
    <t>Pico, Ramón Antonio</t>
  </si>
  <si>
    <t>Ramón Antonio Pico</t>
  </si>
  <si>
    <t>............... D. Benito de la Piedra. En Cartagena........D. Bernardo Elizalde. En Ciudad-Real... D. Ramón Antonio Pico. En Córdoba.......... . Sres. Barcia padre é hijo. " En la Coruña........ D. Manuel ElzaurdiJ. En Cuenca............. Sres. viuda de Escolar y Noriega 6 hijo. En Granada.........</t>
  </si>
  <si>
    <t>iz.............. D. Benito de la Piedra. En Cartagena...... D. Bernardo Flizalde. En Ciudad-Re al.. D. Ramón Antonio Pico. En Córdoba..:....... Sres. Barcia padre é hijo. En'la Coruña....... T&gt;. Manuel Flzaurdi. ’ En Cuenca.Sres. viuda de EsCoIar y Noriegá é hijo. ' Eli Cf'ranada........ D. Francisco</t>
  </si>
  <si>
    <t>Benito de la Piedra. J * 3 - • EnCartagena...... D. Bernardo*Eliza!dé. ■ ,\A " ;; En Ciudad-Real.. D. Ramón Antonio Pico» ** ' ' En Córdoba........ Sres. Barcia padre é hijo. En la Coruña....... D. Manuel Elzaiírdi. j * En Cuenca...... . Sres. viuda de Escolar , Noriega é hijo. En Granada...... D. F</t>
  </si>
  <si>
    <t>Pigueras y Ortega, Francisco</t>
  </si>
  <si>
    <t>Francisco Pigueras y Ortega</t>
  </si>
  <si>
    <t>al de San Juan de la Torre,'en dicho Obispado, vacante por fallecimiento de Don ^Vicente Auncio , á D. Francisco Pigueras y Ortega; y para él Préstamo “de Narros del Monte , anexo de Langa, en Ujmisma Diócesi, vacante por muerte de D. Josef Tello , á D. Miguel Pío Rodríguez, Capellán mayor de la Real de Fonti</t>
  </si>
  <si>
    <t>Pineda y Benavente, Juan Nepomuceno</t>
  </si>
  <si>
    <t>Juan Nepomuceno Pineda y Benavente</t>
  </si>
  <si>
    <t>enza y Valladolid, Subtenencias de bandera á D. Fernando Jorge de Sande, D. Blas Sarmiento y Henao, Don Juan Nepomuceno Pineda y Benavente, Subteniente reformado, D. Francisco Borja Almera y Algumola, D. Francisco del Castillo y Melgar, Don Fernando de Contreras, D. Tomas Bernardo López, y D. Hipólito Martin Sánchez.</t>
  </si>
  <si>
    <t>Piñeros Albarran, Sebastián</t>
  </si>
  <si>
    <t>Sebastián Piñeros Albarran</t>
  </si>
  <si>
    <t>ispado: para una Canongía déla Catedral de Coria* vacante por fallecimiento de D. Josef Burdallo, á D. Sebastian Piñeros Albarran, Racionero de ella: para la Ración que este obtiene á D. Gregorio Morata Pastor , Capellán de Coro de la misma Catedral: para una Ración de la Catedral de Orense, vacante por muer</t>
  </si>
  <si>
    <t>Pinol y Aycinena, Tadeo</t>
  </si>
  <si>
    <t>Tadeo Pinol y Aycinena</t>
  </si>
  <si>
    <t>fusileros á D. Leonardo Josef Jáuregui ,D. Antonio Robles,, D. Francisco Xavier Aguirre y Larios ,* D. Tadeo Pinol y Aycinena y D. Juan Josef Gorriz; Subtenencia de granaderos á D. Juan Manuel Landero, y de fusileros á Don Manuel Modesto Zelaya y D. Manuel de Aguirre y Larios. También ha concedido S. M. Subt</t>
  </si>
  <si>
    <t>Pinos, Manuel</t>
  </si>
  <si>
    <t>Manuel Pinos</t>
  </si>
  <si>
    <t>citado destino de Portolongon. ^ coTTeQ ¿e Febrero último dirigió D. Josef de Rosales, de Madrid, i D. Manuel Pinos, Administrador de la .Encomienda de Sancti-Spiritus, 4 vales Reales de 150 pesos de la creación de i.° de Enero, nums. 320380, 323621, «27182 227*28: y no.habiéndolos recibido est</t>
  </si>
  <si>
    <t>Pinto del Postigo, Juan</t>
  </si>
  <si>
    <t>Juan Pinto del Postigo</t>
  </si>
  <si>
    <t>Santiago; Comandancias de esquadron á D. Manuel Goiburu y O. Vicente ’Nacero; la Sargentía mayor á D. Juan Pinto del Postigo; Compañía de granaderos á D. Francisco Caracholi; y sencillas á D. Bernardo Manrique, D. Francisco Alcántara, D. Nicolás Gódiel, D. Manuel Orihuela, D. Vicente Herencia, D.Vicente</t>
  </si>
  <si>
    <t>Piñuela, Sebastián</t>
  </si>
  <si>
    <t>Sebastián Piñuela</t>
  </si>
  <si>
    <t>é la misma fe y crédito que á. su original. Dada en Aranjuez á 29 de Junio de 1805.=YO EL REY. =sYo D. Sebastian Piñuela, Secretario del Rey nuestro Señor, lo hice escribir por su mandado.=D. Miguel de Mendinueta. = D. Manuel dei Pozo.=:D. Domingo Fernandez de Campomanes.= D. Josef Navarro. = D. Ant</t>
  </si>
  <si>
    <t>Pió de Quijana, Juan</t>
  </si>
  <si>
    <t>Juan Pió de Quijana</t>
  </si>
  <si>
    <t>n María; del Manzano, D. Andrés María García Diego, D. Antonio Cidron, D. Fé-; lix Blanco Vitoria j D. Juan Pió de Quijana y D. Josef María de Senra. El Rey se lia servido .conferir al Ténience Coronel D. Bartolomé Mon—</t>
  </si>
  <si>
    <t>Pió Josef</t>
  </si>
  <si>
    <t>Pió Josef................. . Hijo de Francisco, nat. de la villa de Frada! ¿</t>
  </si>
  <si>
    <t>Pío Rodríguez, Miguel</t>
  </si>
  <si>
    <t>Miguel Pío Rodríguez</t>
  </si>
  <si>
    <t>“de Narros del Monte , anexo de Langa, en Ujmisma Diócesi, vacante por muerte de D. Josef Tello , á D. Miguel Pío Rodríguez, Capellán mayor de la Real de Fontiveros, en la propia Diócesi. El Rey ha nombrado para el Oficio regular de Obrero del Real Monasterio de Santa María de Ripoll, vacante por promo</t>
  </si>
  <si>
    <t>Pío VII</t>
  </si>
  <si>
    <t>sentado estos días últimos á S. M. I. y R. la tiara que regala á la Santidad de Pío VIL Es de grande valor y de un trabajo exquisito. S. M. ha permitido que se enseñe á varias personas de distinción, quienes</t>
  </si>
  <si>
    <t>Pió, Papa</t>
  </si>
  <si>
    <t>Papa Pió</t>
  </si>
  <si>
    <t>de la Imprenta Real, á 17 rs. cada tomo en rústica, y á 22 empasta. Razonamiento de N. M. S. P. el Papa Pió vn en el consistorio secreto del miércoles 26 de Junio de 1805, traducido del latín por encargo del Excmo. Señor Arzobispo de Nicea, Nuncio Apostólico , é impreso con el texto ori</t>
  </si>
  <si>
    <t>ada con todo lo perteneciente al siglo próximo pasado hasta el presente pontificado de N. SS. P. el Papa Pió vio Contiene los dogmas, liturgia, disciplina, concilios,.Keregíás, cismas, y lodemas acaecido en la Iglesia desde su establecimiento hasta nuestros días. La estimación con que el</t>
  </si>
  <si>
    <t>Pirez, Manuel</t>
  </si>
  <si>
    <t>Manuel Pirez</t>
  </si>
  <si>
    <t>Españoles á Teniente al Alférez Dr Juan Rico; y á Alférez en el de húsares de María Luisa al Cadete D. Manuel Pirez. Por el Ministerio de Hacienda/con fecha de 2 de Octubre de 1804, se ha comunicado á los M. RR. Arzobispos y Obispos de España y de América la Real orden siguiente: ,,El Diccionar</t>
  </si>
  <si>
    <t>Pitt</t>
  </si>
  <si>
    <t>recibido de Mr. Pitt, ha encargado á los Obispos Católicos consulten á los individuos del Clero inferior, y les presenten elplan.de las rentas anuales que juzguen precisas para que cada uno pueda vivi</t>
  </si>
  <si>
    <t>ántes algunos preliminares relativos á este asunto, tuvo S. E. la semana pasada una conferencia con Mr. Pitt, de cuyo resultado quedó muy satisfecho. Se ha dicho que en esta conferencia se trató de algunos negocios políticos relativos á Irlanda; pero creemos que esta especie no tiene nin</t>
  </si>
  <si>
    <t>n presentada por un cuerpo tan respetable,y sobre tan importante asunto, de poner en grande apuro á Mr. Pitt y á sus colegas. El viernes se recibiéron pliegos del Almirante Cornwallis, cuya e$quadra ha vuelto á bloquear el puerto de Brest. HOLANDA. Haya 13 de Diciembre, En la Gazeta de Del</t>
  </si>
  <si>
    <t>oposición, la que, á lo que se asegura, se dividirá en tres partidos: el i.° se prepara á atacar á Mr. Pitt en la Qlmara de los Comunes sobre el bilí de defensa; el 2.0 atacará al Lord Melville en la Cámara de los Pares sobre las fuerzas navales; y el 3.0 dirigirá su* esfuerzos en ambas C</t>
  </si>
  <si>
    <t>Pitty Mr. Addington, no ha sorprehendido en manera alguna á los buenos observadores. Es verdad que Mr. Pitt ha procurado car alguna consistencia y solidez á su ministerio incoherente, valiéndose á este efecto de las reuniones políticas que podían sostenerle; mas no habiendo surtido buen</t>
  </si>
  <si>
    <t>ovechado esta ocasión de introducir en su Consejo ! un hombre á quien honra con confianza. No tiene Mr. Pitt el menor pretexto de tomar á mal la entrada de Addington en el Gabinete; porque el Rey tiene el derecho de escoger sus Ministros, conforme á la letra de la Constitución; derecho que</t>
  </si>
  <si>
    <t>ble la situación en que se halla ahora Mr. Pitt.__ La autoridad y el influxo de un primer Ministro nacen de la persuasión de que goza el favor del Soberano, y tiene la principal dirección de los negocios; si hay plausibles fund</t>
  </si>
  <si>
    <t>ín con el objeto de renovar un tratado de alianza entre su Corte y la de Prusia. Es amigo íntimo de Mr. Pitt. Se ha publicado en la Gazeta de Londres una proclama mandando guardar un dia de ayuno, y hacer rogativas públicas en todo el Reyno Unido , que se verificará el miércoles 20 de Fe</t>
  </si>
  <si>
    <t>su confianza. Así es , que ya se regocijan y disfrutan de su triunfo. Tal es la suerte que el mismo Mr. Pitt se ha labrado al entrar en su Ministerio, compuesto de hombres débiles y de jovenes incapaces, en lugar de haberse rodeado de personas de luces, que hubieran contribuido á salvar</t>
  </si>
  <si>
    <t>bloqueado, ó que esté destinado á otro de esta clase. Nadi£ pone en duda, ni aun los del partido de Mr. Pitt, que Mr. Addington y Lord Hawkesbury habían convenido en la neutralida i.de España y en el tratado de. subsidios que tenia con la Francia, solamen-. te con la condición de que no</t>
  </si>
  <si>
    <t>opinión que nada mas podrá decirse en el discurso de S. M.__ Por lo que hace á la Irlanda, declaró Mr. Pitt, que en otra ocasión demostraría la necesidad de reservar para mas adelante la discusión relativa á los Católicos, cuyo bien estar debía prometerse del tiempo y del beneficio de l</t>
  </si>
  <si>
    <t>rá en la fragata Medusa, mandada por el Capitán Gore. Según el nuevo sistema militar, que propondrá Mr. Pitt al Parlamento , se aumentará el exército de línea con 15® hombres de tropas Inglesas ; y las extrangeras pagadas por el Gobierno Británico, de las quales forman la mayor parte la</t>
  </si>
  <si>
    <t>irante iba á hacerse á la vela. Son infundadas las voces que han corrido estos dias de la salida de Mr. Pitt, y de Lord Meiville, del Ministerio. Una persona que ha salido de Rochefort algunos dias antes que la esquadra Francesa, asegura que dicha esquadra se compone de un navio de 120 c</t>
  </si>
  <si>
    <t>mencia. Se votó la propuesta sin oposición. Igual propuesta se hizo en la Cámara de los Comunes por Mr. Pitt, quien en esta ocasión pronunció un largo y eloqüente discurso, en que se empeñó en probar la justicia y necesidad de la guerra con España, recapitulando con exactitud los papeles</t>
  </si>
  <si>
    <t>ue en la Cámara de los Pares habia propuesto Lord Mulgrave. —Mr. Grey se opuso á los raciocinios de Mr. Pitt, y no tuvo la mas mínima dificultad en manifestar á los que ei espíritu de partido y de odio no ciega enteramente, que era un medio muy particular de hacer cesar las relaciones de</t>
  </si>
  <si>
    <t>ado de Aquisgran no se ha suspendido este precioso privilegio tantas veces como en el ministerio de Mr. Pitt___Diez y ocho meses hace se adoptó igual disposición sin examen previo; ¿y por eso se concluirá que puede igualmente adoptarse ahora sin mas formalidades ?_¡_La viva in-• quietud</t>
  </si>
  <si>
    <t>. Londres $6~de Febrero. Formada la! Cámara de ios Comunes en junta de medios y arbitrios, presentó Mr. Pitt en ella, el dia 18, ei estado de los gastos y rentas para el servicio del año corriente , y es como sigue: Subsidios: para el servicio de la marina 14.645,630 libras esterlinas, can</t>
  </si>
  <si>
    <t>tar la petición relativa á su emancipación. Dícese que traen instrucciones de presentarse primero á Mr. Pitt, para que este haga presente su solicitud á la Cámara de los Comunes; y en caso de negarse á ello, de recurrir á los buenos oficios de Mr. Fox. SUIZA. Berna 2 4 de Febrero. i * En</t>
  </si>
  <si>
    <t>mostrando en sus expresiones el grande interes que toma íén la reconciliación de ambos Gobiernos.” Mr. Pitt ha reservado 5 millones de libras esterlinas para los subsidios extrangeros; pero hay muchos motivos dé dudar que se acepten; y aun mucho mas que puedan emplearse con ventaja éñ e</t>
  </si>
  <si>
    <t>&gt;Lord Fingal y los demas diputados de los Irlandeses Católicos:}} se ¿presentaron en el despacho de Mr. Pitt para entregarle su petic ion,de que'le suplicaron diese cuenta en la Cámara de los Comunes. Díxolesr el Ministro que siempre estaba en las mismas disposiciones á favor de Los Cató</t>
  </si>
  <si>
    <t>exército compuesto de diferentes especies de cuerpos militares.’' Se maravilla Mr. Sheridan de que Mr. Pitt, después de acusar á sus predecesores de ignorantes é incapaces, no haya ni aun aprovechado los medios que estos le habían dexado para la defensa nacional: y reduce la qiiestion á</t>
  </si>
  <si>
    <t>se á un enemigo cada dia mas audaz, y restituir su antiguo honor á la Monarquía Británica. Contestó Mr. Pitt á este discurso diciendo que la Cámara no debía decidir si el bilí r de que se trata, ha llenado el objeto que de él se espertaba , sino si era posible y útil, atendidas las circu</t>
  </si>
  <si>
    <t>e que se acusa al Presidente del Almirantazgo. Este negocio va tomando mal semblante, y se duda que Mr. Pitt tenga has** tante crédito para sacar á su amigo Lord Melville de este mal paso. Lord Chatam sucede ai General Lake en el mando dél exén ito de lá India ; y de aquí á 2 años sucede</t>
  </si>
  <si>
    <t>vio Príncipe de Gáles cuya suerte se ignoraba, ha sido apresado y conducido á la Isla de Francia. , Mr. Pitt ha propuesto en la Cámara de los Comunes establecer nuevos impuestos en vez de los que había proyectado sobre los caballos de labor, valuado en 320© libras esterlinas, y sobre la</t>
  </si>
  <si>
    <t>emente se señaló para tratar de este asunto el 9 de Mayo. v . El Conde de Chatam , hermano mayor de Mr. Pitt, está nombrado Comandante general de las tropas de la India'. Sir Sidney Smith mandará la tercera esquádrá destinada á aquellos mares. La noticia de la toma de la Dominica por la</t>
  </si>
  <si>
    <t>mara de ios Comunes, de los dias 4 y 6 de Marzo , han fixado la atención pública. En la última tuvo Mr. Pitt una minoridad de 3 votos: tratábase en ella de la contribución de los caballos de labor, que la oposición ha conseguido se desestimase. El no haber la Cámara adoptado esta provide</t>
  </si>
  <si>
    <t>4oS guíente Mr. Pitt hubiera tenido que hacer dimisión del Ministerio. Pidió tiempo para reproducir su propuesta, y consiguió lo que deseaba con una mayoría de 140 votos; pero no ha hecho mas que dila</t>
  </si>
  <si>
    <t>ha hecho re©, como Tesorero de la Marina, de infracción manifiesta de las leyes y de sus deberes.. Mr. Pitt ha ido á Windsor á comunicar á S. M. el importante resultado de la deliberación de la Cámara de los Comunes sobre el asunto del Lord Meiville, y á presentar ai mismo tiempo da dim</t>
  </si>
  <si>
    <t>ha sido recibida en toda la carrera con las aclamaciones repetidas del público. Se ha observado que Mr. Pitt no. iba en esta diputación. Dos circunstancias bastante singulares se han observado en el negocio del Lord Melville. Una de ellas es que la acta del Parlamento que ha violado , y</t>
  </si>
  <si>
    <t>el Lo r d Melville, hablaron á favor de ella Mr. Fox, Sheridan, Tierney, Windham 8cc., .y en qontra Mr. Pitt y todo el partido del Lord Sidmouth (Addington). A las 5 de la mañana se empezó á votar: hubo igualdad de votos: ¿16 á favor de la propuesta, y 216 en contra: el voto del Orador de</t>
  </si>
  <si>
    <t>retiró el editor del Oráculo, cuyo papel es el mas ministerial que hay én el dia, y á propuesta de Mr. Pitt ha sido arrestado : sacrificio que las circunstancias obligan á este Ministro á hacer al partido de la oposición. En la junta del 27 de la Cámara de los Comunes Mr. Sheridan llamó</t>
  </si>
  <si>
    <t>rios Midleton (ahora Lord Barham) es amigo íntimo de Lord Melville. Parece que ha sido nombrado por Mr. Pitt contra la voluntad de Lord Sidmoutn; y el Morning 6hronicle dice que esta es una de las causas de haberse entibiado la amistad de Mr. Pitt y Lord Sidmouth (Addington). Escriben de</t>
  </si>
  <si>
    <t>úblico con impaciencia., y sobre las quales el Gobierno había hecho concebir esperanzas favorablesw Mr. Pitt respondió que no se ;hallaban todavía en estádo' de poderse comunicar, como lo haría quando fuese Oportuno y porque su comunicación, entl momento, no solo seria imperfecta* sino q</t>
  </si>
  <si>
    <t>han llegado 3 correos extraordinarios de Irlanda con pliegos cuyo contenido se ignora todavía. . . Mr. Pitt ha informado al comisionado de la Jamayca, que convencido1, el Gobierno del peligro que amenaza n las Indias occidentales, ha dado inmediatamente las órdenes necesarias.para prote</t>
  </si>
  <si>
    <t>ual entonces se veia en la necesidad de reducir sus descuentos___ Dos cargos importantes se hacen á Mr. Pitt: el i.° haber sabido que el departamento de la marina sacaba cantidades considerables del Banco para ponerlas en krícasa de giro de Mr. Coutts: el 2.0 haber en desprecio de dos ac</t>
  </si>
  <si>
    <t>diesen dar esperanzas fundadas de una alianza con alguna Potencia del Continente. En la misma junta Mr. Pitt comunicó un mensage del Rey, en el qual se dice que S. M. juzga conveniente anunciar á la Cámara de los Comunes que las comunicaciones que habia habido ,“y están aun pendientes en</t>
  </si>
  <si>
    <t>iendo una disputa personal de la Inglaterra respecto de las Potencias del Continente ,• extraña que Mr. Pitt pida una cantidad, euyo empleQ no puede justificarse con ningún motivo verosímil. El Canciller del Echjquier , hablar de las ne</t>
  </si>
  <si>
    <t>e el objeto del voto y sobre el empleo del dinero que se pide. Si-no quiere el honorable gentleman (Mr. Pitt) darnos ninguna explicación, no le demos ningún dinero. Suponiendo que se trate de hacernos entrar en alianzas continentales, examinemos á lo ménos por encima las conseqüencias. N</t>
  </si>
  <si>
    <t>Mr. Fox, por haber apoyado la petición de los Católicos Romanos en el Parlamento, igualmente que á Mr. Pitt y á los Obispos Anglicanos, por el modo leal y franco con que se han opuesto á ella. Parece que tienen intención de publicar que no firmáron la petición, por contener esta objetos p</t>
  </si>
  <si>
    <t>Británico , juntamente con el miedo que le inspira el genio del Emperador Napoleón, harán agotar á Mr. Pitt todos los esfuerzos de la intriga y de la corrupción para dividir los peligros que amenazan á 3a Inglaterra, y repartirlos en el Continente de la Europa; pero debe admirar que el</t>
  </si>
  <si>
    <t>Setiembre. Corre muy valida en las concurrencias mas distinguidas y mejor informadas la voz de que Mr. Pitt está dispuesto á admitir á Mr. Fox y á sus amigos en la administración de los negocios públicos. Si esta unión no se verificase , y las disposiciones que ha tomado el Ministerio par</t>
  </si>
  <si>
    <t>paz en dichas provincias. GRAN BRETAÑA. Londres 18 de Octubre. Ayer él Lord Canciller acompañado de Mr. Pitt fué á las 3 de la tarde ai despacho de Lord Muí grave, donde se tuvo un consejo de Gabinete. El Embaxador de Rusia había trabajado algunas horas antes Con el misóte Lord en el des</t>
  </si>
  <si>
    <t>cto un bergantín á tres quartos de milla de la costa, enfrente del castillo de Walmer, donde reside Mr. Pitt» Tres embarcaciones de remos pusieron la máquina á través dei cable diel bergantín, y con el movimiento de la marea se dirigió dicha máqui&amp;a por sí sola debaxo de la quilla del bu</t>
  </si>
  <si>
    <t>e los de la Oposición han conseguidouna ventaja superior , y que todos, los recursos del partido de Mr. Pitt podrán apenas balancear. Las Gacetas Ministeriales oponen á estos rumores algunas dudas, que pronto se disiparán y y hay algunos que, aun suponiendo que son ciertas estas noticias</t>
  </si>
  <si>
    <t>omenzado por la ruina de nuestros aliados*? Es imposible que la nación no conozca la incapacidad de Mr. Pitt en repeler los riesgos que ha provocado: por la segunda vez concurre á la subversión del Continente. El General Mack, dos veces hecho prisionero ál frente dé su exército , no presen</t>
  </si>
  <si>
    <t>ing ChronicL que jamas soplan los vientos para los que no tienen actividad ni energía. Preguntaba á Mr. Pitt, qué es lo que ha hecho desde los principios de las hostilidades para auxiliar al Austria? Se había promertido á esta Potencia hacer diversiones en las costas enemigas, y las esqu</t>
  </si>
  <si>
    <t>nción de espíritu; de modo que el Rey no se ocupa de la guerra actual , como si no la hubiese. Pero Mr. Pitt se ocupa de ella, y ya todos lo vemos bien. FRANCIA. Parts 26 de Noviembre. Algunos rumores esparcidos en París en descrédito de la Caxa de descuentos del Banco , han dado motivo</t>
  </si>
  <si>
    <t>Pitt de Mrs</t>
  </si>
  <si>
    <t>con él. Los amigos del Rey no han conseguido separar enteramente á Mr. Pitt de Mrs. Fox, Windhanm, Grenvilie, y de los miembros inde-* pendientes del Parlamento; pero sí que su conducta le haya hecho imposible que este partido le vuelva jamas su confianza. Así e</t>
  </si>
  <si>
    <t>Pitt y de Mr</t>
  </si>
  <si>
    <t>ubsidias. GRAN BRETAÑA. Continuación de las noticias de Londres de 3 de Enero. La reconciliación de Mr. Pitt y de Mr. Addington ha sido de mayor satisfacción para los amigos del último, que para los del primero. Es cosa sabida que Mr. Addington gozaba del favor personal del Rey, aun en el moment</t>
  </si>
  <si>
    <t>Pitt y Lord Barham</t>
  </si>
  <si>
    <t>ga mas á los intereses de la Gran Bretaña. El mismo dia Sir Sidney Smith conferenció igualmente con Mr. Pitt y Lord Barham. Tendrá este Oficial un mando separado en las costas enemigas opuestas á las nuestras, con plenos poderes de executar las empresas que juzgue conducentes para molestar y destruir</t>
  </si>
  <si>
    <t>Pitt y Lord Sidmouth</t>
  </si>
  <si>
    <t>moutn; y el Morning 6hronicle dice que esta es una de las causas de haberse entibiado la amistad de Mr. Pitt y Lord Sidmouth (Addington). Escriben de la Barbada, el 23 de Marzo , que se habían enviado á la Jamayca 80 buques, que se hallaban en aquella isla, no pudiendo protegerlos en su puerto. Hacia 5</t>
  </si>
  <si>
    <t>Pitt-en</t>
  </si>
  <si>
    <t>4 bombardas de 10 á 12 cañones: dé 2 de 10: de 2 cúters de 8 ; y de otros 2.de 6. El jueves pasádo Mr. Pitt-en compañía de los Lores Castlereaglx, .-Müln grave y. de otras varias personas fue por el Támesis hasta Woolwieh en la lancha o bote doble inventado por Mr. Sidney Smith, con el obj</t>
  </si>
  <si>
    <t>Pitty Mr</t>
  </si>
  <si>
    <t>s noticias de Londres de g de Enero• La reconciliación (dice el Morning Chronicle) verificada entre Mr. Pitty Mr. Addington, no ha sorprehendido en manera alguna á los buenos observadores. Es verdad que Mr. Pitt ha procurado car alguna consistencia y solidez á su ministerio incoherente, vali</t>
  </si>
  <si>
    <t>Piu</t>
  </si>
  <si>
    <t>ltlÚo. "" uoa d 12s úhimu ;UO I 2$ de: 1 ' Allra. de dos Comullu el Coront[ f w funl h pe lunado oÍ Mr. Piu qut! di}pos' kutes luhi:a 1.0 trudo ~f2 .u = ur el (~irCItO de líaea . porque de:Jo cotIlrario pcrualu lucer al UIU pn:. u~u" re: el :¡ 11010. Re \po odió e: 1 ln IIle r dd chiqui</t>
  </si>
  <si>
    <t>Pizarro, Francisco</t>
  </si>
  <si>
    <t>Francisco Pizarro</t>
  </si>
  <si>
    <t>a Parroquial de S. Bartolomé de Carmona, en ei Arzobispado de Sevilla, vacante por fallecimiento de D. Francisco Pizarro, á D. Juan Josef Freyre, Presbítero de la misma ciudad de Carmona, con obligación de residencia personal, y de ayudar al Párroco en las funciones de su ministerio. S. M. se ha ser</t>
  </si>
  <si>
    <t>Pizarro, Miguel</t>
  </si>
  <si>
    <t>Miguel Pizarro</t>
  </si>
  <si>
    <t>M. en el Regimiento de Milicias disciplinadas de infantería de la misma isla á Capitán al Teniente D. Miguel Pizarro; á Tenientes de granaderos á los de fusileros D. Francisco Rodríguez y D. Josef Guiordanengo; á Tenientes á D. Manuel Ayesa, D. Francisco Arroyo, D. Josef Díaz, D. Andrés Postigo</t>
  </si>
  <si>
    <t>Pizarro, Sebastián</t>
  </si>
  <si>
    <t>Sebastián Pizarro</t>
  </si>
  <si>
    <t>eniente de granaderos al de fusileros D. Josef Gascón; á Tenientes á los Subtenientes de granaderos D. Sebastian Pizarro y D. Joaquín González Teran, y al de fusileros Don Juan González; á Subtenientes de granaderos á los de fusileros D. Juan Bautista Saviñon yD. Josef Elorga; y á Subtenientes de bander</t>
  </si>
  <si>
    <t>Pjtt</t>
  </si>
  <si>
    <t>y que conocen perfectamente^aquel páis,íy córi algunos Egipcios que se hallaban ocultos en casa de Mr. Pjtt; y. finalmente* se cree tan cierto el suceso de la empresa, que se Va á representar en uno de los teatros una pieza dramática intitulada: la toma de Álexandría.** El célebre Mr. M</t>
  </si>
  <si>
    <t>Plámann</t>
  </si>
  <si>
    <t>! Emperador en medio de las bendiciones del pueblo, cuya miseria ha aliviado con tanta generosidad. Mr. Plámann,ha logrado ya que se establezca en Berlín una escuela, en la qual se ha de educar é instruir á los niños por los libros, y con arreglo al método de Pestalozzi. . ; GRAN BRETAÑA. L</t>
  </si>
  <si>
    <t>Plañiol, Rafael</t>
  </si>
  <si>
    <t>Rafael Plañiol</t>
  </si>
  <si>
    <t>de oro de 2 onzas. Pintura, á D. Josef de Odriozola‘, natural de Cesíona, de 20 años. Escultura; á D. Rafael Plañiol, natural de Madrid, de 24 años. Otro igual á D. Santiago Balleto, natural de Génova , de 24 años. Arquitectura, *a D. Miguel Antonio dé Marichalar, natural de Berástegui, de 2 5 a</t>
  </si>
  <si>
    <t>Plarrowby, Lord</t>
  </si>
  <si>
    <t>Lord Plarrowby</t>
  </si>
  <si>
    <t>kson, hermano de nuestro JEmbaxador Berlín, ha llegado aquí con pliegos. Mañana partirá^para Berlín Lord Plarrowby, nombrado Embaxador extraordinario cerca d^ aquella C.orte:. le acompañan Mr. Hammond, Subsecretario de Estado en el Despacho de negocios extrangeros, y Mr. Mon;.tagne , Secretari</t>
  </si>
  <si>
    <t>Platón Subow, Príncipe</t>
  </si>
  <si>
    <t>Príncipe Platón Subow</t>
  </si>
  <si>
    <t>abladas otra vez las negociaciones de paz. El Conde Nicolás Subow, Caballerizo mayor, su hermano el Príncipe Platón Subow, General de infantería, y el General Demetrio Subow van á edificar á su costa y con permiso de S. M. I. una Iglesia dedicada á San Valeriano Mártir, cerca del sitio en que está en</t>
  </si>
  <si>
    <t>Policarpo Anzano</t>
  </si>
  <si>
    <t>ario de Guerra del Exército al Guarda-Almacén ordinario de Artillería de la plaza de Ciudad-Rodrigo D. Policarpo Anzano. Por la Escribanía de Cámara y de Gobierno de! Consejo se ha comunicado, con fecha de 24 de Mayo, la circular siguiente: El Excmo. Sr. D. Josef Antonio Caballero ha comunicado al</t>
  </si>
  <si>
    <t>Polo, Tomás</t>
  </si>
  <si>
    <t>Tomás Polo</t>
  </si>
  <si>
    <t>7 11 cansa nn tributo nuevo ert la' producciónturbando él‘equilibrio del producto y consumó : n.? D. Tomas Polo sobre los varios medios de ocurrir á las necesidades extraordinarias de las naciones, y los efectos que producen en ellas los empréstitos, según sus diferentes estados. Unos exerc</t>
  </si>
  <si>
    <t>Polvorinos y Hilario del Rivero, Andrés</t>
  </si>
  <si>
    <t>Andrés Polvorinos y Hilario del Rivero</t>
  </si>
  <si>
    <t>Borda, D. Josef Colombo, D. Antonio García Muñiz, D. Fernando Belon y D.Juan Canabal; Ayudantías á D. Andrés Polvorinos y Don Hilario del Rivero ; Tenencia de carabineros á D. BernaTdino Yepes; y sencillas á D* Manuel,Gómez, D. Antonio Talavera , D.Juan del Rivero, Don Simón Geldres, D. Manuel Calvo, D. Antonio Arguero, D.</t>
  </si>
  <si>
    <t>Pompeí, Coronel</t>
  </si>
  <si>
    <t>Coronel Pompeí</t>
  </si>
  <si>
    <t>ip54 Xa ciudad de KufFstein ha capitulado con el Coronel Pompeí___ El General Milhaud ha perseguido al enemigo por el camino de Briinn hasta Vplkersdorff. Hoy al meaio dia habia hecho 6qo prisioneros, y tomado un parque de 40 piezas de artille</t>
  </si>
  <si>
    <t>Ponce de León, Antonio</t>
  </si>
  <si>
    <t>Antonio Ponce de León</t>
  </si>
  <si>
    <t>lareal, calle de las Carretas, ¿ 110 rs. en papel. Carta del Abate D. Lorenzo Hervás al Exento. Sr. D. Antonio Ponce de León, Duque de MontemarScc., sobre el tratado del hombre en sociedad, con la qual se da nn á su historia de la vida del hombre. En esta obrita se propone el autor responder á varios re</t>
  </si>
  <si>
    <t>Ponce, Francisco</t>
  </si>
  <si>
    <t>Francisco Ponce</t>
  </si>
  <si>
    <t>Id. id. Francisco Ponce... Hijo de Pablo y de María do Pazo, na-</t>
  </si>
  <si>
    <t>Pons, Matías</t>
  </si>
  <si>
    <t>Matías Pons</t>
  </si>
  <si>
    <t>la ciudad de Palma, de la propia Diócesi, unido con otro de la misma Iglesia, vacante por muerte de D. Matías Pons, y D. Antonio Payeras, á D. Luis Ripoll: para otro Beneficio eclesiástico fundado en la Parroquial de Santa Eulalia de Palma, Diócesi de Mallorca, y unido con otros 6, también vac</t>
  </si>
  <si>
    <t>Ponsoby</t>
  </si>
  <si>
    <t>de-los que mas se han distinguido en la memorable junta del 8 ,de la Cámara de los Comunes, ha sido Mr. Ponsoby, diputado de Irlanda. £1 pasage siguiente de su discurso ha hecho la mayor sensación en la Cámara. „ Considere la Cámara, dixo, el momento en que debe examinar la larga serie de l</t>
  </si>
  <si>
    <t>Ponz, Antonio</t>
  </si>
  <si>
    <t>Antonio Ponz</t>
  </si>
  <si>
    <t>det 22 de Junio de 1804 » puede considerarse como continuación y suplemento del Víage de España de D. Antonio Ponz, y como adición á la España Sagrada de los MM. Florez y Risco. Estos dos literatos comenzaron su digna empresa por el estado antiguo de nuestras Diócesis, reservando para el fin l</t>
  </si>
  <si>
    <t>Póoie, Coronel</t>
  </si>
  <si>
    <t>Coronel Póoie</t>
  </si>
  <si>
    <t>la provincia dé Bundelcund , mandadas por Rajah Rens-Singí y por uú Oficial dé Meerkan. El Teniente Coronel Póoie, que manda en Kelpec, escribe que todo aquel pais, molestado por tanto tiempo con las correrías de los bandoleros , está ahora muy tranquilo. ■ •&lt; • Algunas Gazetas han hablado de</t>
  </si>
  <si>
    <t>Popham</t>
  </si>
  <si>
    <t>General Fergusson en la Leda. El convoy de Cork se ha hecho á‘ la: vela el 31 de Agosto mandado por Sir Popham: compónese de dos navios de 64, de uno de 50, de dos fragatas, de 21 buques de la Compañía, y de 60 transportes con tropas á bordo. El Almirantazgo ha recibido el quarto nuevo avi</t>
  </si>
  <si>
    <t>Porcuna, Antonio</t>
  </si>
  <si>
    <t>Antonio Porcuna</t>
  </si>
  <si>
    <t>Antonio Porcuna.... Hijo de Manuel, natural de Granada: mu-V ^ 14</t>
  </si>
  <si>
    <t>Porta y Farguell, Ignacio</t>
  </si>
  <si>
    <t>Ignacio Porta y Farguell</t>
  </si>
  <si>
    <t>primera.” Y, habiéndose distinguido muy particularmente en el concurso los Bachilleres en Medicina D. Ignacio Porta y Farguell, natural de la villa de Castelltersol, y D. Félix Janer y Bertrán, natural de Villafranca del Panadés, la Academia por haberles consideradoiguales en mérito, acordó premiar á cada</t>
  </si>
  <si>
    <t>Portal</t>
  </si>
  <si>
    <t>rnadotte, el Ministro Berthier, Mr. de Talleyrand-Perigord &gt; Mr. Cambaceres y el Príncipe Murat. El Doctor Portal, individuo del Instituto nacional de Francia, ha remitido á S. M. una obra suya tituladaCurso de anatomía médica, seguido aquí con buen éxito por algunos Médicos jóvenes, que prof</t>
  </si>
  <si>
    <t>Portugal y Cevallos, Pablo</t>
  </si>
  <si>
    <t>Pablo Portugal y Cevallos</t>
  </si>
  <si>
    <t>tías Velazquez, D. Diego Mexía, Don Vicente Bellido y D. Diego Felipe Cevallos; y de Portaguiones á D. Pablo Portugal y Cevallos, D. Martin Pacheco, D. Juan Caracholi y D. Juan de Dios Valdés. S. M. se ha servido conferir el Gobierno Militar y Política é Intendencia de la Provincia de Puno á D. Antonio Orte</t>
  </si>
  <si>
    <t>Portugal, Lorenzo</t>
  </si>
  <si>
    <t>Lorenzo Portugal</t>
  </si>
  <si>
    <t>Contreras; y sencillos á D. Miguel Riquelme, D. Josef Mendez, D. Matías Aguirre, D. Mariano Llanos, D. Lorenzo Portugal, D. Francisco Gamarra, D. Pedrb Godiel, D. Juan de Dios Va'dés, D. Matías Velazquez, D. Diego Mexía, Don Vicente Bellido y D. Diego Felipe Cevallos; y de Portaguiones á D. Pablo P</t>
  </si>
  <si>
    <t>Portuondo, Santiago</t>
  </si>
  <si>
    <t>Santiago Portuondo</t>
  </si>
  <si>
    <t>ano de granaderos D. Josef Antonio Pécora : en el mismo Batallón á Subteniente de bandera al Cadete D. Santiago Portuondo. En el de milicias de Puerto Príncipe, en •la propia -isla / á Capitanes á los Subtenientes D,Domingo Pina,de granaderos, y D. Josef Rafael de Zayas; á Subteniente de granaderos a</t>
  </si>
  <si>
    <t>Postigo, Andrés</t>
  </si>
  <si>
    <t>Andrés Postigo</t>
  </si>
  <si>
    <t>dríguez y D. Josef Guiordanengo; á Tenientes á D. Manuel Ayesa, D. Francisco Arroyo, D. Josef Díaz, D. Andrés Postigo y D. Juan Veiazquez , los tres últimos de granaderos; á Subtenientes de granaderos los de fusileros D. Tomas Gandía, D. Francisco Martínez y D. Domingo Postigo; y á Subtenientes á los</t>
  </si>
  <si>
    <t>Postigo, Francisco</t>
  </si>
  <si>
    <t>Francisco Postigo</t>
  </si>
  <si>
    <t>ha servido conceder Tenencia en el Regimiento de infantería de Toledo ai Subteniente de granaderos D. Francisco Postigo; y Subtenencias de bandera en los de Sevilla y Ordenes Militares á los Cadetes D. Manuel Armendariz y D. Francisco Fernandez Cortacero: en el de Ñapóles al Sargento primero de gra</t>
  </si>
  <si>
    <t>Pou, Salvador</t>
  </si>
  <si>
    <t>Salvador Pou</t>
  </si>
  <si>
    <t>itulado de Santa Catalina , vacante ea la Catedral de Gerona por fallecimiento de D. Jcsef Quera, á D. Salvador Pou. En la Compañía Española de Reales Guardias de Corps ha promovido el Rey á Alférez al Exento D. Francisco Manuel de Villena; á Exento de número al supernumerario D. Antonio Pascua</t>
  </si>
  <si>
    <t>Pradas, Juan Antonio</t>
  </si>
  <si>
    <t>Juan Antonio Pradas</t>
  </si>
  <si>
    <t>is y síntesis: D. Ignacio Aranda, ídem, de la. formación y constitución de la atmósfera terrestre : D. Juan Antonio Pradas, idem, de los fluidos elásticos aeriformes: en el segundo dia D. Sebastian Puertas, idem, de ácidos: D. Genaro Nasarre , idem, de los álkalis: D. Jacinto Araús, idem, de las subst</t>
  </si>
  <si>
    <t>Prat, Dionisio</t>
  </si>
  <si>
    <t>Dionisio Prat</t>
  </si>
  <si>
    <t>oficio de Procurador del Consejo ó de Villa, acudirá á la calle del Carmen, fábrica de cristales de D. Dionisio Prat, donde darán razón. Se desea saber si vive Bartolomé Martínez, hijo de Eugenio y de Antonia Vidal, natural de Valencia; y si hubiere fallecido, en qué Parroquia está enterrado.</t>
  </si>
  <si>
    <t>Presidente Jefferson</t>
  </si>
  <si>
    <t>ueblo Roxoy tendrá verosímilmente las resultas mas favorables para nosotros. El Presidente Jefferson ha dirigido un discurso á la diputación de los guerreros y caudillos Indios de la tribu de los Osages, cuya lectura basta para traslucir algún tanto sus ulteri</t>
  </si>
  <si>
    <t>Marzo. Por uña ordenanza del Congreso de ios Estados-Unidos, sancionada por el Presidente Jefferson, se ha mandado que ningún buque perteneciente á uno ó á muchos ciudadanos ó particulares, residentes en el territorio de la*República, y armado para salir al m</t>
  </si>
  <si>
    <t>lvidemos nunca lo mucho que ha contribuido á nuestro bien estar el gobierno del Presidente Jefferson. r . Como quiera-, en poco tiempo ha sufrido nuestra marina mercante algunos descalabros de consideración. Tres buques han perecido sucesivamente, y dos de ell</t>
  </si>
  <si>
    <t>Presidente Melzi</t>
  </si>
  <si>
    <t>comunicado lo referido en una carta, fecha el i.° del corriente, á nuestro Vice-Presidente Melzi, advirtiéndole que contramande todas las disposiciones dadas por el Ministro de la Guerra. Las cartas de Genova, recibidas estos últimos correos , aseguran que</t>
  </si>
  <si>
    <t>á en el palacio nacional,destinado para residencia de nuestros Reyes; y el Vice-Presidente Melzi vendrá á parar al palacio Serbelloni. FRANCIA. Boloña g de Abril. Ayer se celebraron en esta Parroquia las honras fúnebres á la buena memoria del Almirante Bru</t>
  </si>
  <si>
    <t>Pretel, Francisco</t>
  </si>
  <si>
    <t>Francisco Pretel</t>
  </si>
  <si>
    <t>de Teniente Coronel; Compañías de fusileros en los de Ecijay Monterey á los Tenientes de granaderos D. Francisco Pretel y D. Josef María Yañez; !a Tenencia de granaderos del de Soria al Teniente de Fusileros D: Tomas Rodrigo; Tenencia de fusileros en el de Segovia al Subteniente D. Manuel Eduardo Goros</t>
  </si>
  <si>
    <t>Preux, Francisco</t>
  </si>
  <si>
    <t>Francisco Preux</t>
  </si>
  <si>
    <t>tería Suizo de Courten se ha servido S. M* conceder Tenencia de granaderos al Teniente de fusileros D. Francisco Preux; y Subtenencia de fusileros al Cadete D. Nicolás Riche,: en ei.de Traxler grado de Capitán al Ayudante D. Jacobó Kayser; Tenencias á los Subtenientes D. Jorge; Traxler » D. Franci</t>
  </si>
  <si>
    <t>Prevost</t>
  </si>
  <si>
    <t>discurso de la campaña mas activa y mas brillante, de que no tienen exempio los anales militares. : Mr. Prevost, que habia quedado aquí como Encargado de Negocios^ por ausencia del Barón de Felts , Embaxador de Austria cerca del Gobierno Bátavo, ha marchado á Viena llamado de su Corte. FRAN</t>
  </si>
  <si>
    <t>Prevost, General</t>
  </si>
  <si>
    <t>General Prevost</t>
  </si>
  <si>
    <t>xecutó con felicidad, y se apoderó de la Colonia, ocupando la ciudad de Roseau, que capituló-----El General Prevost, que mandaba la guarnición Inglesa , se ha retirado al fuerte del Príncipe Ruperto, donde se ha encerrado con las tropas que ha podido juntar. Esta triste noticia, que primerament</t>
  </si>
  <si>
    <t>Rochefort ha causado aquí la mayor sensación; pero íe espera que el General Prevost, que se ha encerrado en el fuerte del Príncipe Ruperto* pueda mantenerse en él algunas semanas, hasta que reciba socorros del Almirante Chocrane: se aguardan con impaciencia notic</t>
  </si>
  <si>
    <t>tros. Lastro pasqué ron hechas prisioneras de guerra, excepto 400 hombres, que se refugiaron con el General Prevost en el fuerte del Cabrito, que dista jj. leguas de Roseau. El General Lagrange supo que no habia en la bahía de Ruppooit ningún buque, y que el fuerte del Cabrito era una roca aislad</t>
  </si>
  <si>
    <t>de la Corte de ayer ha publicado la rendición de las colonias de la Dominica y de S. Cristóbal. El General Prevost elogia infinito la conducta y humanidad del General Francés que ha conquistado ia Dominica. Las tropas victoriosas observan la mas severa, disciplina. ÍARIAMEKTO IMPERIAL. Cámara de</t>
  </si>
  <si>
    <t>n el puerto mas inmediato de Inglarerra ó de Irlanda. Según la relación remitida al Gobierno por el General Prevost, no hemos perdido mas que 100 soldados de línea en la Dominica; pero las milicias han sufrido infinito, y su pérdida es considerable. HOLANDA. Haya de Mayo. Ayer tomó posesión el</t>
  </si>
  <si>
    <t>alidad han sido generales. GRAN BRETAÑA. Londres 2/ de Mayo. Ha publicado el Gobierno el oficio del General Prevost en que da Cuenta al Comandante de las tropas Británicas en las Antillas de lo ocurrido et| la Dominica desde la invasión de los Franceses, y es en resumen como si-* gue: ,, El 22 de</t>
  </si>
  <si>
    <t>remamente leal, y que fuéron respetados todos los derechos de la guerra, como puede atestiguarlo el General Prevost. Si la ciudad de Roseau se incendió, esta desgracia debe atribuirse á las baterías Inglesas; asegúrele Vm. de mi ;parte, que si no tiene otros motivos para romper el honorífico tr</t>
  </si>
  <si>
    <t>Prieto, Antonio</t>
  </si>
  <si>
    <t>Antonio Prieto</t>
  </si>
  <si>
    <t>Josef Caruncho: para el Beneficio del lugar de Codorniz, en el Obispado de Avila, por promoción de D. Antonio Prieto á una Canongía de la Catedral de Cuenca, á D. Antonio Gutiérrez; y para el Medio Préstamo de Santa Cecilia de Medellin, en el de Plasencia, vacante por muerte de D. Antonio Miguel</t>
  </si>
  <si>
    <t>Prieto, Pedro</t>
  </si>
  <si>
    <t>Pedro Prieto</t>
  </si>
  <si>
    <t>Id. id. Pedro Prieto.......... Hijo de Ciprian y de Rosa Serafina , na­</t>
  </si>
  <si>
    <t>Príncipe de Schwarzenberg, General</t>
  </si>
  <si>
    <t>General Príncipe de Schwarzenberg</t>
  </si>
  <si>
    <t>acompañó al de Alemania hasta el coche, y se hizo presentar los dos Príncipes de Lichtenstein y el General Príncipe de Schwarzenberg. Después de esto volvió á dormir á Austerlitz. Se están reuniendo todas las noticias para hacer una buena descripción de la batalla de Austerlitz: varios Ingenieros están levantan</t>
  </si>
  <si>
    <t>Príncipe de Zizianow, General</t>
  </si>
  <si>
    <t>General Príncipe de Zizianow</t>
  </si>
  <si>
    <t>de t8o$. En la Gazeta de oficio de Petersburgo del 14 de Diciembre se ha publicado la relación del General Príncipe de Zizianow^ en que da cuenta de las operaciones militares de los Rusos contra los Persas.Es en substancia como sigue: „Después de la derrota de los Persas y toma de su campo de Kanagira, Aba</t>
  </si>
  <si>
    <t>Príncipe Juan de Lichtenstein, Teniente General</t>
  </si>
  <si>
    <t>Teniente General Príncipe Juan de Lichtenstein</t>
  </si>
  <si>
    <t>corriente falleció en esta capital el Príncipe reynante de Lichtenstein, á los 46 años de edad. Ei Teniente General Príncipe Juan de Lichtenstein, su hermano, es .el único heredero, de sus muchos Estados y riquezas. Han entrado en el puerto de Trieste, en todo el mes de Enero último , 221 buques; á saber, 200 con bandera Au</t>
  </si>
  <si>
    <t>Pringle</t>
  </si>
  <si>
    <t>ios campos y Jas guarniciones, con las memorias sobre las substancias sépticas y antisépticas, por Mr. Pringle, traducidas del francés, según Ja séptima edición de su autor, añadidas por D. Juan Galisteo, profesor de Medicina. Se hallará? en la librería de Fernandez, frente á las gradas de</t>
  </si>
  <si>
    <t>Prior, Obispo</t>
  </si>
  <si>
    <t>Obispo Prior</t>
  </si>
  <si>
    <t>a gue quiera hacer pretensión, acudirá, en ei término de dos meses, con sus memoriales al limo. Sr. Obispo Prior de la citada Real Casa, ó al Subprior, enviando los memoriales por el correo. Variedades de ciencias, literatura y artes, núm. 11, con que concluye el segundo trimestre de este año, y s</t>
  </si>
  <si>
    <t>Proby, Lord</t>
  </si>
  <si>
    <t>Lord Proby</t>
  </si>
  <si>
    <t>e se hallaban én la isla, ha muerto de la fiebre amarilla. Entre los que han perecido se cuentan el Lord Proby, y los mas de los Oficiales á sus órdenes. Con fecha del 19 se ha mandado poner embargo sobre todas las embarcaciones Españolas que se hallaren en los puertos de la Gran Bretaña.</t>
  </si>
  <si>
    <t>Prom</t>
  </si>
  <si>
    <t>e ha insertado la carta siguiente de Mr. Roustagny,Comisario de Relaciones comerciales en Venecia: „Mr. Prom, Inspector general de puentes y eaminos, y Mr. Costanzo .Comandante de Ltallon del Cüerpo de Ingenieros Italianos . vinieron a Venecia. Fueron conducidos á ía Policía. Se les hizo</t>
  </si>
  <si>
    <t>Proni</t>
  </si>
  <si>
    <t>r el Ministro de Negocios extrangeros, con motivo del mal tratamiento que se exerció en Venecia con Mr. Proni, del Instituto de Francia: 3.a Carta dirigida en 5 de Agosto por el Ministro de Negocios extrangeros al Conde Luis de Cobentzel, Vice-Cancüler de Corte y de Estado en Viena: 4.a D</t>
  </si>
  <si>
    <t>Proust, Luis</t>
  </si>
  <si>
    <t>Luis Proust</t>
  </si>
  <si>
    <t>3 36 . Indagaciones sobre el estañado del cobre, la vaxilla de estaño y el vidriado, por, D. Luis Proust: iin tomito en 4.0, impreso de orden superior, en que se 3clara Ja* dudas que habia sobre los envenenamientos por el cobre y el plomo de las vasijas de fondas,.reposterías,cocinas</t>
  </si>
  <si>
    <t>á beneficio de los que se dedican á Jas ciencias naturales, con notas de D. Luis Proust, Catedrático de Química del Real Laboratorio de esta Corte. El tomo 4.0' está en'prensa. Véndese en el despacho de la Imprenta Real. , En la villa de Lumbreras de Cameros, Obispad</t>
  </si>
  <si>
    <t>S. M. en Ja Imprenta Real, á beneficio de los que se dedican á las ciencias naturales, con notas de D. Luis Proust, Catedrático de Química del Real Laboratorio de esta Corte. El tomo 5.0 esta concluyéndose. Véndese, con los anteriores, en el despacho de la Imprenta Real. Por el correo del día</t>
  </si>
  <si>
    <t>e las confirió en 23 de Octubre de 1800, y no llegó á tomar posesión, á D. Vicente Hernández Vigil. Don Luis Proust, Catedrático de Química en esta Corte, dará principio á las lecciones de esta ciencia el martes 3 de Diciembre próximo, y las continuará los martes, juéves y sábados de cada seman</t>
  </si>
  <si>
    <t>Prudencio de Amor, Vicente</t>
  </si>
  <si>
    <t>Vicente Prudencio de Amor</t>
  </si>
  <si>
    <t>quia de Santa María de Lugo , en el Obispado de Oviedo, vacante por muerte de D. Josef Canejares, á Don Vicente Prudencio de Amor: para el Beneficio de la villa de Guillena, en el Arzobispado de Sevilla, vacante por muerte de D. Diego Andrés Ramírez, á D. Joaquín López, Presbítero en aquella ciudad: para el</t>
  </si>
  <si>
    <t>Prusiano Barón de Kobelsdorff, General</t>
  </si>
  <si>
    <t>General Prusiano Barón de Kobelsdorff</t>
  </si>
  <si>
    <t>ciudad, del Conde de Keller, Ministro que fue del Rey de Prusia cerca délos Estados-Generales,y del General Prusiano Barón de Kobelsdorff. Rotterdam 2$ de Enero. En las Gazetas Inglesas se da la noticia de haberse empezado Jas juntas de la Asamblea de los Estados de la Jamayca. El Teniente de Gobernador ha hecho la</t>
  </si>
  <si>
    <t>Puckwort, Almirante</t>
  </si>
  <si>
    <t>Almirante Puckwort</t>
  </si>
  <si>
    <t>9*0 El Almirante Puckwort ha de mandar una división de la esquadra del Lord Nelson. Se ha publicado en Londres y en Edimburgo el resultado de las investigaciones de la Sociedad Escocesa sobre la autenticid</t>
  </si>
  <si>
    <t>Puertas, Sebastián</t>
  </si>
  <si>
    <t>Sebastián Puertas</t>
  </si>
  <si>
    <t>ra terrestre : D. Juan Antonio Pradas, idem, de los fluidos elásticos aeriformes: en el segundo dia D. Sebastian Puertas, idem, de ácidos: D. Genaro Nasarre , idem, de los álkalis: D. Jacinto Araús, idem, de las substancias metálicas: D. Serafín García, Cursante de Medicina, de la Mineralogía; y D.</t>
  </si>
  <si>
    <t>Puesco, Juan</t>
  </si>
  <si>
    <t>Juan Puesco</t>
  </si>
  <si>
    <t>Id. Cabo. 1 Juan Puesco......... Hijo de Manuel y de Teresa Martin, na­</t>
  </si>
  <si>
    <t>Puget, Capitán</t>
  </si>
  <si>
    <t>Capitán Puget</t>
  </si>
  <si>
    <t>nge de prisioneros, á cuyo efecto se permitió baxar á tierra al Capitán de una fragata Inglesa. —El Capitán Puget ha sido nombrado Agente de nuestros prisioneros de guerra en Francia» adonde pasará luego que reciba sus.pasaportes. Los amigos sensatos de Mr. Pitt temen en el dia que su última</t>
  </si>
  <si>
    <t>l 21 se lee el artículo siguiente: ,,Sabemos de cierto que los Franceses no han rehusado recibir al Capitán Puget en calidad de Agente para los prisioneros de guerra: y tenemos fundamentos para creer que las cartas que ha traído el parlamentario que ha venido de Morlaix á Plimouth, no son en lo</t>
  </si>
  <si>
    <t>Puig, Rafael</t>
  </si>
  <si>
    <t>Rafael Puig</t>
  </si>
  <si>
    <t>66. 12. Rafael Puig................Josef...,. Margarita, , , , , Sampeire , , Puígcerda , , 66. 12. Carlos Gifreu............ Otro. . ... Eulalia Cortines, , Berga , , , , Manresa , ,</t>
  </si>
  <si>
    <t>Pujadas, Antonio</t>
  </si>
  <si>
    <t>Antonio Pujadas</t>
  </si>
  <si>
    <t>aldera, va*os de alambre, inflexión de tubos, y'lo demas perteneciente á este ramo; y el carpintero D. Antonio Pujadas, sobre haber trabajado exactamente lo que es de su oficio, se distinguió en idear una llave de paso de particular disposición, que contribuye á la simplificación de la máquina. El</t>
  </si>
  <si>
    <t>Pujadas, Pedro</t>
  </si>
  <si>
    <t>Pedro Pujadas</t>
  </si>
  <si>
    <t>Idem , , , 66. 12. Pedro Pujadas............Miguel.... Madrona Torres, , San Andreu , Barcelona, , 66. 13. Ignacio Valls. . ..... Juan. .... María Mas, , , , , San Padó , , Ma</t>
  </si>
  <si>
    <t>Pujaita, Domingo</t>
  </si>
  <si>
    <t>Domingo Pujaita</t>
  </si>
  <si>
    <t>. Dos casas en la ciudad de Bárgos, en sü plaza mayor, tasada la .una, que habitan los herederos de D. Domingo Pujaita, en 91,850 rs. en venta, y en ren¡ta 2800; y la otra, que habita D. Santiago Garra, en venta 58,690 rs. y en renta 1500. Y últimamente una casa en esta Corte, calle de Leganitos,</t>
  </si>
  <si>
    <t>Pully, General</t>
  </si>
  <si>
    <t>General Pully</t>
  </si>
  <si>
    <t>cazadores de caballería, los dragones, á las ordenes del General Mermet, y. los coraceros á las del General Pully, se acercaron al rio, miéntras que las divisiones Duhesme y Seras marchaban á S. Vitto, y las de los Generales Molitor y Gardanne se dirigían á Valvasona. _—El General Espagne rec</t>
  </si>
  <si>
    <t>Pusterla, Juan</t>
  </si>
  <si>
    <t>Juan Pusterla</t>
  </si>
  <si>
    <t>. Antonio Escalera, Di Mateo Ghar-1 denoux, D. Pedro Argaiz, D. Pablo Ventades, D. Agustín Salazar, Don Juan Pusterla, D. Pedro del Barco, D. Francisco Saravia y D. Manuel Cebi-ian¿ En Iqs Cuerposde Milicias Provinciales ha promovido el Rey á Tenientes, en ei;d¿ León, á Ios-Subtenientes D. Santia</t>
  </si>
  <si>
    <t>Puy, Juan</t>
  </si>
  <si>
    <t>Juan Puy</t>
  </si>
  <si>
    <t>Id. ,Cond. 2. Juan Puy.............. Hijo de Juan, natural de la ciudad de</t>
  </si>
  <si>
    <t>Pynard</t>
  </si>
  <si>
    <t>sidía en el Haya de Ministro del Rey su amo. El Secretario de Estado del Departamento de la Guerra, Mr. Pynard, marchó ayer al campamento de Zeist, para asistir á las evoluciones militares que se han de hacer mañana. ITALIA. Milán 11 de Julio. Se han publicado varios decretos del Emperador</t>
  </si>
  <si>
    <t>Qaadrado, Juan</t>
  </si>
  <si>
    <t>Juan Qaadrado</t>
  </si>
  <si>
    <t>al Sargento primero D. Antonio Barreda : en él de Borbon Compañía al Ayudante, graduado de Capitán, D. Juan Qaadrado; y empleo de Alférez al Portaestandarte Antonio Saliquet; y en el de Montesa Tenencia al Alférez D. Pedro Mur. También se ha dignado S. M, concedér en el de Dragones de Almansa Co</t>
  </si>
  <si>
    <t>QlaudiojSanz</t>
  </si>
  <si>
    <t>Torquato Antonio Collado, Teniente Corregidor de esta villa, por ante el Eseríb,anp-rd.é"íP:n&amp;jne$o D. QlaudiojSanz ,^ que se ,a¡nuneia a] público para que los que lo sean acudan á ella, legitimando sps. péfsonas'y:cráditQs..i: Para pago-de acreedores, y-eon diferentes censos-redimibles, se man</t>
  </si>
  <si>
    <t>Que, Manuel</t>
  </si>
  <si>
    <t>Manuel Que</t>
  </si>
  <si>
    <t>enientes de compañía 3os de bandera D. Josef Chamizo y D. Antonio Nuñez; y á esta resulta al Cadete D. Manuel Que ral ta y al Sargento primero D. Josef Moreno. En el de Cuba ha conferido S. M. la Sargentía maj'or al Capitán del de la Havana D. Juan Josef de Estrada; y ha promovido á Capitanes</t>
  </si>
  <si>
    <t>Querol y Pascual, Nicolás</t>
  </si>
  <si>
    <t>Nicolás Querol y Pascual</t>
  </si>
  <si>
    <t>él nombramiento que.hizo en D. Esteban Querol por decreto de 24 de Junio del año próximo pasado, á D. Nicolás Querol y Pascual, con dimisión de ios dos Beneficios unidos que obtiene en la villa de Morella, Diócesi de Tortosa. ;■ El Rey se ha servido nombrar para la Canongía que en la Sta. Iglesia de Plasé</t>
  </si>
  <si>
    <t>Querol, Estéban</t>
  </si>
  <si>
    <t>Estéban Querol</t>
  </si>
  <si>
    <t>ada, en el mismo Arzobispado, vacante por no haber tenido efecto; el nombramiento que S. M. hizo en D. Estéban Querol, por su decreto de 24 de Julio del año próximo pasado, á D. Francisco de Paula Moreno, Teniente de Cura de la Parroquia de la villa del Berrocal, ambos con carga de residencia per</t>
  </si>
  <si>
    <t>Querol, Esteban</t>
  </si>
  <si>
    <t>Esteban Querol</t>
  </si>
  <si>
    <t>de S. Lúcar, Arzobispado de Sevilla, vacante por no haber tenido efecto él nombramiento que.hizo en D. Esteban Querol por decreto de 24 de Junio del año próximo pasado, á D. Nicolás Querol y Pascual, con dimisión de ios dos Beneficios unidos que obtiene en la villa de Morella, Diócesi de Tortosa.</t>
  </si>
  <si>
    <t>Quijano, Gabriel</t>
  </si>
  <si>
    <t>Gabriel Quijano</t>
  </si>
  <si>
    <t>italiano por el P. Constantino Roncaglia, sobre la del limo. Bossuet, y traducido al castellano por D. Gabriel Quijano, Presbítero. =: Descripción artística del hospital de la Sangre de Sevilla, por D. Juan Agustín Cean Bermudez. Se bailarán en la librería de Martínez, calle de las Carretas. El nu</t>
  </si>
  <si>
    <t>Quintana, Felipe</t>
  </si>
  <si>
    <t>Felipe Quintana</t>
  </si>
  <si>
    <t>de infantería de blancos de Maracaybo, en la provincia de Venezuela , al Teniente del propio Cuerpo D. Felipe Quintana; empleos de Teniente al de la misma dase agregado D. Miguel de Angulo, y á los Subtenientes D. Francisco de Oberto y D. Bartolomé Cordero; y de Subtenientes á los Cadetes D. André</t>
  </si>
  <si>
    <t>Quintano, Juan</t>
  </si>
  <si>
    <t>Juan Quintano</t>
  </si>
  <si>
    <t>scurso sobre la mitología de los antiguos, escrita en ingles por Mr. Andrés Ramsay, y traducida por D. Juan Quintano: 2 tomos en 8.° Se hallará á 18 rs. en rústica eai la librería de Castillo, frente á las gradas de S. Felipe. Preceptos generales sobre las operaciones de los partos: esta adicion</t>
  </si>
  <si>
    <t>Quintero Gómez, Ramón</t>
  </si>
  <si>
    <t>Ramón Quintero Gómez</t>
  </si>
  <si>
    <t>an Antonio Martínez Azpeytía ; y para el Corregimiento de la villa de Illescas, que este obtenía, á D. Ramón Quintero Gómez. S. M. se ha servido nombrar Guarda-Almacén ordinario de Artillería de la plaza de Ciudad-Rodrigo á D. Antonio Carvajales, Guarda-Almacén extraordinario de la del Ferrol; y para e</t>
  </si>
  <si>
    <t>Quintero, Luis</t>
  </si>
  <si>
    <t>Luis Quintero</t>
  </si>
  <si>
    <t>o de Capitán, D. Alexo Gutiérrez de Ru ba Icava: en el de Toledo al Ayudante, con grado de Capitán, D. Luis Quintero; y en el de la Princesa al Teniente de granaderos, graduado de Capitán, D. Rafael de la Puente; y Subtenencia de bandera en el de Hibernia al Sargento primero de granaderos D. Tom</t>
  </si>
  <si>
    <t>Quintian y Ponte, Andrés</t>
  </si>
  <si>
    <t>Andrés Quintian y Ponte</t>
  </si>
  <si>
    <t>ispado de Cuenca , en el Periu ^ vaciante por fallecimiento de?Dv Francisco de 1^ Fita y Carrion, á D. Andrés Quintian y Ponte-, Dean de la Sta. Iglesia dé la Concepción de Chile. En el Real Cuerpo de Ingenieros de exército se ha dignado el Rey promover á Director Subinspector al Brigadier el Coronel D. Fr</t>
  </si>
  <si>
    <t>Quintian, Andrés</t>
  </si>
  <si>
    <t>Andrés Quintian</t>
  </si>
  <si>
    <t>ha servido nombrar para el Deanato de la Iglesia de la Concepción de Chile, vacante por ascenso de D. Andrés Quintian al Obispado de Cuenca, á D. Mariano Roa y Alarcon: para el Arcedianato que este dexa á D. Salvador de Andrade; y para la Canongía que este obtenía á Don Juan Bernardo Ruiz, Cura e</t>
  </si>
  <si>
    <t>Quiroga, Cardenal</t>
  </si>
  <si>
    <t>Cardenal Quiroga</t>
  </si>
  <si>
    <t>e dél Cafro, sita á 4 leguas .de distancia de la capital, y perteneciente á las ébras pías del .Sr. Cardenal Quiroga, que administra el Convento de Religiosos Agustinos de la villa de Madrigal: tiene casa principal erigida sobre 11,625 PJ'es dé sitio, boyeriza y pajar junto á la misma casa, pozo</t>
  </si>
  <si>
    <t>Quixote</t>
  </si>
  <si>
    <t>de Berard, y en Cádiz en la de Pajares. El Anti-Quixore, obra crítica contra la excelente novela de D. Quixote de lá Mancha, por D. Nicolás Perez, el Setabiense, Catedrático que fué de la Universidad de Valencia, y Socio de varias Academias. Se subscribe ál tomo i.°, que se entregará dentro d</t>
  </si>
  <si>
    <t>de, se admiten subscripciones para Madrid y todas partes. Yid'a.y hechas ¿del ¡iílgea’bQS.Q hidalgo D. Quixote de la ^Mancha,- por el.‘Licenciado Alonso Fernandez de Avellaneda, natural de Tordesilias: nueva edicipn. .Esta obra*/ que ;eh el ,diá:rapéjias es conocida sino por la censura con que l</t>
  </si>
  <si>
    <t>Quixote y Sancho</t>
  </si>
  <si>
    <t>umero anterior; Coridon y Galatea, égloga; la candidez de Elisa, oda; de Elvira, oda; diálogo entre D. Quixote y Sancho, soneto; noticias de la Sociedad Teyleriana, y anuncios. Se hallará á 3 rs. en la librería de Escribano, calle de las Carretas, y en la de Argueta, calle de la Montera, donde se a</t>
  </si>
  <si>
    <t>R- Calder</t>
  </si>
  <si>
    <t>alla en las Dunas, de vuelta del Texel, que ha reconocido á bordo del EdgarDicen que la esquadra de Sir R- Calder se compone de un navio de. no,, de tres de 98 , de dos de 84» de. dos de. 8o » de diez, de 74» de una de 64y de otro; de 36» de tres fragatas, y dos bergantinesLas noticias de Cay</t>
  </si>
  <si>
    <t>Rado, Juan</t>
  </si>
  <si>
    <t>Juan Rado</t>
  </si>
  <si>
    <t>13. Juan Rado............... Hijo de Domingo, natural de Padi enHun-) ^ ,</t>
  </si>
  <si>
    <t>Rafael'</t>
  </si>
  <si>
    <t>Iregui; á Subteniente ai segundo Ayudante , con grado de Subteniente, D. Josef García y. al Cadete Don Rafael' de' Nosj' y á ;ségündos. Ayudantes, con grado de Subtenientes los Cadetes D. Francisco cfe_Ia Barrera y D. Nemesio Iberri. .También se ha dignado el Rey'nombrar para el Corregimiento</t>
  </si>
  <si>
    <t>Raffeto, Capitán</t>
  </si>
  <si>
    <t>Capitán Raffeto</t>
  </si>
  <si>
    <t>Ingles de tm buque Ligustico á la vista dei puerto de Spezzia; pero habiendo salido á socorrerlo el Capitán Raffeto, con algunas embarcaciones" armadas , consiguió que dexase la presa el corsario después de un'combate muy vivo. ¿ Por un buque Raguseo, que salió el 8 de‘Diciembre de Túnez * se h</t>
  </si>
  <si>
    <t>Rafu</t>
  </si>
  <si>
    <t>ublos. Los escritos de Mr. Cadet-de-Vaux, de París, acerca de la gelatina de huesos, han excitado á Mr. Rafu, individuo del Colegio de comercio de Copenhague, y al Profesor Wiborg, la idea de hacer muchos ensayos , cuyas resultas se han comunicado á la Sociedad establecida en París para</t>
  </si>
  <si>
    <t>Rainier, Almirante</t>
  </si>
  <si>
    <t>Almirante Rainier</t>
  </si>
  <si>
    <t>Ministros tendrán que proponer otro para ocurrir á este gasto. El Gobierno ha recibido pliegos del Almirante Rainier, en que anuncia, que al mismo tiempo que el navio Centurión combatía con la esquadra Francesa de Linois, se apoderaba una fragata de aquella nación del navio de la India la Prince</t>
  </si>
  <si>
    <t>Francesa de 36 cañones y 240 hombres de tripulación por la fragata de S. M. nombrada S. Lorenzo. El Almirante Rainier lia arribado á Sta. Elena con 15 navios de Bengala, Madras y Bombay; y debia hacerse á la vela para Inglaterra luego que llegase la segunda división del convoy de China. En quañto</t>
  </si>
  <si>
    <t>Rainon Riveyra</t>
  </si>
  <si>
    <t>Rainon Riveyra.... Hijo de Antonio , nat. de S. Julián deTam-s</t>
  </si>
  <si>
    <t>Ramerí, Tomás</t>
  </si>
  <si>
    <t>Tomás Ramerí</t>
  </si>
  <si>
    <t>és: D. Francisco Moyua, id., muerto en el Nepomuceno: D. Joaquin Somoza, id., herido en el Neptuno. D. Tomas Ramerí, id., herido en el Bahama: D. Josef Brandaris, id., herido en el S. Agustín. Tententes de Navio. D. Juan González Cisniega, muerto: D. Joaquín de Salas id.: D. Juan Matute id.: D.</t>
  </si>
  <si>
    <t>Ramírez de Arellano, Vicente</t>
  </si>
  <si>
    <t>Vicente Ramírez de Arellano</t>
  </si>
  <si>
    <t>rabineros á D. Antonio Estéban; y á Alféreces al Sargento primero D. Josef Miguel Pagan y al Cadete D. Vicente Ramírez de Arellano. Don Francisco Xavier Trelles ha dado cuenta al Excmo. Sr. Generalísimo Príncipe de la Paz, que el dia 21 de Marzo se dexó ver del puerto de Luarca un quechemarin que venia huyend</t>
  </si>
  <si>
    <t>Ramírez de Luque, Fernando</t>
  </si>
  <si>
    <t>Fernando Ramírez de Luque</t>
  </si>
  <si>
    <t>íunio de 1803 predicó en la Iglesia Parroquial de Lucena, presente el limo. Sr. «Obispo de Córdoba, D. Fernando Ramírez de Luque, Cura Beneficiado en dicha Iglesia. Se hallará en la librería de Castillo, frente á las gradas de S. Felipe, á 2 rs. El Pange lingua, Sacris solemniis y Letanía ¿el Santísimo Sacr</t>
  </si>
  <si>
    <t>io, de la Colección de Santos Mártires, Confesores y Varones venerables del Clero secular, su autor D. Fernando Ramírez de Luque, Cura de Lucena, se hallarán en la librería de Castillo, frente á las gradas de S. Felipe; en Sevilla en la de Caro, en Córdoba en la de Rodríguez de \ la Torre, en Valencia en la</t>
  </si>
  <si>
    <t>Ramírez, Bartolomé</t>
  </si>
  <si>
    <t>Bartolomé Ramírez</t>
  </si>
  <si>
    <t>neficio simple servidero de la villa de Mombeltran, Obispado de Avila, vacante por fallecimiento de D. Bartolomé Ramírez , á D. Julián Fernandez Melgar, Cura Párroco de la villa de Arenal en aquella Diócesi. En la relación de individuos dé las brigadas de desterrados fallecidos en Ja plaza de Ceuta,</t>
  </si>
  <si>
    <t>Ramírez, Diego Andrés</t>
  </si>
  <si>
    <t>Diego Andrés Ramírez</t>
  </si>
  <si>
    <t>mor: para el Beneficio de la villa de Guillena, en el Arzobispado de Sevilla, vacante por muerte de D. Diego Andrés Ramírez, á D. Joaquín López, Presbítero en aquella ciudad: para el de la villa de Tejada, en el mismo Arzobispado, vacante por no haber tenido efecto; el nombramiento que S. M. hizo en D.</t>
  </si>
  <si>
    <t>Ramírez, Francisco</t>
  </si>
  <si>
    <t>Francisco Ramírez</t>
  </si>
  <si>
    <t>l Cuerpo de Ingenieros del exército á D. Diego Sande, que lo era del Regimiento de Extremadura, y á D. Francisco Ramírez , Cadete de Reales Guardias de infantería Española. S. M. se ha servido conferir la Sargentía mayor del Regimiento de caballería de Santiago al Teniente Coronel D. Francisco Romer</t>
  </si>
  <si>
    <t>Ramírez, Manuel</t>
  </si>
  <si>
    <t>Manuel Ramírez</t>
  </si>
  <si>
    <t>urcia: para una Ración de la Colegial de la villa de Roa, Diócesi de Osma, vacante por promoción de Don Manuel Ramírez á otra de aquella Catedral, á D. Manuel González , Cura Párroco de la villa de Olmedillo, en la propia Diócesi: para otra de la Colegial de Antequera, Diócesi de Málaga, vacante p</t>
  </si>
  <si>
    <t>Ramírez, Tomás</t>
  </si>
  <si>
    <t>Tomás Ramírez</t>
  </si>
  <si>
    <t>yundantía en el Regimiento de Infantería de América al Teniente de granaderos, graduado de Capitán, Don Tomas Ramírez: Tenencia en el de Nápoles al Subteniente de granaderos D. Pedro Schiafinati; y Subtenencias de bandera en el de Murcia al Sargento primero D. Jayme Lafont, y al Cadete D. Juan Co</t>
  </si>
  <si>
    <t>Ramiro</t>
  </si>
  <si>
    <t>o, que comprehende 42 números. Segundo, nueva demostración sobre la falsedad del privilegio del Rey D. Ramiro 1^ en el qual se supone haber concedido ios votos á Ja Iglesia de Santiago, en seguida de la batalla de Clavijo: razones que persuaden haber sido aquellos mas antiguos en la Dióce</t>
  </si>
  <si>
    <t>o el Mayor, por D. Joaquín Traggta: 4.a Nueva demostración sobre la falsedad del privilegio del Rey D. Ramiro 1, en el qual se supone haber concedido los votes á la Iglesia de Santiago de Galicia, en seguida de la batalla de Clavijo, por D. Joaquín Antonio del Camino *. 5.a Impugnación al</t>
  </si>
  <si>
    <t>Ramoija García</t>
  </si>
  <si>
    <t>núm. 18, desean saber la residencia de Doña Ramoija García, parienta de D. Miguel Muñoz, que fué comerciante, ó ha tenido tienda en la calle del Regó de Agua de la Coruña, ó arrabal de dicha ciudad, para reemplazarla de ciertos haberes qu</t>
  </si>
  <si>
    <t>Ramón Antonio</t>
  </si>
  <si>
    <t>plaza de Oidor del Consejo de Navarra * vacante por fallecimiento de D. Marcos López de Gonzalo, á Don Ramón Antonio,Tirado, Alcalde de Corte de aquel Tribunal; y para está resulta á D. Francisco Cándido de Paz. En América. El Rey se ha servido nombrar para el Obispado de Santa Cruz de la Sierra</t>
  </si>
  <si>
    <t>Ramón Martín</t>
  </si>
  <si>
    <t>enes que se expusiéron á esta tentativa fueron Di Camilo Garéía y. Bálcaneras, D.' Antonio Miqueli, D. Ramón Martin, D. Francisco de Paula Andradé; D. Pablo T/opeñ ; D.' Francisco.Aguirre , D. Antonio Monasterio, Di Manuel Vito Rarbajosa, D. Josef Vázquez, D. Domingo Perez4 D. Antonio Roxásy Di</t>
  </si>
  <si>
    <t>Ramón Mateo</t>
  </si>
  <si>
    <t>a: D. Joaquín Perez de Arrieta , Maestro en Artes , y cursante en Cánones, del cálculo diferencial: D. Ramón Mateo, también cursante en Cánones, de Trigonometría y Geometría práctica: D. Mateo Palacio, de Algebra: D. Miguel Pascual, cursante en Leyes, de la aplicación del Algebra á la Geometrí</t>
  </si>
  <si>
    <t>Ramos Ballina, Juan</t>
  </si>
  <si>
    <t>Juan Ramos Ballina</t>
  </si>
  <si>
    <t>muy fácil la inteligencia del latino: se ha procurado simplificar lo mas que se ha,podido: su autor D. Juan Ramos Ballina. Se hallará en la librería de la. viuda é hijo de Quiróga, calle de las Carretas. Instrucción metódica, especulativa y práctica para enseñar á cantar y tañer la música moderna y a</t>
  </si>
  <si>
    <t>Ramos Vallina Set, Juan</t>
  </si>
  <si>
    <t>Juan Ramos Vallina Set</t>
  </si>
  <si>
    <t>ó Diálogo sobre la ortografía castellana, a las que ¿compaña un tratádito de prosodia en verso, por D. Juan Ramos Vallina Set, Catedrático de Latinidad, Retórica y Poética de esta Corte. Los tratados que hay de ortografía están fundados* en el oiígen latino, y por consiguiente sus reglas son in</t>
  </si>
  <si>
    <t>Ramos, Melchor</t>
  </si>
  <si>
    <t>Melchor Ramos</t>
  </si>
  <si>
    <t>o Salcedo; Ayudantía á D. Calixto Ramos; Tenencia de granaderos á D. Timoteo Ramos, D. Pedro Béjar, D. Melchor Ramos, D.Josef Vicente Andrade , D. Alberto de Castro , D. Manuel Antonio Gómez, Don Ramón de Santander y D. Joaquín Tejada; Subtenencia de granaderos á Don Eugenio de Castro, y de fusi</t>
  </si>
  <si>
    <t>Martin Vargas; Ayudantías á D. Jorge Santos García y D. Melchor Olaquibel; Tenencia de granaderos á D. Melchor Ramos;y sencillas á D. Laureano Cabrera , D. Mariano Anaya, D. Blas Cuenca , I). Faustino Aragón, D. Juan de Dios Camborda, Don Josef Bobadilla, D. Silverio Mogrovejo, D. Paulino Roxas,</t>
  </si>
  <si>
    <t>Ramos, Pedro</t>
  </si>
  <si>
    <t>Pedro Ramos</t>
  </si>
  <si>
    <t>ts y Mas: para una Media-Ración patrimonial de la Catedral de Tarazona, vacante por promo-' cion de D. Pedro Ramos á otra entera, á D. Pedro Pablo Chueca, Cura de la Parroquial de Monteagudo, en aquella Diócesis: para una MediaCapellanía racional de la propia Iglesia, vacante por promoción de</t>
  </si>
  <si>
    <t>Ramsay, Andrés</t>
  </si>
  <si>
    <t>Andrés Ramsay</t>
  </si>
  <si>
    <t>Viages de Ciro el Joven, con un discurso sobre la mitología de los antiguos, escrita en ingles por Mr. Andrés Ramsay, y traducida por D. Juan Quintano: 2 tomos en 8.° Se hallará á 18 rs. en rústica eai la librería de Castillo, frente á las gradas de S. Felipe. Preceptos generales sobre las opera</t>
  </si>
  <si>
    <t>viages de Ciro el joven, con un discurso sobre la Mitología de los antiguos, escrita en ingles por Mr Andrés Ramsay, y traducida por D. Jiian Quintano, Oficial de la Secretaría de Estado y del Despacho Universal de Hacienda de España: 2 tomos en 8.° Se hallará en la librería de Castillo, frente</t>
  </si>
  <si>
    <t>Rando, Salvador</t>
  </si>
  <si>
    <t>Salvador Rando</t>
  </si>
  <si>
    <t>Santa Iglesia Catedral de esa ciudad se tía dado sepultura al cadáver del Prebendado de la misma D. Salvador Rando, no obstante de que varias yeces se pidió al Dean de la propia Iglesia par la Junta de Sanidad señalase hora para que se hiciese fuera de poblado, como se ha practicado con otros,</t>
  </si>
  <si>
    <t>Ranerio, Archiduque</t>
  </si>
  <si>
    <t>Archiduque Ranerio</t>
  </si>
  <si>
    <t>a 10 de Julio. El Emperador ha nombrado para la plaza de Ministro de lo Interior á S. A. R. é I. el Archiduque Ranerio, su hermano, á quien pasará todos los expedientes y negocios el Consejo de Estado antes de subir á la aprobación de S. M. I. El Conde de Wintzingerode saldrá muy en breve de esta</t>
  </si>
  <si>
    <t>esa. Esta nueva planta, qu: se propuso hace ya tiempo, se realizará muy en breve; y según dicen, el Archiduque Ranerio tendrá la Presidencia de dicho Consejo. Anda muy valida la voz de que el Emperador no irá á las fronteras de Italia ni á la Styria, sino á Hungría y á Galíitzia. Emprenderá su via</t>
  </si>
  <si>
    <t>Rantzau, General</t>
  </si>
  <si>
    <t>General Rantzau</t>
  </si>
  <si>
    <t>ederico de Hesse manda la primera; el General During la segunda, y el General Moltke la tercera. El General Rantzau mandará el cuerpo de reserva, y la vanguardia estará baxo las órdenes del General Ewald. Este cuerpo de exército se compone de 12 esquadrones de dragones, 12 de caballería, 7 de h</t>
  </si>
  <si>
    <t>Rarnon de Milla Cuellar</t>
  </si>
  <si>
    <t>de D. Casimiro Antonio Gómez. Por ,1a audiencia del citado Sr. Teniente, y escribanía del número de D. Rarnon de Milla Cuellar, á virtud de la aprobación hecha del remate celebrado en el dia 22' de Julio próximo pasado de dos oficios de Receptor de los Reales Consejos, que s* verificó en 67® rs. en vales</t>
  </si>
  <si>
    <t>Rato, Pedro</t>
  </si>
  <si>
    <t>Pedro Rato</t>
  </si>
  <si>
    <t>erido: D. Josef Losada id.: D. Pedro Brigloer id.: D. Manuel Huergo, contuso: D. Simón Londoño id.: D. Pedro Rato, herido. Alféreces de Fragata. D. Benito Bermudez de Castro, muerto: D. Juan Balsola, herido: D. Nicolás del Rio id.: D. Josef de la Serna id.: Don Diego del Castillo id.: D. Geró</t>
  </si>
  <si>
    <t>Raudo, Salvador</t>
  </si>
  <si>
    <t>Salvador Raudo</t>
  </si>
  <si>
    <t>Trillo, en aquella Diócesis*, para una MediaRación de la Catedral de Málaga, vacante por muerte de D. Salvador Raudo, á D. Juan Rosales Sánchez: para el Beneficio Préstamo del lugar de Romangordo y sus anexos, en la de Plasencia , vacante por fallecimiento de D. Gregorio Valcárcel, á D. Josef Es</t>
  </si>
  <si>
    <t>Raxá, Capitán</t>
  </si>
  <si>
    <t>Capitán Raxá</t>
  </si>
  <si>
    <t>confirmado, según costumbre, el nombramiento que no había sabido impedir'. Luego que llegó aquí el Capitán Raxá,remitió á dicho General, elegido por los soldados y por el populacho turbulento, un firman del Gran Señor, en que le nombraba Gobernador de Egipto, con la carga y expresa condició</t>
  </si>
  <si>
    <t>Raymundo Albrizano</t>
  </si>
  <si>
    <t>o de Soria, Dignidad de la Catedral de Osma, vacante por muerte de D. Basilio Antonio de Rábago , á D. Raymundo Albrizano, Canónigo Penitenciario de la Colegial de S, Ildefonso : para una Canongía de la Colegial de la ciudad de Sta. Fe, en el Arzobispado de Granada, vacante por fallecimiento de D. Jo</t>
  </si>
  <si>
    <t>Raymundó Gutierres Otero</t>
  </si>
  <si>
    <t>cay al Marques de Casa-Boza: Compañía en el de Chota á D. Manuel Bernal : el Regimiento de Camaná á D. Raymundó Gutierres Otero : la Tenencia Coronela del de Paucartambo á D. Juan González Viilagra ; la Sargentía mayor del mismo áD. Martin Garmendia, y ComÍ&gt;añía en el propio á D. Lino Saenz: Tenencia en el</t>
  </si>
  <si>
    <t>Razanoff</t>
  </si>
  <si>
    <t>el, que servirá para que comuniquen el mar Negro y aquel puerto. El Gobierno ha recibido pliegos de Mr. Razanoff, Embaxador de nuestro Emperador en el Japón; la fecha de las cartas es de Kamtschatka. Con motivo de la llegada de dos correos, uno de Berlín y otro de Viena, se juntaron los Mini</t>
  </si>
  <si>
    <t>Rea, Príncipe</t>
  </si>
  <si>
    <t>Príncipe Rea</t>
  </si>
  <si>
    <t>a la tropa desde el puente largo hasta palacio. Al apearse el Emperador fue recibido por el Rey, el Príncipe Rea! y el Príncipe Federico, y fue conducido á la habitación del difunto Rey Federico Guillermo ii: allí estaba reunida la familia Real y toda la Corte. S. M. la Rey na salió á recibi</t>
  </si>
  <si>
    <t>Real Colegio Médico de Madrid</t>
  </si>
  <si>
    <t>Médico Consultor de los Reales ;Ejxéreitqs, pensionado por S. M., individuo del Real Colegio Médico de Madrid, Académico asociado de. la Real Academia Médica Matritente, Comisionado repetidas veces en calidad de Inspector de la salud pública del distrito del Campo de Gibraltar por los Ex^iriOs,; Sre</t>
  </si>
  <si>
    <t>Real de Dinamarca, Príncipe</t>
  </si>
  <si>
    <t>Príncipe Real de Dinamarca</t>
  </si>
  <si>
    <t>de la tarde , y llegíroti una hora después LHelsingborg con toda felicidad. A las tres saliéren el Príncipe Real de Dinamarca y los demas personages, que le habían acompañado para Copenhague, adonde llegaron al caer de la tarde.</t>
  </si>
  <si>
    <t>466 Desde 1784, en que el Príncipe Real de Dinamarca empezó i dirigir los negocios de Estado, ha dado las pruebas mas auténticas é irrefragables de su gran zelo por el logro de la libertad de los aldeanos de Dinamarca, y de los Ducado</t>
  </si>
  <si>
    <t>Real de Prusia, Príncipe</t>
  </si>
  <si>
    <t>Príncipe Real de Prusia</t>
  </si>
  <si>
    <t>de hacerle la Corte los de Inglaterra, de Austria, de Turquía, de Portugal^ de Saxonia y otros. El Príncipe Real de Prusia ha recibido de manos del Emperador de Rusia las insignias de la Orden de S. Andrés. Potsdam $ de Noviembre. El Emperador de las Rusias, acompañado del Duque de Weymar, salió ayer</t>
  </si>
  <si>
    <t>Real, Antonio Luis</t>
  </si>
  <si>
    <t>Antonio Luis Real</t>
  </si>
  <si>
    <t>argo, comisionó la Real Junta de dirección y gobierno de ellos á sus Consiliarios los Exemos. Sres. D. Antonio Luis Real y D. Fernando Daoiz con el Sr. D. Antonio Aranda para disponer y presidir los exámenes de los Practicantes de estas ^Reales casas que han asistido á dicho curso, cuyos exercicios.se v</t>
  </si>
  <si>
    <t>Rebert, Vicente</t>
  </si>
  <si>
    <t>Vicente Rebert</t>
  </si>
  <si>
    <t>nto de caballería del Infante se ha servido- S: M. conce-, der empleo de Alférez al Portaestandarte D. Vicente Rebert; y en el de Algarbe el de Portaestandarte al Cadete D. Narciso Carcer. En los Regimientos de dragones se ha servido igualmente S. M. promover á Portaguiones, en el del Rey al Sarg</t>
  </si>
  <si>
    <t>Redesdale, Lord</t>
  </si>
  <si>
    <t>Lord Redesdale</t>
  </si>
  <si>
    <t>sidad dé aficionar los católicos á nuestra constitución» haciéndoles disfrutar dé* Stis ventajas. - Lord Redesdale habló contra la petición. Eran ya las dos de la mañana quándo se señaló el lunes próximo para continuar la discusión------En la junta1 del lunes 13, después de nuevos debates, en</t>
  </si>
  <si>
    <t>Regente de Portugal, Príncipe</t>
  </si>
  <si>
    <t>Príncipe Regente de Portugal</t>
  </si>
  <si>
    <t>Nuestro augusto Soberano ha remitido las; insignias de la Legión de Honor al Elector de Baviera, al Príncipe Regente de Portugal, y á otros perspnages de sus Estados.—^. S. A. R. el Príncipe Regente de Portugal ha en-r viado ai Emperador las insignias de la Orden de. Cristo; á Mr. Gaudin , Ministro de Hacie</t>
  </si>
  <si>
    <t>Regente, Príncipe</t>
  </si>
  <si>
    <t>Príncipe Regente</t>
  </si>
  <si>
    <t>de la casa Real á las casas de la residencia del mismo Embaxador. El Conde de Ega , del Consejo del Príncipe Regente, su Gentilhombre de Cámara , y Diputado de la Junta de los tres Estados, salió de aquí el dia 17 para la Corte de Madrid, adonde va á residir como Embaxador cerca de S. M. Católic</t>
  </si>
  <si>
    <t>eal de Ciencias la segunda sesión pública ael presente año, honrando este acto con su presencia' el Príncipe Regente, el Príncipe de Beyra, y el Infante D. Pedro Carlos. Después de un breve y elegante discurso del Duque de Lafoens, Presidente perpetuo de la Academia, leyeron el Brigadier Custodi</t>
  </si>
  <si>
    <t>anuncio: „ El Príncipe Regente nuestro Señor ha tenido á bien crear un Archivo militar para depositar en él todos los planos de fortificaciones, cartas geográficas ó topográficas de las fronteras, y de qualesqu</t>
  </si>
  <si>
    <t>Reges, Ignacio</t>
  </si>
  <si>
    <t>Ignacio Reges</t>
  </si>
  <si>
    <t>Castro. * ''■* En atención áTos grandes y distinguidos servicios que han hecho Don Pedro Bataller , D. Ignacio Reges, D. Josef Serrahínsa, D. Manuel Bargés, D. Juan Rull y D. Josef Julia y Pons, vocales de la Real Junta deGatidad de la ciudad de Barcelona, que preside el Capitán general del Prin</t>
  </si>
  <si>
    <t>Regis, Juan</t>
  </si>
  <si>
    <t>Juan Regis</t>
  </si>
  <si>
    <t>bre. Ei Rey se ha servido conceder Tenencia en el Regimiento de infantería de Murcia al Subteniente D. Juan Regis; y Subtenencias de bandera en los de Ultonia, Málaga y Voluntarios de Estado á los Sargentos primeros Don Cristóbal Vergara, Di Rafael Arroyo, y D. Mateo Burguera; y en los de la</t>
  </si>
  <si>
    <t>Regnier, General</t>
  </si>
  <si>
    <t>General Regnier</t>
  </si>
  <si>
    <t>caballería Francesa, de un Regimiento de infantería también Francesa, de un batallón mandado por el General Regnier, y en fin de 4 cañones de artillería, mandada por el Comandante de batallón Millo, y escoltado por el 5.0 Regimiento de infantería Italiana------El General Regnier partió de su ac</t>
  </si>
  <si>
    <t>rdier; y él'se hallaba en campo SanPictro con el Regimiento Polaco que mandaba el General Peyri. Ei General Regnier, que estaba en Navale, tenia orden de marchar ei 24 a! amanecer á Castel-Franco. El enemigo, que había llegado la víspera, y conociendo la dificultad de su posición,previno el ata</t>
  </si>
  <si>
    <t>Reinon, Nicolás</t>
  </si>
  <si>
    <t>Nicolás Reinon</t>
  </si>
  <si>
    <t>la, D. Manuel Yuste f D. Josef de Fabrega; á Ayudante y* Teniente de granaderos á los de fusU leros D. Nicolás Reinon y D. Baltasar de Áyala; á Tenientes de fusileros á los Subtenientes D. Antonio de Fabrega, D. Josef de Fromista, D. Luis Paredes, D. Antonio García y D. Francisco Ximénez; á Subtenien</t>
  </si>
  <si>
    <t>Reís, General</t>
  </si>
  <si>
    <t>General Reís</t>
  </si>
  <si>
    <t>uchas provincias de Italia, ha llegado á esta ciudad con el nombre de Conde de Haag, acompañado del General Reís, de tres Gentiieshombres, y. de una ^comitiva numerosa. Roma 2 de Julio* El 21 de Junio pasó S. S. al Convento de las Dominicas de S. Sixto á visitar á la Princesa de Parma, que h</t>
  </si>
  <si>
    <t>Remedios, Francisco</t>
  </si>
  <si>
    <t>Francisco Remedios</t>
  </si>
  <si>
    <t>gon: murió en 6 de Abril de 1805............ 3 3/ 4 Francisc. Remedios. Hijo de Andrés, natural de Zalzana en Ita-1 lia: murió en 27 de Mayo de 1805...........3 Domingo López, Hijo de Manuel, natural de Macenga, Prior} 29. falias y</t>
  </si>
  <si>
    <t>Remir González</t>
  </si>
  <si>
    <t>Abuzcyt el año i 238Í inédita. = instrumentos de la permuta de las Salinas de Noguera, &lt;pie poseía D. Remir González, con oír.!-, posesiones del Obispo D. ,P. García, y del Cabildo de Segorve y Albarracin el año 1255, inéditos, ss Bula dé la unión de las Iglesias de Segorve y Albarracinexpedida</t>
  </si>
  <si>
    <t>Rendon, Nicolás</t>
  </si>
  <si>
    <t>Nicolás Rendon</t>
  </si>
  <si>
    <t>i; y Subtenencia.de bandera en el desamora al Capitán de las Milicias urbanas del Campo deGibraltar D. Nicolás Rendon, y en el de Granada al Sargento primero D. Domingo Deigras. El Rey se ha servido conceder en el Regimiento de infantería de Asturias Tenencia al Subteniente de granaderas. D. Fran</t>
  </si>
  <si>
    <t>Répide, Jüan</t>
  </si>
  <si>
    <t>Jüan Répide</t>
  </si>
  <si>
    <t>ehViefe'dtéAde Tortés hTienfente ^Corregiddr dé esta villa, por la escribanía del número que exerce D. Jüan Répide/’rr“’- t • El dia 20 dé Mayo próximo, á las 8 de su mañana, se ha* de ficeíebrar junta de acreedores del Sr. Marques de Usategui, vecino de Castellón de la Plana, en la posada del</t>
  </si>
  <si>
    <t>Repnin, Príncipe</t>
  </si>
  <si>
    <t>Príncipe Repnin</t>
  </si>
  <si>
    <t>áltiimo es el que, embistiendo á la cabeza de los granaderos de la guardián, W tomado prisionero al Príncipe Repnin, Comandante de la caballería cde IB* guardia'.Imperial de Rusia. Todo el exército se ha cubierto de gloria,, han embestido constantemente á los gritos de viva el Emperador; y la i</t>
  </si>
  <si>
    <t>eros son Prebiszenski, Wimpfen, Muller Zakpumsky, Muller, Berg, Selechow , Strisy v Szérliakow , el Príncipe Repnin , él Príncipe Sibersky, Adrián, Lagonon, Salima, Mezenkow, WoycikofF. El Emperador ha hecho venir á Briinn á Mr. de TáUeyrand, que estaba en Viena. Las negociaciones; van á abrirs</t>
  </si>
  <si>
    <t>Resa, Santiago</t>
  </si>
  <si>
    <t>Santiago Resa</t>
  </si>
  <si>
    <t>ñía al Ayudante, graduado de Capitán, D. Josef Elias Manso; y en el de España Ayudantía al Teniente D. Santiago Resa. El Rey se ha. servido conferir el Gobierno del fuerte del Grao de Valencia al Capitán D. Bernardo Aliaga, Cadete de la Compañía Española del Real Cuerpo de Guardias de Corps. S.</t>
  </si>
  <si>
    <t>Reverendissimi</t>
  </si>
  <si>
    <t>isconsulti Lovaniensis jus ecclesiasticum in epitomen redactum, á D. P. Benedicto Oberhauser, J. V. D. Reverendissimi ac Celsissimí S. R. I., Prineípis ae Archiepíscopi Salisburgensis, Consiliario Ecclesiastico, additis brevibus SSw Patrum sententiis , aíiisque ad novissimos mores, ac praxim spec</t>
  </si>
  <si>
    <t>Rey-Delacroix</t>
  </si>
  <si>
    <t>as de Harz 3 protegidas durante la guerra. Se depositarán estas medallas en la biblioteca Imperial. Mr. Rey-Delacroix, Presidente del Catón de Montagnac ,ha propuesto al Ministro de lo Interior se erija un monumento en honor del Abate de l’Epee. Mr. Rey-Delacroix, que ha adoptado el título de Ama</t>
  </si>
  <si>
    <t>Reyes, Miguel</t>
  </si>
  <si>
    <t>Miguel Reyes</t>
  </si>
  <si>
    <t>Miguel Reyes........ Hijo de Manuel, natural de Osuna: murió)</t>
  </si>
  <si>
    <t>Reynal, Antonio</t>
  </si>
  <si>
    <t>Antonio Reynal</t>
  </si>
  <si>
    <t>dem , , , , 66. 12» Antonio Reynal..... Juan....Maria Cases, , , , Roda, ,,,,, Vich , , , , 66. 12» Francisco Vilanova... Pedro........ Francisca Empuyá, Areu ,, , , , Talarn, , ,</t>
  </si>
  <si>
    <t>Reynoso, Fernando</t>
  </si>
  <si>
    <t>Fernando Reynoso</t>
  </si>
  <si>
    <t>7 86 del mes de Julio las naturales en una muger transeúnte, el Sr. D. Fernando Reynoso, Corregidor político de esta villa, después de haber tomado las providencias mas oportunas para evitar un nuevo contagio, facilitó con la mayor brevedad el fluido vacuno, destinan</t>
  </si>
  <si>
    <t>Riatos, Pablo</t>
  </si>
  <si>
    <t>Pablo Riatos</t>
  </si>
  <si>
    <t>celona, vacante por dimisión sucesiva de D. Mariano Rovira , D. Josef Caballol y D. Joaquín Grau, á D. Pablo Riatos. El Rey se ha servido nombrar para una Ración de la Metropolitana de Santiago, vacante por fallecimiento de D.Benito Rodríguez Carvajal, á D. Rafael López Lago, Cura Párroco de Sa</t>
  </si>
  <si>
    <t>Ribadulla, Ramón</t>
  </si>
  <si>
    <t>Ramón Ribadulla</t>
  </si>
  <si>
    <t>s de fusileros en los de Pontevedra, Santiago, Ecija y Sevilla á los Subtenientes D. Rafael Ayerdi, Don Ramón Ribadulla, J&gt;. Francisco Calderón, y D. Gaspar de Torrejon : las</t>
  </si>
  <si>
    <t>Ribera, Benito</t>
  </si>
  <si>
    <t>Benito Ribera</t>
  </si>
  <si>
    <t>IJ. id. Benito Ribera...... Hijo de Francisco y de Sofía Rivas, natu­</t>
  </si>
  <si>
    <t>Ribera, Fernando</t>
  </si>
  <si>
    <t>Fernando Ribera</t>
  </si>
  <si>
    <t>Don Andrés Rodríguez, D. Manuel de Fuentes, D. Esteban García, D. Josef María Sánchez de la Campa, D. Fernando Ribera, D. Vicente Garin,Don Juan Nepomuceno Montero y D. Francisco Roco en traducción de autores y reglas de sintaxis; D. Joaquin Sevilla, D. Antonio González Rendon, D. Joser María Mon</t>
  </si>
  <si>
    <t>Ribera, Francisco</t>
  </si>
  <si>
    <t>Francisco Ribera</t>
  </si>
  <si>
    <t>os los de fusileros D. Diego Mayeii y D. Juan de Fierra; á Tenientes los Subtenientes de granaderos D. Francisco Ribera y D. Juan de Castro Palomino, y á D. Francisco Vázquez y Gálan^ Teniente que fue de Jas Mili</t>
  </si>
  <si>
    <t>Ribera, Manuel</t>
  </si>
  <si>
    <t>Manuel Ribera</t>
  </si>
  <si>
    <t>Fragata. D. Rafael Bobadilla, muerto; D. Martin Urias id.: D. Pedro Moriano id.: D. Josef Roso id.: D. Manuel Ribera, herido: D. Juan del Busto id.: D. Ignacio del Valle id. Teniente de Bornbarela. D. Juan de Medina, muerto. Alféreces_de Navio. D. Luis Perez del Camino, muerto: D. Cayetano Picad</t>
  </si>
  <si>
    <t>Ribera, Ramón</t>
  </si>
  <si>
    <t>Ramón Ribera</t>
  </si>
  <si>
    <t>tores y reglas de sintaxis; D. Joaquin Sevilla, D. Antonio González Rendon, D. Joser María Montero, D. Ramón Ribera, D. Josef Noceda, D. Josef Valero y D. Domingo Cepillo en rudimentos y todo género de oraciones. ! Madrid J6de Julio. S. M. se ha servido nombrar para el De2nato primera silla de</t>
  </si>
  <si>
    <t>Id. id. Ramón Ribera...... Hijo de Domingo y de María Fernan­</t>
  </si>
  <si>
    <t>Ribero Medrano, Santiago</t>
  </si>
  <si>
    <t>Santiago Ribero Medrano</t>
  </si>
  <si>
    <t>imple del lugar de Villoslada, Diócesi de Segovia, vacante por reniincia de D. Teiesforo Madrazo, á D. Santiago Ribero Medrano: para el Beneficio rural de S. Miguel de Tejedo en la Parroquia de Santianes de Molenes, Arciprestazgo de Grado, en la Diócesi de Oviedo, vacante por muerte de D. Francisco Miguel</t>
  </si>
  <si>
    <t>Ribeyro de los Guimaraerts, Francisco</t>
  </si>
  <si>
    <t>Francisco Ribeyro de los Guimaraerts</t>
  </si>
  <si>
    <t>os diplomas: el Padre Esteban Cabral una memoria sobre el modo de mejorar la barra de Figueyra : el Dr. Francisco Ribeyro de los Guimaraerts una memoria sobre los verdaderos motivos que en diversos tiempos han alterado los títulos de nuestros Soberanos, y las verdaderas épocas en que esto ha sucedido: el Dr. Josef Mart</t>
  </si>
  <si>
    <t>Ribeyro, Juan Pedro</t>
  </si>
  <si>
    <t>Juan Pedro Ribeyro</t>
  </si>
  <si>
    <t>cidad de los navios, que navegan en rumbos opuestos sobre una misma línea ó en líneas paralelas: el Dr. Juan Pedro Ribeyro una memoria sobre las diferentes épocas en que'se verificaron las principales variaciones que se observan en las firmas de nuestros Soberanos en los títulos, albarás y otros diplo</t>
  </si>
  <si>
    <t>Ricarde, Pedro</t>
  </si>
  <si>
    <t>Pedro Ricarde</t>
  </si>
  <si>
    <t>árc ele*, y ropa á los de mayor necesidad. Y por la cuenta presentada á la Junta por su depositario D. Pedro Ricarde, que comprehende desde 8 de Marzo hasta fin de Diciembre de 1^04 , resulta haber recibido este 7^47 rs; 20 mrs., y pagado 7444 rs. 29 mrs., quedando 202 rs. 25 mrs. de utili</t>
  </si>
  <si>
    <t>Riche, Nicolás</t>
  </si>
  <si>
    <t>Nicolás Riche</t>
  </si>
  <si>
    <t>cia de granaderos al Teniente de fusileros D. Francisco Preux; y Subtenencia de fusileros al Cadete D. Nicolás Riche,: en ei.de Traxler grado de Capitán al Ayudante D. Jacobó Kayser; Tenencias á los Subtenientes D. Jorge; Traxler » D. Francisco Scheer y D.Juan Good, el primero de granaderos ; y</t>
  </si>
  <si>
    <t>Richembach, Luis</t>
  </si>
  <si>
    <t>Luis Richembach</t>
  </si>
  <si>
    <t>. Juan Bautista Ebneter: en el de Betschart el empleo de Capitán segundo al Teqienre de, granaderos D. Luis Richembach; grado de Teniente Coronel al Capitán de granaderos D. Félix Henrique Cristen; y en e.l de Reding Subtenencia de granaderos al Subteniente de fusileros D. Nicolás Fiwatz. En los R</t>
  </si>
  <si>
    <t>Richter</t>
  </si>
  <si>
    <t>gráficos con tipos ó moldes movibles sin punzón, y á precio mucho mas equitativo que el antiguo. El Dr. Richter, de Berlin, ha descubierto en el mineral de kobalto de las minas de Saxonia un metal nuevo que tiene algunas propiedades comunes con el kobalto y el nickel; pero es diferente de e</t>
  </si>
  <si>
    <t>Rico, Juan</t>
  </si>
  <si>
    <t>Juan Rico</t>
  </si>
  <si>
    <t>Pavía D. Fernando Montero y D. Manuel 4e Rosales: en el de húsares Españoles á Teniente al Alférez Dr Juan Rico; y á Alférez en el de húsares de María Luisa al Cadete D. Manuel Pirez. Por el Ministerio de Hacienda/con fecha de 2 de Octubre de 1804, se ha comunicado á los M. RR. Arzobispos y</t>
  </si>
  <si>
    <t>Rico, Lorenzo</t>
  </si>
  <si>
    <t>Lorenzo Rico</t>
  </si>
  <si>
    <t>o y D 'Vicente Moreno; y Subtenencias de bandera en el de Navarra al Sargento primero de granaderos D. Lorenzo Rico; y en el de América á los Cadetes D. juañ Martínez y D. Eduardo Rrett. En arencion a los particulares servicios de D. Manuel de Heredia, Contador principal de la Provincia de Cádi</t>
  </si>
  <si>
    <t>Ricote, Antonio</t>
  </si>
  <si>
    <t>Antonio Ricote</t>
  </si>
  <si>
    <t>l Rey se lia servido conceder en el Regimiento de infantería deExffemadura Subtenencia de bandera á D. Antonio Ricote, Capitán graduado de infantería y reformado del Provincial de Milicias de Segovia: en el de Murcia Subteniencia de bandera al Sargento primero D. Miguel Palero. Para la plaza de M</t>
  </si>
  <si>
    <t>Ridgley</t>
  </si>
  <si>
    <t>s fuertes por el rescate de los prisioneros Americanos. Ha quedado de Vice-Cónsul de aquella nación Mr. Ridgley, primer Cirujano de la fragata nombrada Filadelfia__ , Pronto llegarán al Mediterráneo 10 buques de guerra Americanos, con el objeto de hacer respetar en este mar el pabellón de l</t>
  </si>
  <si>
    <t>Ridolfi, Carlos María</t>
  </si>
  <si>
    <t>Carlos María Ridolfi</t>
  </si>
  <si>
    <t>a villa, ante él Escribano del número D. Ja cobo Manuel Manrique está pendiente la testamentaría de D. Carlos María Ridolfi, que fué Agente de negocios en esta Corte, quien por el testamento, baxo de que falleció* dispuso que el líquido de sus bienes se invirtiese en los píos fines.que designó; entre a</t>
  </si>
  <si>
    <t>Riedmaten, Francisco Xavier</t>
  </si>
  <si>
    <t>Francisco Xavier Riedmaten</t>
  </si>
  <si>
    <t>eniente de granaderos D. Tobías Buman: en el de Courten á Subteniente de granaderos al de fusileros D. Francisco Xavier Riedmaten: en el de Betschart á Teniente de granaderos al de fusileros D. Josef Alíñela y Leony ; y en el de Reding á Capitán primero al Capitán segundo D. Bernardo Godlin; y á Subteniente</t>
  </si>
  <si>
    <t>Riedy, Juan Pedro</t>
  </si>
  <si>
    <t>Juan Pedro Riedy</t>
  </si>
  <si>
    <t>nte al Subteniente' de granaderos D. Josef Krutter: en el de 13etschart á Subtenientes de bandera á D. Juan Pedro Riedy y D. Gaspar de la Tour; y en el de Traxler á Subtenientes al Cadete D. Luis VV irch y á D. Julio Alberto Vincenz. . ._ Edicto~ llamando á oposicio)l á 5 Cátedras vacantes en la Real C</t>
  </si>
  <si>
    <t>Riera, Pedro</t>
  </si>
  <si>
    <t>Pedro Riera</t>
  </si>
  <si>
    <t>de aquella Catedral, y por no haberla admitido D. Josef Terradellas, que fué nombrado para ella, á D. Pedro Riera, Capellán y Director dé Religiosas Capuchinas de dicha ciudad. En consideración á los servicios y méritos del Teniente General de los Reales Exércitos D. Pedro Mendinueta, se ha d</t>
  </si>
  <si>
    <t>Riesch, Rafael</t>
  </si>
  <si>
    <t>Rafael Riesch</t>
  </si>
  <si>
    <t>En carta cíe 7 de Diciembre último, el Marques de Casa Enrile, de Cádiz, remitió á D. Rafael Riesch, de Sevilla, un vale de á 600 pesos, de i.® de Mayo, núm. 381,42 1, que se hallaba renovado á nombre de dicho Sr. Marques; y habiéndose extraviado el pliego, se suplica ai que tuv</t>
  </si>
  <si>
    <t>Rincón, Manuel</t>
  </si>
  <si>
    <t>Manuel Rincón</t>
  </si>
  <si>
    <t>a, calle de las Carretas, y en la de Orea, calle de la Montera. %' Colección de poesías postumas de D. Manuel Rincón, que falleció al cumplir 19 años, y las da á luz D. Genaro Faustino Rincón su padre. Se hallarán en la librería de Fuentepebro, calle de las Carretas, y^en la de Castillo, frente</t>
  </si>
  <si>
    <t>Rio Espina y Aracil, Francisco</t>
  </si>
  <si>
    <t>Francisco Rio Espina y Aracil</t>
  </si>
  <si>
    <t>amírez, D. Diego Entrena y Mosquera, D. Manuel Cavaleri y Arana, D. Agustín del Barco y la Cendeja, D. Francisco Rio Espina y Aracil. D. Pablo de la Puente y Aranguren* D. Luis Cepeda y Ruliere, D. Francisco Andrada Wanderwilde, D. Cipriano Palafox, Marques de Fuente el Sol, D. Josef Povil y Correger, D. Juan L</t>
  </si>
  <si>
    <t>Ripoll, Agustín</t>
  </si>
  <si>
    <t>Agustín Ripoll</t>
  </si>
  <si>
    <t>. Joaquín María Lozano; y en el de Ñapóles Subtenencia de bandera al Sargento primero de granaderos D. Agustín Ripoll. S. M. ha nombrado Subteniente dél Real Cuerpo de Ingenieros del Exército áD. Matías de Soldé villa , Guardia de Corps de la Compañía Americana. ■S. M. se ha servido nombrar para</t>
  </si>
  <si>
    <t>Ripoll, Luis</t>
  </si>
  <si>
    <t>Luis Ripoll</t>
  </si>
  <si>
    <t>, unido con otro de la misma Iglesia, vacante por muerte de D. Matías Pons, y D. Antonio Payeras, á D. Luis Ripoll: para otro Beneficio eclesiástico fundado en la Parroquial de Santa Eulalia de Palma, Diócesi de Mallorca, y unido con otros 6, también vacantes en la misma Parroquia por muerte d</t>
  </si>
  <si>
    <t>Riquelme, Luis</t>
  </si>
  <si>
    <t>Luis Riquelme</t>
  </si>
  <si>
    <t>r del Regimiento de infantería de España al Capitán del der Burgos, graduado de Teniente Co^ ronel, D. Luis Riquelme. ¡ ¿ : &gt;-• - *i ' S. M* Se ha servido conferir el empleo de Coronel del Regimiento de1 infantería de Málaga á D. Francisco aé Corts* Teniente Coronel dét de? Voluntarios de la Cor</t>
  </si>
  <si>
    <t>Riquelme, Miguel</t>
  </si>
  <si>
    <t>Miguel Riquelme</t>
  </si>
  <si>
    <t>rre y D. Manuel Oreilana; el empleo de Alférez de granaderos á D. Casimiro Contreras; y sencillos á D. Miguel Riquelme, D. Josef Mendez, D. Matías Aguirre, D. Mariano Llanos, D. Lorenzo Portugal, D. Francisco Gamarra, D. Pedrb Godiel, D. Juan de Dios Va'dés, D. Matías Velazquez, D. Diego Mexía, Do</t>
  </si>
  <si>
    <t>Rivadulla, Ramón</t>
  </si>
  <si>
    <t>Ramón Rivadulla</t>
  </si>
  <si>
    <t>Militares ; D. Juan Manuel Carmona del de Murcia; al Teniente dei Regimiento provincial de Santiago D. Ramón Rivadulla ;álos Subtenientes de los de infantería de Córdoba, Sevilla y América D- Josef Montes, D. Ildefonso Rifá y D. Pedro Bringas; al Subteniente de granaderos del provincial de Avila D</t>
  </si>
  <si>
    <t>Rivarola, Martín</t>
  </si>
  <si>
    <t>Martín Rivarola</t>
  </si>
  <si>
    <t>ncia Coronela á D. Rufino Vercoime; la Sargentía mayor i D. Pedro Alcocer; Compañía de granaderos á D. Martin Rivarola, y de fusileros á D. Evaristo Franco, D. Diego Aliaga, D. Juan Cáceres, D. Josef Camacho, D. Martin Terroba, D. Gregorio Zuloaga, D. Josef García y D. Juan Peralta; Ayudantía á D.</t>
  </si>
  <si>
    <t>Rivas y Aguado, Antonio Henrique</t>
  </si>
  <si>
    <t>Antonio Henrique Rivas y Aguado</t>
  </si>
  <si>
    <t>intervalos hubo varias locuciones alegóricas, que cerró con otro discurso el Caballero Seminarista D. Antonio Henrique Rivas y Aguado, haciendo ver el fruto de los adelantamientos que se habían adquirido en este establecimiento, y pidiendo á Dios por la importante salud de nuestros Soberanos, y la de sus padres</t>
  </si>
  <si>
    <t>Rívas, Antonio</t>
  </si>
  <si>
    <t>Antonio Rívas</t>
  </si>
  <si>
    <t>em, , , , , 66. 12. Antonio Rívas..;. .. Lorenzo... Teresa Pons, , , , Blanes,, , , Gerona, , , 66. 12. Lorenzo Solans. . . . . Juan. . ... Magina, , , , , , , Lérida, , , , Idem, , ,</t>
  </si>
  <si>
    <t>Rivilla, Simón</t>
  </si>
  <si>
    <t>Simón Rivilla</t>
  </si>
  <si>
    <t>to. Domingo de Silos de la ciudad deUbeda, en la de Jaén, por fallecimiento de D. Luis de Medina, á D. Simón Rivilla. El Rey se ha dignado conceder en el Regimiento de infantería de la Reyna Ayudantía al Teniente D. Gines Sánchez; y en el de León Subtenencia de bandera al Sargento primero D. Man</t>
  </si>
  <si>
    <t>Robert Calder</t>
  </si>
  <si>
    <t>vuelta de la esquadra combinada, si ella escapase por desgracia de la esquadra de aquel Almirante. Sir Robert Calder ha sido reforzado delante de Ferrol por 5 navios de línea, 2 de ellos de tres puentes, y los 3 de 74. La esquadra del Almirante Collingoowd ha sido también muy reforzada delante d</t>
  </si>
  <si>
    <t>I077 Ha llegado á Portsmóuth Sir Robert Calder á bordo del Príncipe de Gales de 98 cañones. Vemos con grande sentimiento que todas las cartas del Continente, y las noticias auténticas recibidas de Nuremberg y Augsburgo, confir</t>
  </si>
  <si>
    <t>Roberto Belarmino, Cardenal</t>
  </si>
  <si>
    <t>Cardenal Roberto Belarmino</t>
  </si>
  <si>
    <t>para los. niños, y para los adultos no instruidos en los misterios de nuestra santa fe católica el Cardenal Roberto Belarmino. Se hallarán en ia librería de Arri* tas, calle de las Carretas. Tomo 2.0, que completa la obra de las Arengas y Discursos del Canciller D*Aguesseau, traducidos déi francés por D.</t>
  </si>
  <si>
    <t>Roberto Calder</t>
  </si>
  <si>
    <t>tlas, el Veterano, el Espartano y el Águila han salido en seguimiento de la esquadra de Rocherort.— Sir Roberto Calder ha salido á bordo del Príncipe de Gales para tomar el mando de la estación del Ferrol___ El Melampo y la Niove hicieron, hace S dias, un reconocimiento en el puerto de Brest, dond</t>
  </si>
  <si>
    <t>ó del 13 al 17 de Julio. El 13 ó el 12 la esquadra que estaba delante de Rochefort fué á reforzar á Sir Roberto Calder: y los Franceses aprovecharon esta ocasión de hacerse á la vela. La Puerta ha ajustado un tratado con Rusia, por el qual los^ súbditos de dicha Potencia podrán navegar libremente</t>
  </si>
  <si>
    <t>o se hayan publicado de oficia los nombres de los Oficiales muertosiy heridos en el combate del 22. Sir Roberto Calder no posee todavía el arte de escribir; pues jamas se han escrito noticias mas vagas y menos satisfactorias que las que ha comunicado al Almirantazgo. Sabemos que el Almirante Calde</t>
  </si>
  <si>
    <t>ble de todas las conversaciones. Los que se tienen por imparciales, y que ni aun de vista conocen á Sir Roberto Calder, dicen que las expresiones con que concluye su parte , escrito al Almirantazgo después del combate , son digjnas de un baladrón lleno de orgullo, y falto ae valor, que ha mancilla</t>
  </si>
  <si>
    <t>Roberto Fitz-Gerald, Lord</t>
  </si>
  <si>
    <t>Lord Roberto Fitz-Gerald</t>
  </si>
  <si>
    <t>nterior de las tierras. El 9 del corriente ha entrado en Portsmouth 1 i fragata Offeo, en que venia Lord Roberto Fitz-Gerald, nuestro Embaxadcr en Lisboa, quien inmediatamente se puso err camino para esta capital. Al mismo tiempo había llegado un transporte del Mediterráneo,’el qual no trae ningunas not</t>
  </si>
  <si>
    <t>Robirr, Manuel</t>
  </si>
  <si>
    <t>Manuel Robirr</t>
  </si>
  <si>
    <t>gimientos de caballería de línea se ha servido el Rey conceder en el de Montesa Tenencia al Alférez D. Manuel Robirr: én el &lt;Je Santiago empleo de Alférez al Portaestandarte D. Francisco Julián ; y en el de Algarbe empleo de Portaestandarte al Cadete del de Alcántara D. Josef de Torres. V: En lo</t>
  </si>
  <si>
    <t>Robledo, Andrés</t>
  </si>
  <si>
    <t>Andrés Robledo</t>
  </si>
  <si>
    <t>iento de infantería de Córdoba se ha servido S. M. promover á Subtenientes de bandera á los Cadetes D. Andrés Robledo y D. Joaquín de Pierra. En el Real Cuerpo de Artillería ha promovido S. M. á Capitanes segundos á los Tenientes D. Vicente Ten de Arista, D. Joaquín Velarde, D. Gonzalo Cueto, D. Juli</t>
  </si>
  <si>
    <t>Robles, Antonio</t>
  </si>
  <si>
    <t>Antonio Robles</t>
  </si>
  <si>
    <t>sturias; Tenencia de grariaderos á D. Ramón de Zelaya, y de fusileros á D. Leonardo Josef Jáuregui ,D. Antonio Robles,, D. Francisco Xavier Aguirre y Larios ,* D. Tadeo Pinol y Aycinena y D. Juan Josef Gorriz; Subtenencia de granaderos á D. Juan Manuel Landero, y de fusileros á Don Manuel Modesto</t>
  </si>
  <si>
    <t>Roca, Antonio</t>
  </si>
  <si>
    <t>Antonio Roca</t>
  </si>
  <si>
    <t>gundos Ayudantes de los Batallones primero de Kar.iel ma y Voluntarios de Barbastro á ios Tenientes D. Antonio Roca y D. Juan Josef Lonstau. El Rey se lia servido nombrar para una plaza de Oidor de la Real Audiencia de Aragón á D. Ramón María Sevillano; y para la del Crimen, que este dexa en la mis</t>
  </si>
  <si>
    <t>Roca, Juan</t>
  </si>
  <si>
    <t>Juan Roca</t>
  </si>
  <si>
    <t>em ? •&gt; &gt; j 66. 12- Cabo.... Juan Roca................... Antonio. . Maria Fabrega, , , Gironella, , Solsona , , , 132. 24. Josef Viladevall......... Joaquín. . Catalina Taberné. San Jordr,-, Gerona ,,,</t>
  </si>
  <si>
    <t>Roca, Salvador Antonio</t>
  </si>
  <si>
    <t>Salvador Antonio Roca</t>
  </si>
  <si>
    <t>. se ha servido nombrar para el Daanato de la Catedral de Guadalaxara, vacante por fallecimiento de D. Salvador Antonio Roca, al Arcediano D. Pedro Diaz Escandon: para el Arcedianato al Chantre Don Manuel Gutiérrez de Hermosilla: para la Chantría al Maestrescuela Don Joan Josef Moreno: para la Maestresc</t>
  </si>
  <si>
    <t>Rocha, Francisco</t>
  </si>
  <si>
    <t>Francisco Rocha</t>
  </si>
  <si>
    <t>á continuar la formación del plan y proyecto del canal de Tamarite de orden Real con el Arquitecto D. Francisco Rocha , Socio de mérito de nuestro Real Cuerpo, Para hacer la graduación de los discípulos se juzgó que D. Luís; María de Cistué había desempeñado con lucimiento los exámenes privados y</t>
  </si>
  <si>
    <t>Rodrigo</t>
  </si>
  <si>
    <t>D. Pedro Fernandez, tercer Señor de Albarrguin, inédita.= III. Constitución del Arzobispo de Toledo D. Rodrigo, hecha en el año 1 23 2 * sobre la división de los diezmos entre el Obispo y e! Capítulo de la Santa Iglesia de Segorve, inédita. = Breve del Papa Celestino 111 en que concede al</t>
  </si>
  <si>
    <t>Rodrigo Antonio de Orellana</t>
  </si>
  <si>
    <t>Obispado de Córdoba del Tucuman, vacante por fallecimiento de D. Ángel Mariano Moscoso, al Maestro D. Rodrigo Antonio de Orellana, ex-General de los Premonstra tenses. También se ha dignado S. M. nombrar para la Canongía Lectoral, vacante en la Catedral de Santa Cruz de la Sierra, por ascenso de D. Josef Gut</t>
  </si>
  <si>
    <t>Rodrigo de la Rocha</t>
  </si>
  <si>
    <t>el D. Ildefonso Larrauri;y la que este dexa al Capitán de granaderos, graduado de Teniente Coronel, D. Rodrigo de la Rocha. También ha promovidos. M. en el Regimiento de Milicias disciplinadas de infantería de la misma isla á Capitán al Teniente D. Miguel Pizarro; á Tenientes de granaderos á los de fu</t>
  </si>
  <si>
    <t>Rodrigo de Oviedo</t>
  </si>
  <si>
    <t>en latín, escogidas y distribuidas en sus clases, con breves argumentos y notas en castellano, por D. Rodrigo de Oviedo, Catedrático de buena versión y propiedad latina en los Reales Estudios de Madrid, para uso de los mismos Estudios. El fin de poner las notas y argumentos en castellano ha sido pa</t>
  </si>
  <si>
    <t>Rodrigo López</t>
  </si>
  <si>
    <t>Rodrigo López...... Hijo de Antonio, natural de Granada: mu-|</t>
  </si>
  <si>
    <t>Rodrigo Ortiz Badillo</t>
  </si>
  <si>
    <t>y réditos de un crédito de 10© ducados, que en el Consulado de la ciudad de Sevilla impuso su padre D, Rodrigo Ortiz Badillo en el año de 1627, á efecto de que ocurran á de-; ducirio en el propio Consejo por su Escribanía de Cámara, por sí ó por Procurador, con poder bastante, dentro del preciso término d</t>
  </si>
  <si>
    <t>Rodrigo Plaza</t>
  </si>
  <si>
    <t>s por la indicada Junta para estimularlos al estudio de la insinuada facultad, D. Benito Rodríguez, D. Rodrigo Plaza, y D. Josef Benito Florez; y á los segundos de á 16 pesos D. Martin Blanco, D. Henrique Moro, y D. Blas Guirao. Se previene á todas Jas personas á quienes conviniere el aviso, que</t>
  </si>
  <si>
    <t>Rodrigo Riquelme</t>
  </si>
  <si>
    <t>á la escribanía del número de Cádiz de D. Ramón García de Meneses. En virtud de providencia del Sr. D. Rodrigo Riquelme, Oidor de la Audiencia de Se villa, Juez de lo civil de la ciudad de Cádiz, y Subdelegado nato para entender en las enagenaciones de lincas de establecimientos pros, y por la escr</t>
  </si>
  <si>
    <t>a dé la Chancillería de Granada, vacante por jubilación de D. Francisco Suarez de Deza y Ye— bra, á D. Rodrigo Riquelme, Oidor de la Audiencia de Sevilla: para esta plaza á D. Josef Morillas y Navarrete: para la de Oidor supernumerario de la misma Audiencia de Sevilla, que este obtenia,á D. Lúeas H</t>
  </si>
  <si>
    <t>Rodrigo Sánchez de Arjona y Vargas</t>
  </si>
  <si>
    <t>r, D. Juan Lliñas y Repiso, D. Joaquín Alvarez Maldonado Abadelanzana, D. Romualdo Miranda y Mon, y D. Rodrigo Sánchez de Arjona y Vargas. ,,E1 Comandante general de Marina del Departamento de Cádiz ha dado cuenta á la Superioridad, en 4 de este mes, de que viniendo de San Lucar de Barrameda Ja goleta mercante españ</t>
  </si>
  <si>
    <t>Rodrigo Tavira</t>
  </si>
  <si>
    <t>rido en pena alguna de ordenanza por motivo grave ni leve, y estos fueron de la clase de Académicos D. Rodrigo Tavira, D. Juan Bautista Cerain, D. Blas de Lezo, D. Ignacio de Emparan, D. Juan Cevallos, y el Cadete de Reales Guardias Walonas D* Antonio Gilman: el Seminarista mayor D. Iñigo Órtés d</t>
  </si>
  <si>
    <t>Rodrigo Tavirá</t>
  </si>
  <si>
    <t>el solo hecho de haber sxdó casfigado una'vez por qualquier.causa que sea, y fueron les Académicos. D. Rodrigo Tavirá,.D. Juan ¡Bautista Cérain* D« Ignacio -Empatan, D. Juan Cevallos,.y X). Fernando .Adán de Yarza ; el ,Seminarista nuyo.r Don Iñigo Ortes de Velasco ; los Gefcs. de sala. D. Jo.sef</t>
  </si>
  <si>
    <t>Rodríguez Barreda, Manuel</t>
  </si>
  <si>
    <t>Manuel Rodríguez Barreda</t>
  </si>
  <si>
    <t>cha remitió el expresado 5f. Júéz otro testimonio de loa autos formados por muerte abin tes tato de D. Manuel Rodríguez Barreda , llamado el Calafate, vecino de Montevideo, con 2397 pesos, que registró en la referida fragata, á disposición del dicho Consejo, cuya cantidad dirigió el mismo Juez de Arribadas</t>
  </si>
  <si>
    <t>Rodríguez Conchero, Pedro</t>
  </si>
  <si>
    <t>Pedro Rodríguez Conchero</t>
  </si>
  <si>
    <t>M. I. Sr. D. Fr. Antonio Andrés de ICrzesimowski, Monge Benedictino Cisterciense &amp;c., traducido por D. Pedro Rodríguez Conchero, Presbítero: un tomo en 8.° Se hallará en las librerías de Ramos y Dávila, calle de las Carretas, y en el puesto del Diario, plazuela de Santo Domingo. Mis Amores, ó Poesías de D.</t>
  </si>
  <si>
    <t>Rodríguez de Ar, Sebastián</t>
  </si>
  <si>
    <t>Sebastián Rodríguez de Ar</t>
  </si>
  <si>
    <t>o Carmona. fD. Juan Josef Carranza. |D. Josef Navarro. • Alféreces de Fragata.....................i.D. Sebastian Rodríguez de Ar&amp;sli ID. Gabriel de Pazos. {.D. Manuel Díaz. Alféreces de Fragata y primeros PÍ-5d. jos^fCa^zat Aotos....... ........................................." CD. Joaquín Bedriñana. Gradu</t>
  </si>
  <si>
    <t>Rodríguez de ArelJano, Vicente</t>
  </si>
  <si>
    <t>Vicente Rodríguez de ArelJano</t>
  </si>
  <si>
    <t>rugía prácticas, escrita en francés por el Doctor Coiombier; el extracto dei Decameron Español, por D. Vicente Rodríguez de ArelJano; una carta de D. Cándido Faura á los editores acerca de la novela original intitulada eL Emprendedor,, ó Aventuras de un Español en el Asia; noticias de los premios propuestos por</t>
  </si>
  <si>
    <t>Rodríguez de Arellano, Vicente</t>
  </si>
  <si>
    <t>Vicente Rodríguez de Arellano</t>
  </si>
  <si>
    <t>uma de D. Agustín López de Reta, natural de la villa de Artajona en el Reyno de Navarra: la publica D. Vicente Rodríguez de Arellano, confiado en el severo examen que han hecho de esta obra los hombres de mas fino discernimiento, que no dudan en preferir esta traducción, especialmente en la parte poética, á qua</t>
  </si>
  <si>
    <t>prenta Real. Ei Decáméron Español, ó colección de varios hechos históricos, raros y divertidos, por D. Vicente Rodríguez de Arellano.: tomo i.°, en el que se contienen las historias siguientes: Clemencia de Entragues, ó la heroína francesa: la Selva de Ardenes: Cristina de Suavia, ó la muger como ninguna. En es</t>
  </si>
  <si>
    <t>cá en ellas. El Decámeron Español, ó colección de varios hechos históricos, raros y divertidos, por D. Vicente Rodríguez de Arellano: tomo 2.0, que contiene las historias siguientes: el Negro Juan Latino, ó cuidado con ios maestros: Isaura, ó mi corto viage: la Pérfida, ó Henriqueta y Lucía: ningún hombre quier</t>
  </si>
  <si>
    <t>as Carretas. El Decámefon Español, ó colección de varios hechos históricos, raros y divertidos, por D. Vicente Rodríguez de Arellano: tomo 3.0 y último, que contiene las historias siguientes: el sepulcro en el monte, i.a y 2.a parte: la saya verde. En esta obra se ha procurado la reunión de lo útil y lo agradab</t>
  </si>
  <si>
    <t>Rodríguez de Cea, Martín</t>
  </si>
  <si>
    <t>Martín Rodríguez de Cea</t>
  </si>
  <si>
    <t>de Coronel á D. Josef de Guerra; la Tenencia Coronela á D. Julián de los Ríos; la Sargentía mayor á D. Martin Rodríguez de Cea; Compañía de granaderos á D. Juan Carrion, y de fusileros á D. Manuel Caballero, D. Josef Matías de Paredes, D. Diego de Sosa, D. Mauricio Zamalloa, D. Teodoro Martínez dei Campo,</t>
  </si>
  <si>
    <t>Rodríguez de Lago, Juan Salvador</t>
  </si>
  <si>
    <t>Juan Salvador Rodríguez de Lago</t>
  </si>
  <si>
    <t>ién se ha dignado el Rey'nombrar para el Corregimiento de Mariquita, en el Vireynato de Santa Fe, á D. Juan Salvador Rodríguez de Lago. Por providencia del Sr. D. Tomas Moyano, del Consejo dftS. M., su Alcalde de Gasa y Corte, y escribanía de .©. Mauricio;Justo del Rincón, se ha mandado sacar á pública subasta, p</t>
  </si>
  <si>
    <t>Rodríguez de Ledesma, Francisco</t>
  </si>
  <si>
    <t>Francisco Rodríguez de Ledesma</t>
  </si>
  <si>
    <t>ra que con el título de Diploma de Ramiro 1 ha publicado el P. Mtro. Fr. P. R., escrito por el Lie. D. Francisco Rodríguez de Ledesma, Abogado del ilustre Colegio de esta Corte, y Diputado general de la Provincia de Extremadura. Se hallará en las librerías de Sancha, calle del Lobo, y de Castillo, frente á las g</t>
  </si>
  <si>
    <t>Rodríguez de Moj'a, Carlos</t>
  </si>
  <si>
    <t>Carlos Rodríguez de Moj'a</t>
  </si>
  <si>
    <t>8 rs. Quien quiera hacer postura ó mejora á dichas dos casas, acuda á la escribanía de provincia de D. Carlos Rodríguez de Moj'a, que se le admitirá, baxo la calidad de que no se rematarán en menos del todo de sus tasas. Los Sres. Dendoat, hermanos, que viven en esta Corte, calle de las Infantas,</t>
  </si>
  <si>
    <t>Rodríguez de Moya, Carlos</t>
  </si>
  <si>
    <t>Carlos Rodríguez de Moya</t>
  </si>
  <si>
    <t>Quiñones, del Consejo de S. M., Alcalde de su Real Casa y Corte, por la escribanía de provincia de D. Carlos Rodríguez de Moya; advirtiendo que no se verificará ei remate, ni admitirá postura alguna de las que se hagan, como no sea en el todo de sus tasas. = Por ei mismo Se*?ñor Juez y citada escribanía s</t>
  </si>
  <si>
    <t>de-Quiñones, del Consejo dé S. M., Alcalde eii su Real Casa y Corte , y escribanía de provincia de D. Carlos Rodríguez de Moya, dentro de 20 días contados desde i.° de Enero de 1806, con apercibimiento que de no hacerlo, le parará el perjuicio que haya lugar. Mi[inerva , ó el Revisor general', Obra periód</t>
  </si>
  <si>
    <t>Rodríguez García, Nicolás</t>
  </si>
  <si>
    <t>Nicolás Rodríguez García</t>
  </si>
  <si>
    <t>. 17, manz. 317, que está tasada en 123,317 rs. Quien quiera tratar de su ajuste, podrá hacerlo con D. Nicolás Rodríguez García, que vive calle de los Tudescos, núm. 20, quarto principal. Se halla vacante la plaza de Cirujano de la villa dé Anguix, una legua de distancia de Ja de Roa de Duero, que vale anu</t>
  </si>
  <si>
    <t>a parte el exceso que resulte. La persona que quiera tratar de su ventaó permuta, podrá hacerlo con D. Nicolás Rodríguez García, que vive calle délos Tudescos, núm. 20, quarto principal. : En la villa de Castrourdiales, puerto de mar en la costa de Cantabria,distante; 10 leguas de Santander, y 5 de Bilbao,</t>
  </si>
  <si>
    <t>Rodríguez González, Antonio</t>
  </si>
  <si>
    <t>Antonio Rodríguez González</t>
  </si>
  <si>
    <t>D. Gabriel Martínez; y en el Cuerpo provincial &lt;Je lanceros de Veracruz. á Ayudante al Tenien-r te D. Antonio Rodríguez González, En el Regimiento provincial de dragones de Nue.va-Gallcía en Nueva— España se ha( servido S. M. promover á Teniente al Alférez D. Josef Ma^ría Alba; á Alférez: al;Portaguión D. P</t>
  </si>
  <si>
    <t>Rodríguez Moreno, Ignacio</t>
  </si>
  <si>
    <t>Ignacio Rodríguez Moreno</t>
  </si>
  <si>
    <t>rigo á D. Josef Gorgonio de Galvez Cañero , Don Antonio Escovar, D. Manuel María de Liano y Aior, y D. Ignacio Rodríguez Moreno. También se ha servido el Rey conferir la Tenencia de Rey de la ciudadela de la plaza de Pamplona á D. Agustín Muñiz, Teniente Coronel agregado al Estado mayor de la misma plaza.</t>
  </si>
  <si>
    <t>Rodríguez y Álvarez, Miguel</t>
  </si>
  <si>
    <t>Miguel Rodríguez y Álvarez</t>
  </si>
  <si>
    <t>un Beneficio simple servidero en la villa de Ximena, Diócesi de Cádiz, vacante por fallecimiento de D. Miguel Rodríguez y Alvarez, á D. Alonso Acedo del Olmo, Teniente de Cura del lugar de los Barrios. En la Compañía Americana de Reales Guardias de Corps ha promovido el Rey á Alférez al Exento D. Gerónimo de</t>
  </si>
  <si>
    <t>Rodríguez, Andrés</t>
  </si>
  <si>
    <t>Andrés Rodríguez</t>
  </si>
  <si>
    <t>en los tropos de retórica, mensura y calificación de todas qualidades.de versos; D. Manuel Segovia, Don Andrés Rodríguez, D. Manuel de Fuentes, D. Esteban García, D. Josef María Sánchez de la Campa, D. Fernando Ribera, D. Vicente Garin,Don Juan Nepomuceno Montero y D. Francisco Roco en traducción de</t>
  </si>
  <si>
    <t>Rodríguez, Benito</t>
  </si>
  <si>
    <t>Benito Rodríguez</t>
  </si>
  <si>
    <t>D. Ramón de Cruclís y D. Alberto ■ Falcó y Alvarez ; y Subtenencias de bandera al Sargento primero D. Benito Rodríguez, y al Cadete de la compañía fixa del Peñón D. Vicente.. Bausa: Compañía en el de Aragón al Ayudante, graduado de Capitán,.. D. Antonio de Ortega y Rengel : Subtenencias de bandera</t>
  </si>
  <si>
    <t>cada uno, establecidos por la indicada Junta para estimularlos al estudio de la insinuada facultad, D. Benito Rodríguez, D. Rodrigo Plaza, y D. Josef Benito Florez; y á los segundos de á 16 pesos D. Martin Blanco, D. Henrique Moro, y D. Blas Guirao. Se previene á todas Jas personas á quienes convin</t>
  </si>
  <si>
    <t>Rodríguez, Francisco</t>
  </si>
  <si>
    <t>Francisco Rodríguez</t>
  </si>
  <si>
    <t>servido conceder Tenencias en los Regimientos de infantería de Toledo é Irlanda á los Subtenientes D. Francisco Rodríguez jaldes, D- Policarpo de Frías y D. Vicente Garrido ; y Subtenencia de bandera en el de Zamora al Cadete del segundo batallón de Voluntarios de Aragón D. Josef Aranda. En los Regim</t>
  </si>
  <si>
    <t>la misma isla á Capitán al Teniente D. Miguel Pizarro; á Tenientes de granaderos á los de fusileros D. Francisco Rodríguez y D. Josef Guiordanengo; á Tenientes á D. Manuel Ayesa, D. Francisco Arroyo, D. Josef Díaz, D. Andrés Postigo y D. Juan Veiazquez , los tres últimos de granaderos; á Subtenientes de g</t>
  </si>
  <si>
    <t>9H í'erriet, graduado de Teniente,-D. Francisco Rodríguez, D. Luis Daunoy, D. Diego Salazar, D. Luis Gayarre, D. Cirilo Demorant y D. Juan Bautista Dufosat, el primero, segundo y quinto de granaderos; á Subtenientes de granaderos los.de</t>
  </si>
  <si>
    <t>10 Francisco Rodri- Hijo de Domingo, natural de la villa: de-\ ,</t>
  </si>
  <si>
    <t>Rodríguez, Gregorio</t>
  </si>
  <si>
    <t>Gregorio Rodríguez</t>
  </si>
  <si>
    <t>acudirá en esta Corté á D. Patricio Boulgér, que vive calle dé S. Andrés, núm. 6, y en Mombeltran á D. Gregorio Rodríguez, Administrador del correo, en todo el presente mes. En la librería de Campo, calle de Alcalá, se hallan las obras siguientes de Don Antonio Corvella, Médico y Cirujano del número</t>
  </si>
  <si>
    <t>Rodríguez, Joaquín</t>
  </si>
  <si>
    <t>Joaquín Rodríguez</t>
  </si>
  <si>
    <t>y para otra Media-Ración de la Catedral de la Puebla de los Angeles, que vacó por fallecimiento de D. Joaquín Rodríguez, á D. Josef Nicolás del Moral, Cura en la misma Diócesi. S. M. se ha servido nombrar para el Deanato de la Iglesia de la Concepción de Chile, vacante por ascenso de D. Andrés Quin</t>
  </si>
  <si>
    <t>Rodríguez, Julián</t>
  </si>
  <si>
    <t>Julián Rodríguez</t>
  </si>
  <si>
    <t>barro, que con arreglo á las teorías del Conde de Rumford ha establecido y hecho fabricar en Madrid D. Julián Rodríguez, Arquitecto al servicio de S. M., en las quales resolta un ahorro de carbón de 3 quintas partes del que ahora se consume: ofrece el premio de4oors. al alfarero ú otra persona part</t>
  </si>
  <si>
    <t>nómicas, aplicadas á los usos que hay en España de componer las comidas, obra escrita jpor el mismo D. Julián Rodríguez, á 17 rs. en rústica y 20 en pasta. SUPLEMENTO</t>
  </si>
  <si>
    <t>Rodríguez, Julián Antonio</t>
  </si>
  <si>
    <t>Julián Antonio Rodríguez</t>
  </si>
  <si>
    <t>os en francés por el ciudadano Brisson, del Instituto nacional &amp;**., y traducidos al castellano por D. Julián Antonio Rodríguez? Esta obra consra de 4 tomos, de los quales los 3 primeros comprehenden el Tratado elemental de Física, y el quarto los Principios, ó Elementos Físico-Químicos; y se halla de vent</t>
  </si>
  <si>
    <t>y aumentados con notas que contienen todas las fórmulas del movimiento, fuerzas centrales &amp;c., por D. Julián Antonio Rodríguez. Esta obra conste de 4 tomos en 4.0: los 3 primeros comprehenden ei tratado elemental de Física, y ¿1 4.0 los principios ó elementos Físico-químicos; y se halla de venta en las li</t>
  </si>
  <si>
    <t>Rodríguez, Manuel</t>
  </si>
  <si>
    <t>Manuel Rodríguez</t>
  </si>
  <si>
    <t>l Alférez D. Josef Clairac: en los del Príncipe y Montesa empleos de Alférez á los Portaestandartes D. Manuel Rodríguez y D. Josef Moreno; y en los de Farnesio y Santiago empleos de Portaestandarte á los Cadetes D. Josef Ramos y D. Salvador de Roxas , que lo es del de Borbon. Igualmente se ha servido S</t>
  </si>
  <si>
    <t>sco Ximénez; á Subtenientes de fusileros al Sargento primeto D. Sebastian Beasini , y á lós Cadetes D. Manuel Rodríguez y D. Justo Paredes; y de bandera á los Cadetes D. Josef María Velarde y D. Lorenzo Ley, este del Batallón auxiliar de Sta. Fe, con grado de Subteniente. Con 2 cristales de materia vac</t>
  </si>
  <si>
    <t>Rodríguez, Pedro</t>
  </si>
  <si>
    <t>Pedro Rodríguez</t>
  </si>
  <si>
    <t>evanar: otra de 60 rs. á D. Pedro de la Cruz por 3 dibuxos de alfombras; y otra también de 60 rs. á D. Pedro Rodríguez por 3 dibuxos</t>
  </si>
  <si>
    <t>Rodríguez, Victoriano</t>
  </si>
  <si>
    <t>Victoriano Rodríguez</t>
  </si>
  <si>
    <t>y para la Asesoría del Gobierno del Tucuman, vacante por jubilación de D. Nicolás Perez del Viso, á D. Victoriano Rodríguez, Catedrático de Instituía de la Universidad de Córdoba, y Abogado de la Audiencia de Charcas. Los baños de Sacedon, conocidos y acreditados desde la mas remota antigüedad, así por</t>
  </si>
  <si>
    <t>Rodulfo Conde</t>
  </si>
  <si>
    <t>en el Regimiento de infantería de Sevilla Compañía al Teniente dé granaderos , graduado de Capitán, D. Rodulfo Conde; y en el de Valencia Tenencia al Subteniente de granaderos Don Josef Vidad y Bou.</t>
  </si>
  <si>
    <t>Rodulfo de Choteck, Juan (conde)</t>
  </si>
  <si>
    <t>Conde Juan Rodulfo de Choteck</t>
  </si>
  <si>
    <t>ros'. El Emperador ha mandado venir, para emplearlo en elMir^sterio de los Negocios extrangeros, al Conde Juan Rodulfo de Choteck, Consejero íntimo y Ministro de Estado, primer Burgrave y Presidente de la Regencia del Reyno de Bohemia; y para estas resultas ha nombrado al Conde Josef de Waílis, Consejero ínt</t>
  </si>
  <si>
    <t>Rodulfo, Archiduque</t>
  </si>
  <si>
    <t>Archiduque Rodulfo</t>
  </si>
  <si>
    <t>mismo destino el Príncipe de Anhált-Goten, Teniente General al servicio de Prüsia. S. A. R. é I. el Archiduque Rodulfo ha sido promovido el 24 del pasado á la dignidad de Coadjutor del Arzobispado aé Olmutz.---- Tres aias hace pasó por aquí un correo de Gabinete de Viena, que va á Paris.___Ya está</t>
  </si>
  <si>
    <t>Roger V-alhubert, General</t>
  </si>
  <si>
    <t>General Roger V-alhubert</t>
  </si>
  <si>
    <t>n encontrado 18$ Rusos, 600 Austríacos y 900 Franceses. Tenemos 7® Rusos heridos y 3$ Franceses. El General Roger V-alhubert ha muerto de -resultas de sus heridas: una hora ántes de morir escribió $1 Emperador lo que sigue: ,, Hubiera querido hacer mas por V. M.: voy á morir dentro de una hora: no me la</t>
  </si>
  <si>
    <t>Roger, Capitán</t>
  </si>
  <si>
    <t>Capitán Roger</t>
  </si>
  <si>
    <t>del Tánaro suprimido. Mr. Skipwith, Cónsul general de los Estados-Unidos, ha recibido una carta del Capitán Roger, Comandante de la esquadra Americana en el Mediterráneo, noticiándole haberse firmado la paz el 3 de Junio entre el Baxá de Trípoli y los Estados-Unidos. A conseqiiencia de este t</t>
  </si>
  <si>
    <t>Rogero Juan Schimmelpenninck</t>
  </si>
  <si>
    <t>ión ó desaprobación del Pueblo Bátavo, y proponerle asimismo, en caso de aceptan cion, que nombre á Mr. Rogero Juan Schimmelpenninck, primer Consejero Pensionario, con poderes y el derecho de poner en planta la Constitución, y de hacer el primer nombramiento de los individuos de la Asamblea de SS. AA.PP., y de</t>
  </si>
  <si>
    <t>Roland</t>
  </si>
  <si>
    <t>eaux-de-Pacy; para el de los Apeninos á Mr. Nardon. que lo era de Angers, y para el üe Montenotte á Mr. Roland, que tenia igual destino en el departamento del Tánaro suprimido. Mr. Skipwith, Cónsul general de los Estados-Unidos, ha recibido una carta del Capitán Roger, Comandante de la esq</t>
  </si>
  <si>
    <t>Roldan, Francisco</t>
  </si>
  <si>
    <t>Francisco Roldan</t>
  </si>
  <si>
    <t>s catorce Capellanías de numero y coro de la Metropolitana de Granada, vacante por fallecimiento de D. Francisco Roldan, á D Fernando Fernandez de Padilla: para el Beneficio simple servidero de Santa Olalla, en el Arzobispado de Toledo, vacante por promoción de D. Diego Martin Romo á una Capellanía</t>
  </si>
  <si>
    <t>Roldan, Gabriel</t>
  </si>
  <si>
    <t>Gabriel Roldan</t>
  </si>
  <si>
    <t>en esta Corte, calle de la Montera, niim. 24, manz. 290, perteneciente á las memorias fundadas por Don Gabriel Roldan, que tiene de sitio 1802J pies, tasada en 187,219 rs., por haber denunciado su fachada principal la Comisión de Policía, habiéndose tasado anterior-i» mente en la de 222,033 rs. 1</t>
  </si>
  <si>
    <t>Roldan, Juan</t>
  </si>
  <si>
    <t>Juan Roldan</t>
  </si>
  <si>
    <t>enie¿ite de granaderos D. Jacinto Cplomer; á Ayudante y Teniente .de, granaderos á los de fusileros D. Juan Roldan, y D. Salvador Buergo ; á Tenientes de -fusileros á los Subtenientes D. Antonio Vela, y D. Ramón Aiisoategui, este de granaderos, y á Subteniente de fusileros al Cadete D. Jo-sef</t>
  </si>
  <si>
    <t>Rolland del Atlas, Capitán</t>
  </si>
  <si>
    <t>Capitán Rolland del Atlas</t>
  </si>
  <si>
    <t>ble. He sentido mucho Ja muerte del Capitán Perrone, Comandante del navio de S. M. el Intrépido. El Capitán Rolland del Atlas ha sido herido. Tendré el honor de dar cuenta mas exacta á V. E. sobre el particular &amp;c.” También da cuenta de la torna de la Roca del Diamante, y dice que á pesar del fuego de ar</t>
  </si>
  <si>
    <t>Román Lasaleta</t>
  </si>
  <si>
    <t>Cádiz , un vale Real de 600 pesos, de i.° de Enero de este ano, núm. 374,622 , endosado á favor de D. Román Lasaleta, y con dirección á Aranjuez; y no habiendo llegado á su poder, se suplica á la persona que tuviere noticia de él, lo entregue al expresado D. Román Lasaleta, que vive calle del Co</t>
  </si>
  <si>
    <t>Romano, Capitán</t>
  </si>
  <si>
    <t>Capitán Romano</t>
  </si>
  <si>
    <t>e aquí el Dr. Gall para hacer sus observaciones. Uno de los cráneos de esta colección es de un gran Capitán Romano, que murió hace 1700 añbs, y se lo regaló á Mr. Blumenbach S. Erna, el difunto Cardenal Borgia, con quien tenia íntima correspondencia. Francfort 21 de Junio. Las cartas de Viena</t>
  </si>
  <si>
    <t>Romanos, Pedro</t>
  </si>
  <si>
    <t>Pedro Romanos</t>
  </si>
  <si>
    <t>a8...¿ Pedro Romanos. Hijo de Manuel, nat. de la Álmunia en Ara-1</t>
  </si>
  <si>
    <t>Romden</t>
  </si>
  <si>
    <t>ace la Gran Bretaña en estas colonias. TURQUIA. Constantinomia jo de Mayo, Ha llegado aquí de París Mr. Romden, que residió hace algún tiempo en Corfú en calidad de Cónsul de Francia. Ha traido pliegos para Mr. Parandier. Encargado' de'Negocios cerca de la Puerta , y parece que son relativ</t>
  </si>
  <si>
    <t>Romero Campos, Vicente</t>
  </si>
  <si>
    <t>Vicente Romero Campos</t>
  </si>
  <si>
    <t>enza, vacante por promoción de D. Gabriel Cayetano Gallego á Ración entera de la propia Iglesia , á D. Vicente Romero Campos, Cura del lugar de Ñoviales en aquel Obispado: para una Canongía déla Catedral de Coria* vacante por fallecimiento de D. Josef Burdallo, á D. Sebastian Piñeros Albarran, Racionero</t>
  </si>
  <si>
    <t>Romero y Fuster, Nicolás</t>
  </si>
  <si>
    <t>Nicolás Romero y Fuster</t>
  </si>
  <si>
    <t>elino de Molina y D. Manuel Melchor Vargas; Ayudantía á D. Isidro Quevedo; Tenencia de granaderos á D. Nicolás Romero y Fuster, y de fusileros á D. Luis de Heredia, D. Gregorio Hernández Prieto, D. Manuel Bermejo, D. Francisco Bravo, D. Hilario Chavez, D. Josef Pe</t>
  </si>
  <si>
    <t>Romero, Juan Bautista</t>
  </si>
  <si>
    <t>Juan Bautista Romero</t>
  </si>
  <si>
    <t>cartilla ó arte elemental del fabricante dé paños; otras 2 medallas de plata de 4 onzas cada una á D. Juan Bautista Romero, pintor, la una por lo bien arreglado de un grupo de flores matizadas, dispuesto para texidos con su cuenta, y de una muestra de espelin de derecho y dé reves, y de un rasillo de</t>
  </si>
  <si>
    <t>Romero, Julián</t>
  </si>
  <si>
    <t>Julián Romero</t>
  </si>
  <si>
    <t>ros D. Felipe Zamora; y ú Ayudante en el de Voluntarios de Estado al Teniente, graduado de Capitán, D. Julián Romero. En el Real Cuerpo de Ingenieros del exército se ha servido el Rey promover á Capitán primero al Capitán segundo D. Pedro Salazar; y á este empleo al Teniente D. Joaquin Salcedo.</t>
  </si>
  <si>
    <t>Romero, Miguel</t>
  </si>
  <si>
    <t>Miguel Romero</t>
  </si>
  <si>
    <t>a; y para el empleo de Contador de Diezmos del Arzobispado de Sta. Fe, vacante por fallecimiento de D. Miguel Romero, á D. Antonio García de la Guardia, Oficial segundo de la Secretaría del Vireynato de aquel Reyno. £1 Conde de Santa Clara, Capitán General de Cataluña, en oficio de 19 de este me</t>
  </si>
  <si>
    <t>Romme</t>
  </si>
  <si>
    <t>dos teorías de la resistencia de los fluidos; una de D. Jorge Juan en saExdmen marítimo, y otra de Mr. Romme en su Arte de la marina. Los; concurrentes pueden adherirse á una dé las dos para corregirla y perfec-? cionarla; de manera que los resultados que dé el cálculo, difieran muy ‘ poco</t>
  </si>
  <si>
    <t>Romo, Diego Martín</t>
  </si>
  <si>
    <t>Diego Martín Romo</t>
  </si>
  <si>
    <t>l Beneficio simple servidero de Santa Olalla, en el Arzobispado de Toledo, vacante por promoción de D. Diego Martin Romo á una Capellanía de Reyes Nuevos de aquella ciudad, á D. Miguel Izquierdo Rodríguez de Lara , con carga de residencia personal; y para otro igual Beneficio de</t>
  </si>
  <si>
    <t>Romo, Pedro</t>
  </si>
  <si>
    <t>Pedro Romo</t>
  </si>
  <si>
    <t>az de Arjona, Cadete del de Borbon ; y en el de Cazadores Voluntarios de España Tenencia ai Alférez D. Pedro Romo. S. M. se ha servido promover á Comisario de Artillería honorario de Guerra del Exército al Guarda-Almacén ordinario de Artillería de la plaza de Ciudad-Rodrigo D. Policarpo Anzan</t>
  </si>
  <si>
    <t>Roque Claramunt</t>
  </si>
  <si>
    <t>, vacante, por ascenso de D. Juan Manuel Carralero al empleo de Bibliotecario del.mismo Obispado,.a D. Roque Claramunt; y para otro enría Parroquia de Alcoberj* ;Diópe$i$ 'de -Tarragona, vacante por fallecimiento de D. Jayme Abella, á.D. Josef Anr tonio González. ^ . - S. M. se ha servido conferir</t>
  </si>
  <si>
    <t>Roque Iregui</t>
  </si>
  <si>
    <t>exandro Alvarez de Guitianjá Subteniente de cazadores al segundo Ayudante, graduado de Subteniente, D. Roque Iregui; á Subteniente ai segundo Ayudante , con grado de Subteniente, D. Josef García y. al Cadete Don Rafael' de' Nosj' y á ;ségündos. Ayudantes, con grado de Subtenientes los Cadetes D</t>
  </si>
  <si>
    <t>Roque Jacinto de Cifuentes</t>
  </si>
  <si>
    <t>brar para la plaza de Fiscal de lo civil de la Audiencia de Guatemala, vacante por fallecimiento de D. Roque Jacinto de Cifuentes, á D. Diego Josef Sedaño., Asesor de la Intendencia de la Havana. La Real Sociedad Económica de Amigos del País de esta Corte celebró Junta pública general para el examen , gradua</t>
  </si>
  <si>
    <t>Roque Jacinto Martínez Ebtevez</t>
  </si>
  <si>
    <t>el correo ci d:a 29 de Mayo próximo pasado un vaie de 300 pesos, creación de Mayo, num. 447,872 , á D. Roque Jacinto Martínez Ebtevez, Abogado de ios Reales Consejos en la ciudad de Santiago, Reyno de Galicia, el qual se ha extraviado. La persona que supiere de su paradero lo entregará á dicho ÉL Carlos, ó al re</t>
  </si>
  <si>
    <t>Rosales Sánchez, Juan</t>
  </si>
  <si>
    <t>Juan Rosales Sánchez</t>
  </si>
  <si>
    <t>ión, Jubilado en sagrada Teología en dicho Monasterio: para una Canongía de la Colegial de Úxijar á D. Juan Rosales Sánchez; y. para lá Dignidad de Capellán mayor de la Catedral de Cuenca á D. Antonio Esteban de Rosas, Canónigo de la^ misma, con retención de su Canongía. ’ En los Ésquadrones de línea d</t>
  </si>
  <si>
    <t>iócesis*, para una MediaRación de la Catedral de Málaga, vacante por muerte de D. Salvador Raudo, á D. Juan Rosales Sánchez: para el Beneficio Préstamo del lugar de Romangordo y sus anexos, en la de Plasencia , vacante por fallecimiento de D. Gregorio Valcárcel, á D. Josef Estelrich, primer Sacristán d</t>
  </si>
  <si>
    <t>Rosel, Fernando</t>
  </si>
  <si>
    <t>Fernando Rosel</t>
  </si>
  <si>
    <t>ta Urreta, D. Francisco Chavez, D. Manuel Almonte, D. Genaro Torres, D.Mariano Ponce, D. Juan Jaén, D. Fernando Rosel, D. Vicente Vivanco y D. Anselmo de Arce; j de Portaestandartes á D. Eusebio Goizueta, D. Manuel Muñiz, D. Matías Salazar y D. Vicente Rodriguez. En el Regimiento de Milicias urba</t>
  </si>
  <si>
    <t>Rosel, Manuel</t>
  </si>
  <si>
    <t>Manuel Rosel</t>
  </si>
  <si>
    <t>apóles. S. M. se ha servido nombrar para la Canongía vacante en la Iglesia d* Toledo por. muerte de D. Manuel Rosel, á D. Mateo de Anchuelo, Ra*cionero de la misma: para el Beneficio de la Parroquia de S. Bartolomé de la ciudad de Carmona, Diócesi de Sevilla, vacante por fallecimiento de D. Ant</t>
  </si>
  <si>
    <t>Rosell, Manuel</t>
  </si>
  <si>
    <t>Manuel Rosell</t>
  </si>
  <si>
    <t>d cristiana, carta de S. León el Grande á la Virgen Demetria, traducido dél latín al castellano por D. Manuel Rosell, Canónigo de San Isidro el Real. Se hallará en la librería de Eaylo, calle de las Carretas , y en la de Ramos, carrera de S. Gerónimo. Estampa nueva en medio pliego de marca mayor</t>
  </si>
  <si>
    <t>Rosemberg, General</t>
  </si>
  <si>
    <t>General Rosemberg</t>
  </si>
  <si>
    <t>de los movimientos que se mandáron á la división Seras el dia anterior, fué separada del cuerpo del General Rosemberg una coluna enemiga, compuesta de 5© hombres, mandada por un Brigadier, y se halló cortada sin poder voi—</t>
  </si>
  <si>
    <t>Rosetti, Barón</t>
  </si>
  <si>
    <t>Barón Rosetti</t>
  </si>
  <si>
    <t>Num. 71. 749 GAZETA DE MADRID DEL MARTES 3 DE SETIEMBRE DE iSo$. DALMACIA. Ragusa jo de Junio. El Barón Rosetti, que ha estado 4 años de Gobernador en las bocas del Cáttaro, vuelve á Viena á dar cuenta de su comisión. Es indudable que su Corte tiene deseos de informarse de la aGtual situaci</t>
  </si>
  <si>
    <t>Roth, Juan</t>
  </si>
  <si>
    <t>Juan Roth</t>
  </si>
  <si>
    <t>al Sargento primero D. Juan Antoni: en el de Ruttimann á Subteniente de granaderos al de fusileros D. Juan Roth, y á Subteniente de esta clase al Cadete D. Juan Baptista Josef Conde de Thurn: en el de Traxler á Ayudante al Teniente D. Remigio Kayser; y á Teniente al Subteniente de granadero</t>
  </si>
  <si>
    <t>Rotth, Coronel</t>
  </si>
  <si>
    <t>Coronel Rotth</t>
  </si>
  <si>
    <t>Bagnuoli; pero los prontos socorros que proporcionaron el Duque de Reccaromana, el de Lusciano , el Coronel Rotth, y otros Caballeros que estaban cazando en aquel término, pudieron libertar la vida á la tripulación. FRANCIA. Leen 7 de Febrero. S. A. S. Mr. Eugenio Beauharnois , Coronel genera</t>
  </si>
  <si>
    <t>Roussel, Lord</t>
  </si>
  <si>
    <t>Lord Roussel</t>
  </si>
  <si>
    <t>argas públicas, y que jamas podría inventarse un impuesto contra el qual no se hiciesen objeciones. Lord Roussel propuso se ventilase este punto de aquí á seis meses; pero se desestimó esta propuesta á la mayoría de 93 votos contra 50. En ambas Cámaras del Parlamento se ha defendido varias v</t>
  </si>
  <si>
    <t>Roustagny</t>
  </si>
  <si>
    <t>onformes-a la njdependencia de las PoEn la Gazeta ministerial se ha insertado la carta siguiente de Mr. Roustagny,Comisario de Relaciones comerciales en Venecia: „Mr. Prom, Inspector general de puentes y eaminos, y Mr. Costanzo .Comandante de Ltallon del Cüerpo de Ingenieros Italianos . vinie</t>
  </si>
  <si>
    <t>Rouvere</t>
  </si>
  <si>
    <t>de los Diputados. A la derecha del Land-Amman tenia su puesto el Consejero de la Legación Francesa Mr. Rouvere ,. en ausencia del General Vial, y á sus lados, estaban el jCaballero Caamaño, Enviado de España., y el Nuncio del Papa. A la izquierda del mismo Land-Amman estaba el Ministro de</t>
  </si>
  <si>
    <t>Rouyer</t>
  </si>
  <si>
    <t>tro de Aus^ tria seguia el Residente de Baviera, y después del Caballero Caamaño estaba la silla de Mr. Rouyer, Secretario de la Legación Francesa, Encaré gado de Negocios en ausencia del General Vial.’ Los demas Secretarios y acompañantes de cada Legación tuviéron sus asientos en la segun</t>
  </si>
  <si>
    <t>Rovira, Pablo</t>
  </si>
  <si>
    <t>Pablo Rovira</t>
  </si>
  <si>
    <t>dem , , ,, 132. 24. Pablo Rovira.............. Josef. .... María Jandana, , , Pratdit, , , Montblanc : 66. 12. Joaquín Farello. . . . Josef. .. .. Teresa Fonts, , , , Barcelona,, Idem , , , 66. 1</t>
  </si>
  <si>
    <t>Roxas, Miguel</t>
  </si>
  <si>
    <t>Miguel Roxas</t>
  </si>
  <si>
    <t>1093 reros á D. Benito de la Reguera; y sencillos á D. Josef Alcayde y Monge, D. Miguel Roxas, D. Rafael Arias,D. Juan Bautista Urreta, D. Francisco Chavez, D. Manuel Almonte, D. Genaro Torres, D.Mariano Ponce, D. Juan Jaén, D. Fernando Rosel, D. Vicente Vivanco y D. Ansel</t>
  </si>
  <si>
    <t>Roxásy Di Antonio, Antonio</t>
  </si>
  <si>
    <t>Antonio Roxásy Di Antonio</t>
  </si>
  <si>
    <t>isco.Aguirre , D. Antonio Monasterio, Di Manuel Vito Rarbajosa, D. Josef Vázquez, D. Domingo Perez4 D. Antonio Roxásy Di Antonio* Claros, D. Alexo Fariñas, D. Santiago de Alboniga y‘Romero , Di Antonio María Vitoria Hernaez, D. Mamerto Vázquez, D. Antonio Castro; D.' Crisanto Viguera y D. Santiago García. R</t>
  </si>
  <si>
    <t>RqsalesSujbtéóiehtfevetemápo, Simón</t>
  </si>
  <si>
    <t>Simón RqsalesSujbtéóiehtfevetemápo</t>
  </si>
  <si>
    <t>ación de dicha plajza; Teniente veterano del bataíloq 4e Milicias;disciplinadas de pardos de Lima á D. Simón RqsalesSujbtéóiehtfevetemápo^y Comandante de Asamblea del Partido de Santa: Subteniente veterano y Comandante de Asamblea del</t>
  </si>
  <si>
    <t>Rrunetti, Juan</t>
  </si>
  <si>
    <t>Juan Rrunetti</t>
  </si>
  <si>
    <t>ríncipes é Infantes de España, dibuxados por D. Antonio Carnicero, Pintor de Cámara, y grabados por D. Juan Rrunetti. Se hallarán en el despacho de la Calcografía de la Real Imprenta. A mediados del mes de Diciembre último se remitió por el correo de la ciudad de $•. Sebastiamá D. Josef de Ibase</t>
  </si>
  <si>
    <t>Rúa, Alexandro</t>
  </si>
  <si>
    <t>Alexandro Rúa</t>
  </si>
  <si>
    <t>luso el Teniente de Voluntarios de la Corona Don Bernardo Corral y el Brigadier de Guardias Marinas D. Alexandro Rúa. He sabido que ei Capitán de Navio D. Francisco Alcedo, Comandante del Montañés, fué muerto en la acción , y herido gravemente su segundo el Capitán de Fragata D. Antonio Castaños</t>
  </si>
  <si>
    <t>Ruano, Antonio</t>
  </si>
  <si>
    <t>Antonio Ruano</t>
  </si>
  <si>
    <t>na; á Exento de número al supernumerario D. Antonio Pascual Barradas; á supernumerario al Brigadier D. Antonio Ruano; á Brigadier al Subrigadier D. Diego Oviedo.; á Subrigadier al Cadete D. Tomas Castilla; á Cadete de número al supernumerario D. Josef de la Cueva, y á supernumerario al Guardia D</t>
  </si>
  <si>
    <t>Rubiales, Manuel</t>
  </si>
  <si>
    <t>Manuel Rubiales</t>
  </si>
  <si>
    <t>aderos, graduado de Capitán, D. Miguel de Cantora y Amandi, y Tenencia al Subteniente de granaderos D. Manuel Rubiales. El Rey se ha servido conceder Tenencias en los Regimientos de infantería de León y Ñapóles á los Subtenientes de granaderos D. Benito Arguello y D. Alexandro Arroyo. EL Rey se ha</t>
  </si>
  <si>
    <t>Rubiano, Manuel</t>
  </si>
  <si>
    <t>Manuel Rubiano</t>
  </si>
  <si>
    <t>oña Catalina Germán y Hugalde. En Murcia.............Sres. Moreda y Ladalid. En Oviedo............. D. Manuel Rubiano. En Patencia.......... D. Nicolás Calonge. En Palma.......... D. Martin Mayol. En Pamplona........ Sres. viuda de Barbería é hijo. En Salamanca...... Sres. Urrero y Casaseca. En S</t>
  </si>
  <si>
    <t>oña Caialina Germán y Llugalde. En Murcia........... Sres. Moreda y Iadalid. En Oviedo............. D. Manuel Rubiano. En Palencia......... Viuda de D. Nicolás Calonge é hijo mayor.</t>
  </si>
  <si>
    <t>Rubio Bpc, Benito</t>
  </si>
  <si>
    <t>Benito Rubio Bpc</t>
  </si>
  <si>
    <t>Domínguez y Don Francisco Valdelomar : á Subteniente dé granaderos en el de Avila álj de fusileros D. Benito Rubio Bpc&amp;negra; y á Subteniente de bandera en el de Monterey á D.'- Josef López Romero. “ ' ° En el Regimiento de caballería del Infante se ha servido- S: M. conce-, der empleo de Alférez</t>
  </si>
  <si>
    <t>Rubio, Antonio</t>
  </si>
  <si>
    <t>Antonio Rubio</t>
  </si>
  <si>
    <t>Miguel Tronquet, Subteniente de la misma; y esta Subtenencia al Sargento, graduado de Subteniente, D. Antonio Rubio. El Rey se ha servido promover en el Regimiento de infantería Suizo de WimpfFen á Sargento mayor á D. Josef Schmid, Capitán primero del mismo: en el de Traxier á Capitán segundo a</t>
  </si>
  <si>
    <t>Rubio, Manuel</t>
  </si>
  <si>
    <t>Manuel Rubio</t>
  </si>
  <si>
    <t>M, se ha servido nombrar para una Ración de la Catedral de Sigiienza; vacante por fallecimiento de D. Manuel Rubio, á D. Luis Peynado, Cura Párroco del lugar de Trillo, en aquella Diócesis*, para una MediaRación de la Catedral de Málaga, vacante por muerte de D. Salvador Raudo, á D. Juan Rosal</t>
  </si>
  <si>
    <t>Ruche, General</t>
  </si>
  <si>
    <t>General Ruche</t>
  </si>
  <si>
    <t>a Dieta Germánica, que se hallaba hace tiempo en Hesse-Cassel. La Cortede Berlín acaba de enviar al General Ruche!, Comandante de las Guardias deCorps dé S.M. Prusiana, con pliegos de la mayor importancia al Emperador de Rusia. El 14 por la noche llegó á Viena el Emperador. Al dia siguiente d</t>
  </si>
  <si>
    <t>Ruchel, Teniente General</t>
  </si>
  <si>
    <t>Teniente General Ruchel</t>
  </si>
  <si>
    <t>ado Inspector general de lá Academia y de todos, los establecimientos militares , par.promocion del Teniente General Ruchel ai mando del exército de laP rusia Polaca. Bs indudable que la,Dinamarca está en á ni mo.de observare! sistema de U neutralidad Prusiana , para Jo quab ha : mandado -juntar tropas</t>
  </si>
  <si>
    <t>Ruckstuller, Antonio</t>
  </si>
  <si>
    <t>Antonio Ruckstuller</t>
  </si>
  <si>
    <t>n el Regimiento de infantería Suizo de Ruttiman se ha dignado S. M. promover á Ayudante al Teniente D. Antonio Ruckstuller: en el de Courten al empleo de Capitán segundo al Teniente de granaderos D. Adrián Waíker; á Teniente al Subteniente de granaderos D. Josef Ignacio Wüla; y í\ Subteniente al Sarge</t>
  </si>
  <si>
    <t>Rueda y Quiroga, Francisco</t>
  </si>
  <si>
    <t>Francisco Rueda y Quiroga</t>
  </si>
  <si>
    <t>ncia ^LSubteniente D. Manuel Teresa Vázquez ; y Subtenencia de bandeflreffeel de Granada al Cadete: D. Francisco Rueda y Quiroga. '' \ •••... • . -&gt;;• . .1.. El Rey se ha‘¿fer%ido nombrar para la Alcaldía mayor de la ciudad de Alicante á D. Antonio Lorenzo Martínez del Pozo. Habiéndose verificado el dia 18</t>
  </si>
  <si>
    <t>Ruffin</t>
  </si>
  <si>
    <t>a Albania, el Epiro y la Morea. Hace algunos dias que llego aquí un correo Francés con pliegos para Mr. Ruffin, que ha sido nombrado Encargado de Negocios del Emperador de los Franceses. Las provincias Turcas de Europa y de Asia siguen experimentandcr4a$ calamidades de la guerra civil y la</t>
  </si>
  <si>
    <t>Rufino Vercoime</t>
  </si>
  <si>
    <t>de Puno, en el Reyno del Perú, el empleo de Coronel á D. Rafael de Zamudio; la Tenencia Coronela á D. Rufino Vercoime; la Sargentía mayor i D. Pedro Alcocer; Compañía de granaderos á D. Martin Rivarola, y de fusileros á D. Evaristo Franco, D. Diego Aliaga, D. Juan Cáceres, D. Josef Camacho, D. Ma</t>
  </si>
  <si>
    <t>Rufo Xalon</t>
  </si>
  <si>
    <t>n decididamente esta madre verdadera del comercio, de la industria y de la riqueza de las naciones: D. Rufo Xalon sobre los abonos de las tierras, dividiéndolos en animales, vegetales, minerales y meteóricos, discurriendo sobre cada una de estas clases, y deteniéndose en las margas, uno de lo</t>
  </si>
  <si>
    <t>Rui y Sacases, Antonio</t>
  </si>
  <si>
    <t>Antonio Rui y Sacases</t>
  </si>
  <si>
    <t>Dignidad de Sacristán mayor de la Colegial de Monzon, en dicha. Diócesi, vacante por haber obtenido Don Antonio Rui y Sacases un Beneficio residencial de la Catedral de. Urge!, á D. Tosef Juan de Cocon y Azcon; y para un Beneficio fundado en la capilla de S. Gregorio, hoy de los quatro Mártires, en la. C</t>
  </si>
  <si>
    <t>Ruiz de Lanzarote, Francisco</t>
  </si>
  <si>
    <t>Francisco Ruiz de Lanzarote</t>
  </si>
  <si>
    <t>nte, graduado de Capitán, Don Josef Alarcon: empleo de Alférez en el de la Reyna al Portaestandarte D. Francisco Ruiz de Lanzarote; y empleos de Portaestandartes en los de Borbon, Farnesio y Santiago á los Cadetes D. Antonio Gómez, Don Félix Josef Ramos y D. Josef Antonio Ximenez,que lo es del del Infante. En</t>
  </si>
  <si>
    <t>Ruiz de Ogarrio, Miguel</t>
  </si>
  <si>
    <t>Miguel Ruiz de Ogarrio</t>
  </si>
  <si>
    <t>postura á él, á censo reservativo, y baxo las mismas condiciones en que últimamente le tomó el Lie. D. Miguel Ruiz de Ogarrio. Quien quisiere hacer mejora á él, acuda á dicho juzgado, existente en la casa principal de Correos; donde se enterará por menor de las condiciones del remate, y admitirá las mejo</t>
  </si>
  <si>
    <t>Ruiz Jurado, Miguel</t>
  </si>
  <si>
    <t>Miguel Ruiz Jurado</t>
  </si>
  <si>
    <t>en los de Pontevedra, Santiago y Ecija á los de fusileros D. Manuel Llórente, D. Ramón González, y Don Miguel Ruiz Jurado; y á Subtenientes de bandera en los de Ecija, Sevilla,</t>
  </si>
  <si>
    <t>Ruiz Palacios, Alonso</t>
  </si>
  <si>
    <t>Alonso Ruiz Palacios</t>
  </si>
  <si>
    <t>amento de 30 de Enero del año próximo pasado. En atención á los méritos y buenos servicios del Lie. D. Alonso Ruiz Palacios, Capellán del Regimiento de caballería primero de línea, se ha dignado el Rey concederle el empleo de Teniente Vicario general castrense del departamento de Ferrol. El Rey se ha s</t>
  </si>
  <si>
    <t>Ruiz, Francisco</t>
  </si>
  <si>
    <t>Francisco Ruiz</t>
  </si>
  <si>
    <t>Arciprestazgo de Sta. María de Brihuega, en el Arzobispado de Toledo, vacante por fallecimiento de D. Francisco Ruiz, y los Beneficios simples, titulados Sacristía de la Carrera y S. Juan de la Pervera, en el Obispado de Oviedo, por renuncia de D. Josef Solana, á D. Josef Mencía^ Cura Párroco de</t>
  </si>
  <si>
    <t>Ruiz, Juan Bernardo</t>
  </si>
  <si>
    <t>Juan Bernardo Ruiz</t>
  </si>
  <si>
    <t>: para el Arcedianato que este dexa á D. Salvador de Andrade; y para la Canongía que este obtenía á Don Juan Bernardo Ruiz, Cura en la misma Diócesi: para la Canongía Magistral de la Catedral de Córdoba del Tucuman á D. Vicente Anastasio de Isamendi, Cura de la Iglesia matriz de Salta: para la Lectora</t>
  </si>
  <si>
    <t>Ruiz, Juan Ignacio</t>
  </si>
  <si>
    <t>Juan Ignacio Ruiz</t>
  </si>
  <si>
    <t>nto primero, graduado de Alférez, D.Juan de Puertas.. En el de dragones dei Rey Tenencia al Alférez D. Juan Ignacio Ruiz; y en el de cazadores Voluntarios de España Compañía al Ayudante , graduado de Capitán , D. Dionisio de las Heras. Por el Ministerio de la Guerra se ha circulado, con fecha de 11</t>
  </si>
  <si>
    <t>Ruiz, Simón</t>
  </si>
  <si>
    <t>Simón Ruiz</t>
  </si>
  <si>
    <t>r postura, acuda ante dicho Sr. Marques de Casa-García, y por la escribanía de provincia que exerce D. Simón Ruiz, donde se enterará de las circunstancias con que está deliberada dicha venta en el mencionado acuerdo de la junta general de 3 de Julio de 1804. La villa de Lequeytio, que es puer</t>
  </si>
  <si>
    <t>r postura, acuda ante dicho Sr. Marques de Casa-García, y por la escribanía de provincia que exerce D. Simón Ruiz, donde se enterará de las circunstancias con que está deliberada dicha venta en el mencionado acuerdo de la Junta general de 3 de Julio de 1804. Por providencia del Sr. D. Ramón N</t>
  </si>
  <si>
    <t>Rull, Juan</t>
  </si>
  <si>
    <t>Juan Rull</t>
  </si>
  <si>
    <t>rvicios que han hecho Don Pedro Bataller , D. Ignacio Reges, D. Josef Serrahínsa, D. Manuel Bargés, D. Juan Rull y D. Josef Julia y Pons, vocales de la Real Junta deGatidad de la ciudad de Barcelona, que preside el Capitán general del Principado de Cataluña, se ha dignado S. M. concederles privi</t>
  </si>
  <si>
    <t>Rumbold, Jorge</t>
  </si>
  <si>
    <t>Jorge Rumbold</t>
  </si>
  <si>
    <t>e la nota que enviaba nuestro Gobierno para presentar á la Corte de Berlin acerca de la prisión del Sir Jorge Rumbold. Por el paquebot the Uiesterfield, que ha llegado de la Jamayca en 44 dias, y salió de allí el 13 de Octubre, se sabe que el huracán que ha causado tantos estragos en la América s</t>
  </si>
  <si>
    <t>carta de S. M. Prusiana, en que aprueba altamente los esfuerzos que ha hecho el Senado en favor de Sir Jorge Rumbold, sobre cuya prisión se expresa en los términos mas fuertes. La noticia de su libertad llegó á Ratisbona el 18, y este suceso se consideraba por todos, los Ministros como un agüero</t>
  </si>
  <si>
    <t>Ruperto Mier</t>
  </si>
  <si>
    <t>ro Monroy; á Subtenientes de compañía’á los de bandera D. Agusrin Iturve, D. Juan Josef de Lexarza, D. Ruperto Mier y D. Bernardino Pini; y á Subtenientes de bandera á D. Josef Joaquín Ramonet, D. Isidro Puente, D. Diego Abarca y D. Josef Anastasio Borbon, vecinos de la jurisdicción del mismo Regim</t>
  </si>
  <si>
    <t>Ruperto, Príncipe</t>
  </si>
  <si>
    <t>Príncipe Ruperto</t>
  </si>
  <si>
    <t>e capituló-----El General Prevost, que mandaba la guarnición Inglesa , se ha retirado al fuerte del Príncipe Ruperto, donde se ha encerrado con las tropas que ha podido juntar. Esta triste noticia, que primeramente se había extendido por la ciudad, se ha confirmado luego de oficio con el aviso q</t>
  </si>
  <si>
    <t>quí la mayor sensación; pero íe espera que el General Prevost, que se ha encerrado en el fuerte del Príncipe Ruperto* pueda mantenerse en él algunas semanas, hasta que reciba socorros del Almirante Chocrane: se aguardan con impaciencia noticias posteriores. Dicen que el General Francés ha formad</t>
  </si>
  <si>
    <t>Ruso Buxhowden, General</t>
  </si>
  <si>
    <t>General Ruso Buxhowden</t>
  </si>
  <si>
    <t>un de aquella capital; y se cree que el General Francés Duroc, el General Austríaco Meerveldt, y el General Ruso Buxhowden están encargados de negociar con plenos poderes de sus Cortes respectivas. Altana 4 de Octubre. Las cartas de Berlín de i.° del corriente aseguran que el día 3 saldría de aquella ca</t>
  </si>
  <si>
    <t>Ruso Conde de Kutusow la Gran-Cruz de la Orden, General</t>
  </si>
  <si>
    <t>General Ruso Conde de Kutusow la Gran-Cruz de la Orden</t>
  </si>
  <si>
    <t>a Rusia.__ También ha llegado el General Ingles Clinton. ' El Emperador de Alemania ha concedido al General Ruso Conde de Kutusow la Gran-Cruz de la Orden de María Teresa, en premio del valor que ha mostrado en el combate de Direnstein; y al General Weyrotter le ha nombrado Quartel-Maestre general cerca del exército Ruso.—S. A. R. el A</t>
  </si>
  <si>
    <t>Ruso Gallitzin, Príncipe</t>
  </si>
  <si>
    <t>Príncipe Ruso Gallitzin</t>
  </si>
  <si>
    <t>sta capital el Secretario de la Legación Rusa, que Tiene de Petersburgo. Escriben de Lemberg que el Príncipe Ruso Gallitzin pasó por aquella ciudad en la noche del 8 ai 6 de Diciembre con suma celeridad, encaminándose á Viena. Alemania. Asehaffembargo 21 dé Diciembre de 1804. El Elector Archi-Canciller</t>
  </si>
  <si>
    <t>Ruso Golenischtscheff-Kutusoíf, General</t>
  </si>
  <si>
    <t>General Ruso Golenischtscheff-Kutusoíf</t>
  </si>
  <si>
    <t>nde mapa hidrográfico del mar Blanco, en que se trabaja hace mucho tiempo por dirección delTeniente General Ruso Golenischtscheff-Kutusoíf. Augsburgo 8 de Diciembre. Entre otras providencias que ha dado el Elector de Saltzburgo coa motivo del contagio manifestado en Toscana, se recomienda particularmente á los longis</t>
  </si>
  <si>
    <t>Ruso Koloífkin, Coronel</t>
  </si>
  <si>
    <t>Coronel Ruso Koloífkin</t>
  </si>
  <si>
    <t>nteramente restablecidos. En el combate de Lambach han muerto el Coronel Austríaco deGraífeti. y el Coronel Ruso Koloífkin. El Emperador? de Austria , habiendo llegado á Lintz, recibió las quejas de la Regencia sobre ¡la mala conducta de los Rusos , quienes no contentos con robar han maltratado á garr</t>
  </si>
  <si>
    <t>Ruso Kutusow, General</t>
  </si>
  <si>
    <t>General Ruso Kutusow</t>
  </si>
  <si>
    <t>é ignoran. Nuestros soldados han recogido muchísimas veneras y otras insignias de condecoración. El General Ruso Kutusow está herido, y su yerno, mancebo de mucho mérito, quedó muerto. Se han contado los cadáveres, y se han encontrado 18$ Rusos, 600 Austríacos y 900 Franceses. Tenemos 7® Rusos heridos</t>
  </si>
  <si>
    <t>Ruso Sprengporten, General</t>
  </si>
  <si>
    <t>General Ruso Sprengporten</t>
  </si>
  <si>
    <t>s, ó han estado gravemente enfermos. El célebre Ingles Mr. Twedel y el Barón Kenigge han muerto. El General Ruso Sprengporten , el mismo que estuvo en París en calidad de Agente diplomático de Paulo 1, el Americano Smith, y el Coronel Ingles Poller están detenidos en el Archipiélago, y peligrosamente enf</t>
  </si>
  <si>
    <t>Ruso Winzingerode, General</t>
  </si>
  <si>
    <t>General Ruso Winzingerode</t>
  </si>
  <si>
    <t>burgo.” Estas desavenencias entre los Reyes de Prusia y Suecia, son el objeto de la comisión que el General Ruso Winzingerode ha llevado á Berlín, guien íffsegtrran que ha desvanecido los resentimientos de ámbas Cortes. .¿ Lis líuidanzas .proyectadas en la administración de las aduanas y rentas de la Dal</t>
  </si>
  <si>
    <t>Ruso y Ayudante, General</t>
  </si>
  <si>
    <t>General Ruso y Ayudante</t>
  </si>
  <si>
    <t>&gt; , Ley den $ de Abril. Escriben de Berlín, con fecha de 30 de Marzo, que el Barón deWintzingerode, General Ruso y Ayudante general del Emperador Alexandjro, después de haber, estado detenido allí mes y medio por una comí</t>
  </si>
  <si>
    <t>Ruso, General</t>
  </si>
  <si>
    <t>General Ruso</t>
  </si>
  <si>
    <t>será la fiebre amarilla, que habrán introducido las embarcaciones procedentes del Archipiélago. Un General Ruso está mandando 8 batallones Albaneses, compuestos de enemigos capitales de los Turcos, y señaladamente de Maniotas. Semejantes procedimientos tienen muy disgustados á los Turcos de l</t>
  </si>
  <si>
    <t>exército, quedando prisioneros iao Georgianos, y los demas tendidos en el campo. Luego que supo el General Ruso que Nos habíamos dad© orden al valeroso Pir-Kouli-Kan-Kagiar de restablecer la subordinación en la provincia de Georgia, hizo' marchar córitra él á ritió de sus Tenientes á !á cab</t>
  </si>
  <si>
    <t>el combate de Lambach, entre las piezas de artillería que se tomaron había dos Rusas, y murieron un General Ruso y un Coronel de húsares Austríaco. La herida que recibió en un brazo el General Bisson es bastante grave, de suerte que no le dexará servir el resto de la campaña, bien que no es mo</t>
  </si>
  <si>
    <t>o al Mediterráneo con el objeto de emplearlos en transportar las tropas Rusas de Corfú á Italia. El General Ruso que está en esta isla ha pedido por su parte á la marina Británica grande número de transportes para pasar á Italia un cuerpo de i20 hombres. No se duda que esta expedición de Sir</t>
  </si>
  <si>
    <t>RusseFha, Almirante</t>
  </si>
  <si>
    <t>Almirante RusseFha</t>
  </si>
  <si>
    <t>e están á la vista de Boloña , no pueden formarse mas que conjeturas sobre este cañoneo. ' • • ■ El Almirante RusseFha vuelto del Texel con sil esquadra. El corsario Francés Aguila, que está cruzando en las aguas de Riopon-' go en las costas de Africa , ha apresado el navio the Foibes de Liverpool</t>
  </si>
  <si>
    <t>Russel, Almirante</t>
  </si>
  <si>
    <t>Almirante Russel</t>
  </si>
  <si>
    <t>averiguación con justicia é imparcialidad.” Se aguarda una esquadra Rusa, que debe unirse á la del Almirante Russel en el mar del Norte. Escriben de Weymouth que el Rey se halla muy mejorado del mal de ojos que padecia, de modo que puede andar y montar á caballo sin anteojos. £1 23 Lord Nelson se</t>
  </si>
  <si>
    <t>al Rey Sir Arturo Wellesley, que acaba de llegar de larIndia. La esquadra, á las órdenes del Contra-Almirante Russel, se ha hecho ¿ 2a vela el 7 para Yarmouth, á ocupar su apostadero á la vista del Texel. Escriben de.S. Cristóbal á principios de Setiembre que había salido pocos dias antes de la</t>
  </si>
  <si>
    <t>Rutotfsky de Botánico y Pintor</t>
  </si>
  <si>
    <t>den del Emperador; irá también el hermano del General de Sucheteler, en calidad de Historiógrafo, y Mr. Rutotfsky de Botánico y Pintor de paisages. Todos estos sugetos han de reunirse á fin del año en una ciudad,que Se les señalará en 1* frontera, donde esperarán las órdenes ulteriores de S. M. I. •. . \ Antes de ay</t>
  </si>
  <si>
    <t>Saavedra, Andrés</t>
  </si>
  <si>
    <t>Andrés Saavedra</t>
  </si>
  <si>
    <t>testimonio de los benéficos progresos de la cátedra de latinidad, que obtuvo por oposición y sirve D. Andrés Saavedra, acordó se celebrasen certámenes entre sus alumnos, los que tuviéron efecto el dia 5 del presente mes en la sala capitular, presidiendo el Sr. D. Juan deMalpica y Vermolen, Regido</t>
  </si>
  <si>
    <t>Saavedra, Manuel Antonio</t>
  </si>
  <si>
    <t>Manuel Antonio Saavedra</t>
  </si>
  <si>
    <t>tienza, Asimismo ha conferido S. M. la Vara de Alcalde mayor de las villas deí -Ferrol y la Graña á D. Manuel Antonio Saavedra; y para la de Alcalde mayor Teniente general del Señorío de Vizcaya r con residencia en la villa de Güernica. á D. Manuel García Gallardo.jEn América. En el Regimiento de infanter</t>
  </si>
  <si>
    <t>Sabatier</t>
  </si>
  <si>
    <t>la junta de impuestos de la Asamblea constituyente, y que se ha recordado en el día en una obra de Mr. Sabatier, el importe total del consumo de París asciende, en un añorcomun, 2 la suma,¿6 258.640,000 pesetas. ' i-. ,0- ESPAÑA. . -•&gt; f . Madrid 2.3 de Abril. Con fecha de 11 del corriente</t>
  </si>
  <si>
    <t>Sacristán, Manuel</t>
  </si>
  <si>
    <t>Manuel Sacristán</t>
  </si>
  <si>
    <t>ncia se ha servido el Rey conceder Subtenencias de bandera á D. Ignacio Morales, D. Pedro González, D. Manuel Sacristán y D. Nicolás Pastor, el primero Cadete, y los demas Sargentos primeros de los mismos Cuerpos.</t>
  </si>
  <si>
    <t>Sáenz Ruiz, Francisco</t>
  </si>
  <si>
    <t>Francisco Sáenz Ruiz</t>
  </si>
  <si>
    <t>quisiere tratar de su compra á vales ó metálico, por el todo ó parte de ella, acuda y se presente á Don Francisco Saenz Ruiz, vecino y del comercio de la calle de la Montera en esta Corte. D. Atilano ValleciIJo, Clérigo de mayores, satura! de |a ciudad dw 2táSiGfa^ como de edad de 42 años, su estatura d</t>
  </si>
  <si>
    <t>n los anteriores, en el despacho de la Imprenta Real. Por el correo del día 6 del corriente dirigió D. Francisco Saenz Ruiz, vecino y del comercio de esta Corte, á D. Juan Caraballo y Vera, del de Sevilla, 15 vales Reales de á 300 pesos, de i.° de Mayo, con los núms. 461865 , 451732, 452691,448826, 451</t>
  </si>
  <si>
    <t>Sáenz, Francisco Mateo</t>
  </si>
  <si>
    <t>Francisco Mateo Sáenz</t>
  </si>
  <si>
    <t>arreglo y respecto á su tasación, baxo las seguridades- de estilo; y para tratar de ella acudirán á D. Francisco Mateo Saenz, .Interventor del registro de Ja puerta de Fuencarral. A voluntad de sus dueños, residentes en la ciudad de Sevilla, á medía legua de’ esta ciudad, se vende una hacienda de campo</t>
  </si>
  <si>
    <t>Saez González, Benito</t>
  </si>
  <si>
    <t>Benito Saez González</t>
  </si>
  <si>
    <t>; Noriega. Quien quisiere hacer dicha puja, acuda por la misma escribanía. Por providencia del Lie. D. Benito Saez González , Abogado de los Reales Consejos, Corregidor de la villa de Talavera de la Reyna, se está subastando en la misma ima labranza de pan llevar, llamada de Valdehiguera, inmediata á s</t>
  </si>
  <si>
    <t>Saez, Francisco</t>
  </si>
  <si>
    <t>Francisco Saez</t>
  </si>
  <si>
    <t>ntes á los Alféreces D. Pedro N Rasco García y D. Cristóbal Minguez: á Alféreces á los Portaguiones D. Francisco Saez y D. Marcos de Sobremonte; y á Portaguiones al Cadete D. Martin Josef Pestaña, y al Alférez agregado al propio Cuerpo D. Ramón Vázquez Pagóla. El día 24 de Diciembre del año próximo p</t>
  </si>
  <si>
    <t>Saez, Pedro</t>
  </si>
  <si>
    <t>Pedro Saez</t>
  </si>
  <si>
    <t>vGerónimo Salas , muerto: D. Josef María Pardo id.: D. Josef Maymó, herido : D. Manuel Briones id.: D. Pedro Saez;Baranda id.: D. Aniceto Diaz Pimienta id.: D. Francisca Rúa id. Primer Piloto. D. Joaquin Hurtado, contuso. También ha dado parte al Sr. Generalísimo el Gefe de Esqnadra Don Balta</t>
  </si>
  <si>
    <t>Sagau y Dai-inau, Félix</t>
  </si>
  <si>
    <t>Félix Sagau y Dai-inau</t>
  </si>
  <si>
    <t>;o de una onza, á D. Isidro Merino,, ñatüral ,-dé'Adrados ,• de* 24 -años. Premio .extraordinario á D. Félix Sagau y Dai-inau, natural de Barcelona, de 19 años. Perspectiva. Premio único. Medalladé pro de una onza a D. Josef de S. Martin ^natural de Madrid, de 21 años. Para qué el público pueda ver Jas-p</t>
  </si>
  <si>
    <t>Sagrado, Pedro</t>
  </si>
  <si>
    <t>Pedro Sagrado</t>
  </si>
  <si>
    <t>f de Castells y de Foja: para la Dignidad de Prior de la Catedral de Segovia, vacante por muerte de D. Pedro Sagrado, á Don Francisco Martin Yuste: para una Ración de la Catedral de Sigiienza, por fallecimiento de D. Julián Barbajosa, á D. Santiago Fernandez de Bulnes, Medio-Racionero de ella :</t>
  </si>
  <si>
    <t>Saint- Cyr, General</t>
  </si>
  <si>
    <t>General Saint- Cyr</t>
  </si>
  <si>
    <t>alor,y en un punto la desbarató: repitió varias veces el ataque, más siempre en vano. 1 En tanto el General Saint- Cyr mandó hacer un movimiento al Regimiento Polaco, y cogió al enemigo por las espaldas: á lo que se siguió una derrota hasta Castel-Franco, adonde llegaron nuestras tropas al mismo t</t>
  </si>
  <si>
    <t>Saint-Cyr, General</t>
  </si>
  <si>
    <t>General Saint-Cyr</t>
  </si>
  <si>
    <t>gie,*marchando apersona al Piave á dirigir los -movimientos. que, había mandado hac^r. EL Teniente .General Saint-Cyr maniobraba con el objeto: de reconocer</t>
  </si>
  <si>
    <t>Saint-Hilaire, General</t>
  </si>
  <si>
    <t>General Saint-Hilaire</t>
  </si>
  <si>
    <t>a del.exército, tenia á su izquierda la división del General Vandamme, en el centro la,división del General Saint-Hilaire,y á su derecha la división del General Legrand..__.El Mariscal Davoust estaba destacado sobre la derecha ¿el General Legrand, que guardaba los caminos de Sokolnitz y de'Tenia cons</t>
  </si>
  <si>
    <t>Saitnt-ílíilaire, General</t>
  </si>
  <si>
    <t>General Saitnt-ílíilaire</t>
  </si>
  <si>
    <t>la derrota: y no se ha roto mas 15 meti-’p-o que el batallón del 4.0 Entre los hedidos se hallan el General Saitnt-ílíilaire, que, herido al principio de la acción, ha permanecido todo &lt;L tiempo sobre el campo de batalla, y se ha cubierto de gloria; los Genínsleu de división Kellermann y Walther, los Ge</t>
  </si>
  <si>
    <t>Salaisr y Carrillo, Antonio</t>
  </si>
  <si>
    <t>Antonio Salaisr y Carrillo</t>
  </si>
  <si>
    <t>a el empleo de Asesor y Auditor de Guerra del Gobierno y Capitanía general de las islas Filipinas á Don Antonio Salaisr y Carrillo, Abogado de sus Reales Consejos. En la madrugada del 17 de Enero, próximo pasado, falleció en esta Corte la Excelentísima Señora Doña Mariana de Silva Waldstein, Condesa de Haro y</t>
  </si>
  <si>
    <t>Salazar, Agustín</t>
  </si>
  <si>
    <t>Agustín Salazar</t>
  </si>
  <si>
    <t>D; Antonio Cásanos D. Antonio Escalera, Di Mateo Ghar-1 denoux, D. Pedro Argaiz, D. Pablo Ventades, D. Agustín Salazar, Don Juan Pusterla, D. Pedro del Barco, D. Francisco Saravia y D. Manuel Cebi-ian¿ En Iqs Cuerposde Milicias Provinciales ha promovido el Rey á Tenientes, en ei;d¿ León, á Ios-Sub</t>
  </si>
  <si>
    <t>Salazar, Antonio</t>
  </si>
  <si>
    <t>Antonio Salazar</t>
  </si>
  <si>
    <t>zo; y D. Joaquín Verástegui ; en Geometría1 elemental D. Josef Demblans: en la elemental y práctica D. Antonio Salazar, D. Miguel Horcasitas y D. Pedro Giroud; en Cosmografía y Geografía D. Juan Villapol, y en Trigonometría plana y esférica, Cosmografía, Geografía y Navegación D. Pedro Villar y D.</t>
  </si>
  <si>
    <t>Salazar, Diego</t>
  </si>
  <si>
    <t>Diego Salazar</t>
  </si>
  <si>
    <t>9H í'erriet, graduado de Teniente,-D. Francisco Rodríguez, D. Luis Daunoy, D. Diego Salazar, D. Luis Gayarre, D. Cirilo Demorant y D. Juan Bautista Dufosat, el primero, segundo y quinto de granaderos; á Subtenientes de granaderos los.de fusileros D. Francisco Perez y Mur</t>
  </si>
  <si>
    <t>Salazar, Ignacio</t>
  </si>
  <si>
    <t>Ignacio Salazar</t>
  </si>
  <si>
    <t>n al graduado de esta clase y Ayudante mayor D. Manuel Zequeira: «i Ayudantes mayores los Tenientes D. Ignacio Salazar, de granaderos, y D. Josef Claudio Zuñiga; á Teniente de granaderos al de fusileros D. Manuel Molina; á Tenientes los Subtenientes de granaderos D. Juan Nepomuceno de Castro y D.</t>
  </si>
  <si>
    <t>Salazar, Matías</t>
  </si>
  <si>
    <t>Matías Salazar</t>
  </si>
  <si>
    <t>Vicente Vivanco y D. Anselmo de Arce; j de Portaestandartes á D. Eusebio Goizueta, D. Manuel Muñiz, D. Matías Salazar y D. Vicente Rodriguez. En el Regimiento de Milicias urbanas de dragones de Carabaya, en el Reyno del Perú, se ha dignado S. M. conceder el empleo de Coronel á D. Antonio Goiburu ; Te</t>
  </si>
  <si>
    <t>Salazar, Pedro</t>
  </si>
  <si>
    <t>Pedro Salazar</t>
  </si>
  <si>
    <t>uerpo de Ingenieros del exército se ha servido el Rey promover á Capitán primero al Capitán segundo D. Pedro Salazar; y á este empleo al Teniente D. Joaquin Salcedo. S. M. se ha servido nombrar para la plaza de Ministro de la Sala de Alcaldes de su Real Casa y Corte , vacante por promoción del S</t>
  </si>
  <si>
    <t>Salazar, Tomás Miguel</t>
  </si>
  <si>
    <t>Tomás Miguel Salazar</t>
  </si>
  <si>
    <t>D. Fermín Béjar, D. Josef Hermosilla y Aguirre, D. Pedro Laureano del Prado, Don Jacinto Aréstegui, D. Tomas Miguel Salazar, D. Miguel Mariano Ramiro y D. Pedro Salcedo; Ayudantía á D. Calixto Ramos; Tenencia de granaderos á D. Timoteo Ramos, D. Pedro Béjar, D. Melchor Ramos, D.Josef Vicente Andrade ,</t>
  </si>
  <si>
    <t>Salcedo, Joaquín</t>
  </si>
  <si>
    <t>Joaquín Salcedo</t>
  </si>
  <si>
    <t>el Rey promover á Capitán primero al Capitán segundo D. Pedro Salazar; y á este empleo al Teniente D. Joaquin Salcedo. S. M. se ha servido nombrar para la plaza de Ministro de la Sala de Alcaldes de su Real Casa y Corte , vacante por promoción del Sr. D. Francisco Xavier Duran á otra del Consejo,</t>
  </si>
  <si>
    <t>Salgado, Antonio</t>
  </si>
  <si>
    <t>Antonio Salgado</t>
  </si>
  <si>
    <t>e la Reyna al Teniente Don Juan Manuel Pereyra: á Teniente en el de cazadores de Átmansa ai Alférez D. Antonio Salgado ; á Alféreces en el mismo Cuerpo, al Sargento primero D. Josef Gutiérrez , y á les Cadetes de los de cazadores de la Reyna y Pavía D. Fernando Montero y D. Manuel 4e Rosales: en e</t>
  </si>
  <si>
    <t>Salgado, Bernardo</t>
  </si>
  <si>
    <t>Bernardo Salgado</t>
  </si>
  <si>
    <t>infantería de Extremadura Compañías al Teniente de granaderos y aL Ayudante, graduados de Capitán, D. Bernardo Salgado y D. Antonio Falcon; y Ayudantía al Teniente de granaderos, también graduado de Capitán, D. Ventura Dueñas; y en los de Zamora y Ordenes Militares Tenencias á los Subtenientes D. Fran</t>
  </si>
  <si>
    <t>Salgüeyro, Pablo</t>
  </si>
  <si>
    <t>Pablo Salgüeyro</t>
  </si>
  <si>
    <t>Manuel Yañez Montenegro, D. Pedro Vicira Escovedo, D. Melchor de Salas Vaidés, D. Narciso Roseiió, Don Pablo Salgüeyro., D. Isidro Miranda, D. Mariano Sánchez, D. Angel Santa María Perez, D. Santiago Montesinos, D. Nicolás Perales y D. Esteban Perales ; y de Portaguiones á D. Juan Cáceres, D. Mari</t>
  </si>
  <si>
    <t>Saliceti</t>
  </si>
  <si>
    <t>ado por Morghen, y con el del Cardenal Despuig, que se le supone su editor. El Ministro de Francia, Mr. Saliceti, ha negociado con nuestro Gobierno , á nombre del Emperador Napoleón , un nuevo convenio , por el qual, entre otras cosas, promete á nuestra República procurarla la paz con las Po</t>
  </si>
  <si>
    <t>Salido y Velasco, Ignacio</t>
  </si>
  <si>
    <t>Ignacio Salido y Velasco</t>
  </si>
  <si>
    <t>anta María Magdalena de la ciudad de Jaén, vacante por fallecimiento de D. Juan Antonio González, á D. Ignacio Salido y Velasco, Prior Párroco de dicha Iglesia, con retención de su Curato. El Rey se ha servido conferir en el Regimiento de infantería de Ñapóles Compañía ai Ayudante, graduado de Capitán, D.</t>
  </si>
  <si>
    <t>Salinas, Juan Bautista</t>
  </si>
  <si>
    <t>Juan Bautista Salinas</t>
  </si>
  <si>
    <t>Corté Mencía Ortiz y Juan de Negrete su hijo, y en la.villa de Manzanares, Provincia de la Mancha, D. Juan Bautista Salinas y su línea, deberán hacerlo, para que. sea legítimo su pago, á D. Josef Vildosola, Oficial segundo de la Nunciatura en esta Corte, que vive en la calle de la Ruda, num. i, como Apod</t>
  </si>
  <si>
    <t>Salinas, Miguel</t>
  </si>
  <si>
    <t>Miguel Salinas</t>
  </si>
  <si>
    <t>imientos de caballería de línea se ha servido el Rey conceder en el de Santiago Tenencia ai Alférez D. Miguel Salinas; y empleo* de Portaestandartes en los del Infante y Algarbe á los Cadetes de los de Montesa y Príncipe D. Vicente Gisbert y Colomina y D. Pablo Solana. S. M. se ha servido conferi</t>
  </si>
  <si>
    <t>Salinas, Vicente</t>
  </si>
  <si>
    <t>Vicente Salinas</t>
  </si>
  <si>
    <t>l Cadete D. Pedro de Paz: en el de dragones de Milicias de Lima Tenencia de granaderos al Terniente D. Vicente Salinas ; Tenencia al Subteniente D. Ignacio Cabero Tagle, y empleo de Portaguión al'Cadete. D. Josef Escovar y Fuente.</t>
  </si>
  <si>
    <t>Salineri de Vannes, Barón</t>
  </si>
  <si>
    <t>Barón Salineri de Vannes</t>
  </si>
  <si>
    <t>nto de dicha villa. D. Manuel Espiñeyra y Aguiar, vecino de esta Corte, desea saber el paradero del Barón Salineri de Vannes, para dirigirle una carta interesante de su patria. Historia de los Sacramentos, donde se refiere el modo observado por la Iglesia ¿ti su celebración y administración, y el uso qu</t>
  </si>
  <si>
    <t>Salvadora Mendiol</t>
  </si>
  <si>
    <t>ue se expresan, á saber: á la Marquesa de Valdchoyos, difunta, 3500 duros: á D. Pedro Blanco 240: á Doña Salvadora Mendiol 300 pesos fuertes por sí, y 200 dichos por parte de su hermano: á la Señora Meñaca, viuda de D. Patricio Yangíie, 200 pesos fuertes poco mas ó menos: á D. Pedro de Robles 500 peso</t>
  </si>
  <si>
    <t>Samaniego, Félix María</t>
  </si>
  <si>
    <t>Félix María Samaniego</t>
  </si>
  <si>
    <t>n la librería de Baylo, calle de las Carretas. Quaderno 5.0 y último del tomo i.° de las Fábulas de D. Félix María Samaniego, con las 25 estampas que le corresponden. Se venden en las librerías de Barco, carrera de S. Gerónimo, y de Tieso, calle de las Carretas, y las estampas sin impresión á medio real</t>
  </si>
  <si>
    <t>e el Real; el tomo 2.0 está en prensa,y se dará con la brevedad posible. Tomo 2.0 de las fábulas de D. Félix María Samaniego,adornadas con estampas: comprehende los 4 últimos libros de este autor. Se vende, con los 5 quadernos anteriores, en las librerías de Tieso, calle de las Carretas, y de Barco, car</t>
  </si>
  <si>
    <t>cero. En los mismos sitios se vende el tratado de la sagrada Luminaria. Libro 3.0 de las fábulas de D. Félix María Samaniego, de la edición en 8.° marquilla , adornada cada fábula con una estampa. Los subscriptores acudirán á recibirle y abonar el 4.0 á las librerías de Castillo, frente á las gradas de</t>
  </si>
  <si>
    <t>rería de la viuda é hijo de Quiroga, calle de las Carretas , á 8 rs. Libro quarto de las Fábulas de D. Félix María Samaniego de la edición en marquilla, primero de los tres de que se compondrá el tomo i.°: consta'de Fábulas, adornadas con otras tantas estampas. Los subscriptores podrán acudir a recogerle, y ant</t>
  </si>
  <si>
    <t>de Collado, calle de la Encomienda, á 24 rs. en rústica y go en pasta. Libro 6.° de las Fábulas de D. Félix María Samaniego, de la edición en 8.® inarquilla, que comprehende el quaderno 3.0 con que se concluye el tomo 2.0, el qual consta de 12 fábulas con otras tantas estampas. Los subscriptores podrán</t>
  </si>
  <si>
    <t>Saminiego, Félix María</t>
  </si>
  <si>
    <t>Félix María Saminiego</t>
  </si>
  <si>
    <t>calle del Lobo, y en la de Castillo, frente á las gradas de S. Felipe. Libro 5.0 de las Fábulas de D. Félix María Saminiego, de la edición en 8.® marquilla, segundo de los tres de que se compondrá el tomo i.ú Consta de 25 fábulas, con otras tantas estampas. Los subscriptores podrán acudir á recogerle,</t>
  </si>
  <si>
    <t>Samuel Ginther</t>
  </si>
  <si>
    <t>en á los Subtenientes D. Juan Werly y D. Luis Wisety; y á Subteniente de granaderos al de fusileros D. Samuel Ginther. El Mercurio de España de 15 de Agosto, núm. 15, se hallará en el despacho de la Imprenta Real; en el Real Sitio de S. Ildefonso en la tienda del Rubio, y en Cádiz en casa de D. M</t>
  </si>
  <si>
    <t>Samuel-Abraham-Friedlander de Ritzebuttel</t>
  </si>
  <si>
    <t>e Portugal,recien llegado de Lisboa, tendrá un dia de estos su primera audiencia de S. M. Prusiana. Mr. Samuel-Abraham-Friedlander de Ritzebuttel, y el banquero Márcos Samuel, de Strasburgo, han sido nombrados Agentes de nuestra Corte. El propietario mas rico de la Silesia Conde de Colonna, que ha muerto poco hace, ha insti</t>
  </si>
  <si>
    <t>San Juan, Benito</t>
  </si>
  <si>
    <t>Benito San Juan</t>
  </si>
  <si>
    <t>Escalante. También se ha servido el Rey promover á Mariscal de Campo de sus Exércitos al Brigadier D. Benito San Juan. El Capitán General del exército y Reyno de Valencia ha dado cuenta al Ministerio de la Guerra de. que el dia 26 de Abril próximo pasado quedó abierta la comunicación con Cartagen</t>
  </si>
  <si>
    <t>San Román, Miguel</t>
  </si>
  <si>
    <t>Miguel San Román</t>
  </si>
  <si>
    <t>Francisco Grambel,D. Josef Cordero, D. Ramón Oviedo y D. Juan Cornejo; Subtenencia de granaderos á D. Miguel San Román, y de fusileros á D. Julián Antezana, D. Evaristo Ximenez , D. Mariano Estevez, D. Fernando Aragón, D. Josef Callisava, D. Antonio de la Vega, D. Josef de Avila y D. Francisco Vel</t>
  </si>
  <si>
    <t>San Román, Vicente</t>
  </si>
  <si>
    <t>Vicente San Román</t>
  </si>
  <si>
    <t>onté. El Rey se ha servido conceder Tenencia en el Regimiento de caballería del Príncipe al Alférez D. Vicente San Román: empleos de Alférez en los del Infante y Alcántara á los Portaestandartes D. Rafael Valdés y D. Josef García: Ayudantía en el de Montesa al Teniente, graduado de Capitán, D. Juan</t>
  </si>
  <si>
    <t>San'z, Claudio</t>
  </si>
  <si>
    <t>Claudio San'z</t>
  </si>
  <si>
    <t>riente, de doce á una de la mañana, en las puertas de su audiencia, pot ante el Escribano de número D. Claudio San'z. Por el juzgado del Sr. D. Diego Gil Fernandez, del Consejo de S.M., Alcalde de la Real Casa y Corte , se ha mandado sacar ,á pública subasta, por término de 30 dias, para pago de</t>
  </si>
  <si>
    <t>Sancbezj, Francisco</t>
  </si>
  <si>
    <t>Francisco Sancbezj</t>
  </si>
  <si>
    <t>scripciones Babilónicas nuevamente descubiertas: juicio del melodrama sacro intitulado Saúl: oda de D. Francisco Sancbezj. anuncios* Se halla suelto, y con los anteriores, en la librería de Alonso, frente á las gradas de S. Felipe. v</t>
  </si>
  <si>
    <t>Sancha, Gabriel</t>
  </si>
  <si>
    <t>Gabriel Sancha</t>
  </si>
  <si>
    <t>tro Señor prohibir la introducción e-n él Reyno de tódo diccionario Francés-Español, á instancia de D. Gabriel Sancha, que ha hecho una edición muy copiosa del diccionario de lengua Francesa y su correspondencia con la Española, compuesto por D. Antonio Capmany. El Rey nuestro Señor se ha dignado</t>
  </si>
  <si>
    <t>Sánchez Barrero, Domingo</t>
  </si>
  <si>
    <t>Domingo Sánchez Barrero</t>
  </si>
  <si>
    <t>ha servido el Rey conferir una plaza de Agente del número de los de Indias , vacante por muerte de D. Domingo Sánchez Barrero, á D. Ignacio Morales Gabaldon. En los dias «0,21 y 23 de Abril y 7 de Mayóse han hecho á la vela de varios puertos de esta Península, y se han perdido de vista, navegando con vie</t>
  </si>
  <si>
    <t>Sánchez Barriga, Rafael</t>
  </si>
  <si>
    <t>Rafael Sánchez Barriga</t>
  </si>
  <si>
    <t>S. M. se ha servido nombrar para el Deanato de la Catedral de Málaga, vacante por fallecimiento de D. Rafael Sánchez Barriga, á D. Alvaro de Salazar y Vilches; para la Dignidad de Chantre, que este dexa, al Canónigo de la misma D. Francisco Joaquín de Loyo y Treviño: para laCanongía, que este obtenía, á</t>
  </si>
  <si>
    <t>Sánchez Castilla, Francisco</t>
  </si>
  <si>
    <t>Francisco Sánchez Castilla</t>
  </si>
  <si>
    <t>n de Santiago. Asimismo ha nombrado S. M. para las Varas de Alcalde mayor de la villa de Medellin á D. Francisco Sánchez Castilla: del Valle de íguña á Don Vicente Manuel de la Hoz; y de la villa de la Orotava en las Islas de Canarias á D. Josef Diaz Bermudo; y para el Corregimiento de Letras de la villa de</t>
  </si>
  <si>
    <t>Sánchez Cisneros, Juan</t>
  </si>
  <si>
    <t>Juan Sánchez Cisneros</t>
  </si>
  <si>
    <t>de los niños premiados, y otra á nombre de las niñas Doña María Berard y Mallen. Pronunció el socio D. Juan Sánchez Cisneros una oración en elogio de los cuerpos patrióticos, señaladamente de la Real Sociedad. Valenciana: el socio P. Rafael del Angel Custodio leyó unos endecasílabos á la educación de la</t>
  </si>
  <si>
    <t>Sánchez Diosdado, Alonso</t>
  </si>
  <si>
    <t>Alonso Sánchez Diosdado</t>
  </si>
  <si>
    <t>nombrado Subtenientes de bandera de los, de Bach}oz, Jaén, Logroño , Tuy, Oviedo, Segovia y Lugo á D, Alonso Sánchez Diosdado, P. Juan de Lomas, D. Domingo Pedro de Otañes, D. Juan Felipe Correa, D. Félix de las Ala? y Pumanúo , D. Manuel .del Riego Pica, y D. Joaquín María López Varela y Lemo?. . S. M.</t>
  </si>
  <si>
    <t>Sánchez Marian, Joaquín</t>
  </si>
  <si>
    <t>Joaquín Sánchez Marian</t>
  </si>
  <si>
    <t>rtiendo que los interesados deben excusar dirigir pliego alguno por el correo al susodicho Arozena. D. Joaquín Sánchez Marian, que vive en la calle del Barco, núm. 4, quarto segundo, desea saber el pueblo en donde resida D. Miguel López de Rodrigo, Abogado de ios Reales Consejos, que hace mas de 6 años s</t>
  </si>
  <si>
    <t>Sánchez Mondragon, Antonio</t>
  </si>
  <si>
    <t>Antonio Sánchez Mondragon</t>
  </si>
  <si>
    <t>ento primero de granaderos D. Valentín Rubio. El Rey se ha servido conceder por gracia particular á D. Antonio Sánchez Mondragon, Capitán del Regimiento Provincial de Guadix, Tenencia en el de infantería de Zamora y y Subtenencia de ^bandera en el Inmemorial del Rey al Cadete D. Ventura López Perez. El Rey</t>
  </si>
  <si>
    <t>Sánchez Neyia, Francisco</t>
  </si>
  <si>
    <t>Francisco Sánchez Neyia</t>
  </si>
  <si>
    <t>; y á Subtenientes de bandera los Cadetes D. Miguel Estanislao Soler y D. Juan Zeiada y el Sargento Don Francisco Sánchez Neyia. S. M. se ha dignado conferir Comandancia de esquadron en el Regimiento de Milicias urbanas de dragones de Quispicanchi, en el Reyno del Perú , á D. Hermenegildo Delgado, Sargento</t>
  </si>
  <si>
    <t>Sánchez Pareja, Miguel</t>
  </si>
  <si>
    <t>Miguel Sánchez Pareja</t>
  </si>
  <si>
    <t>n de granaderos al de fusileros; D. Juan Fernandez Vil-r ¿hez; á Capitanes de fusileros al Ayudante D. Miguel Sánchez Pareja,vy aí Tenie¿ite de granaderos D. Jacinto Cplomer; á Ayudante y Teniente .de, granaderos á los de fusileros D. Juan Roldan, y D. Salvador Buergo ; á Tenientes de -fusileros á los S</t>
  </si>
  <si>
    <t>Sánchez Peña, Francisco</t>
  </si>
  <si>
    <t>Francisco Sánchez Peña</t>
  </si>
  <si>
    <t>a^ duado de Teniente Coronel, D. Juan Marti: Tenencia en el de Voluntarios de Estado ai Subteniente D. Francisco Sánchez Peña; y Subtenencias de bandera en el de Ultonia al Cadete D. Félix Alcantarena y Garayoa, y en el de Voluntarios de la Corona al Sargento primero de granaderos Doft Francisco García.</t>
  </si>
  <si>
    <t>Sánchez Toro, Luis</t>
  </si>
  <si>
    <t>Luis Sánchez Toro</t>
  </si>
  <si>
    <t>Toro y D. Josef Remigio Arias ; la Sargentía mayor á D. Mariano Escovedo ; Compañía de granaderos á D. Luis Sánchez Toro ; y sencillas á D. Sebastian Benavente , D. Gerónimo Casal, D. Nicolás Montesinos, D. Eugenio Figueroa, D. Josef Alvaro de Arias, D. Juan Pablo Molina, D. Mariano Cáceres y D. And</t>
  </si>
  <si>
    <t>Sánchez, Ángel</t>
  </si>
  <si>
    <t>Ángel Sánchez</t>
  </si>
  <si>
    <t>rso castellano, y aclarados con notas, que sirven de paráfrasis, y explican su sentido literal, por D. Angel Sánchez. Se hallarán en las librerías de la viuda de Barco, calle de la Cruz, y de Barco y compañía, calle de las Carretas. Sermones morales y panegíricos del Dr. Castro y Barbeyto, forma</t>
  </si>
  <si>
    <t>Sánchez, Antonio</t>
  </si>
  <si>
    <t>Antonio Sánchez</t>
  </si>
  <si>
    <t>Arroyo: Teniente de la del castillo del Peten á D. Josef Ignacio Calvez: Subteniente de la misma á D. Antonio Sánchez : Teniente y Subteniente de la de Truxiilo á D. Josef Martínez y Don Manuel García. En el Regimiento de dragones de Buenos- Ayres se ha servido el Rey promover á Sargento mayor al</t>
  </si>
  <si>
    <t>Sánchez, Bernardo</t>
  </si>
  <si>
    <t>Bernardo Sánchez</t>
  </si>
  <si>
    <t>de Yalenzuela en el-mismo Obispado: para una Ración de la Iglesia de Tuy, vacante por promoción de D. Bernardo Sánchez á Canónigo de la propia Iglesia, á D. Ambrosio Molinero, Prebendado Maestro de Capilla de ella: para la Chantría de la Catedral de Lugo, vacante por promoción de Don Antonio Lence</t>
  </si>
  <si>
    <t>Sánchez, Francisco</t>
  </si>
  <si>
    <t>Francisco Sánchez</t>
  </si>
  <si>
    <t>or primera i^ez en el coliseo de los Caños del Peral el dia 6 de Marzo de este año, y compuesto por D. Francisco Sánchez. Se hallará en la librería de Carincho, calle de Alcalá, y en la de Bengoechea, calle de las Carretas: su precio 3 rs. Estampa de Cristo muerto en el regazo de su Santísima madre,</t>
  </si>
  <si>
    <t>gre; y el Commentarius de vera fuci natantis fructificatione. Principios de Retórica y Poética, por D. Francisco Sánchez, entre los ArcadesFloralbo Corintio: un tomo en 8.° mayor. El autor de esta obra se ha propuesto recopilar lo mejor que sobre la Retórica y Poética se ha escrito; animarlo con un</t>
  </si>
  <si>
    <t>ntonio Marín, Agustiniano: otro extracto de los principios de Retórica y Poética, primera parte, de D. Francisco Sánchez : noticia crítica del tratado de educación, ó lectura con método: segundo Robinson, traducido del francés por D. Francisco Clemente y Miro: una oda á la esposa de un amigo, con mo</t>
  </si>
  <si>
    <t>ségundo de los principios de Retórica y Poética, por D. Francisco Sánchez; una noticia concerniente á Mr. Gubitz sobre la perfección que ha dado al arte de grabar en madera; un opúsculo intitulado los niños bienhechores, y el reconocimiento; y noticias</t>
  </si>
  <si>
    <t>ulo sobre los búcaros y alcarrazas: análisis de los elementos de Agricultura-de Mr. Duhámeh: oda de D. Francisco Sánchez: noticias, anuncios. Se hallará suelto, y con los anteriores, en Ja librería de Alonso, frente á las gradas de S. Felipe. Nueva Ciropedia, ó viages de Ciro el joven, con un discur</t>
  </si>
  <si>
    <t>Sánchez, Francisco Xavier</t>
  </si>
  <si>
    <t>Francisco Xavier Sánchez</t>
  </si>
  <si>
    <t>6l 2 al Alférez D. Francisco Xavier Sánchez; á Subteniente al Cadete B. Nicolás Viilalon, y á Alférez al Sargento segundo D. Juan Viñals: finalmente, á Alférez de la Compañía urbana de caballería de la ciudad de Trinidad, e</t>
  </si>
  <si>
    <t>Sánchez, Manuel</t>
  </si>
  <si>
    <t>Manuel Sánchez</t>
  </si>
  <si>
    <t>us dueños, y está tasada en 193,812 rs. 32 mrs., acudirá á la escribanía que en dicho Sitio obtiene D. Manuel Sánchez, Escribano mas antiguo de dicho Gobierno. Se halla vacapte en la villa de Olías, distante de la Corte 10 leguas, y 2 de la ciudad de Toledo, Ja plaza de Médico, que vale 8200 rs.</t>
  </si>
  <si>
    <t>Sánchez, Miguel</t>
  </si>
  <si>
    <t>Miguel Sánchez</t>
  </si>
  <si>
    <t>y D. Miguel Pac heeo; y Subtenencia de bandera en el de Voluntarios de Castilla al Sargento primero D. Miguel Sánchez. S. M. se ha servido conferir en el Regimiento de infantería de la Corona Compañía al Ayudante , graduado de Capitán, D. Estanislao Marau ; y en el- de Asturias Subtenencia de ban</t>
  </si>
  <si>
    <t>Sánchez, Simón</t>
  </si>
  <si>
    <t>Simón Sánchez</t>
  </si>
  <si>
    <t>Junta. Y en su conseqiiencia se sirvió adjudicar los tres premios mayores de á 55 pesos cada uno á D. Simón Sánchez, D. Eustasio López y D. Miguel Perez; y los tres segundos de á 35 pesos á D. Isidro Franco,, D. Felipe Alvaro y D. Pedro González; quedando con la mas lisonjera satisfacción de ha</t>
  </si>
  <si>
    <t>Sánchez, Vicente</t>
  </si>
  <si>
    <t>Vicente Sánchez</t>
  </si>
  <si>
    <t>ficiado de Sta. Columba : para el Beneficio deCuelgamures, Diócesi de Toledo, vacante por muerte de D. Vicente Sánchez, Capellán de Honor, a D. Cayetano de Campos, que lo es también, y Penitenciario de la 'Real Capilla: para el Beiiéficio dé la Parroquia de la villa de Madrigal, en 'el Obispado de</t>
  </si>
  <si>
    <t>cíe León, vacante por fallecimiento de D. Vicente Sánchez, á D. Josef Elia* Velez Cosío. El Rey se ha servido nombrar para una Capellanía de numero, vacante en la Catedral de Patencia, por fallecimiento de D. Jacinto Moro Benito, á-D. Si</t>
  </si>
  <si>
    <t>Sancho</t>
  </si>
  <si>
    <t>unión de las Iglesias de Segorve y Albarracinexpedida por el Papa Alexandro ív, inédita. = Carta de D. Sancho, Arzobispo electo de Toledo, al Obispo de Segorve , D. Fr. Pedro Garcés, sobre ciertas quejas que contra él tenia el Cabildo de su Iglesia, inedita. = Elección de D. Pedro Ximenez</t>
  </si>
  <si>
    <t>ncisco Martinez Marina: 3.a Discurso histórico sobre el origen y sucesión del reyno Pirenáyco hasta D. Sancho el Mayor, por D. Joaquín Traggta: 4.a Nueva demostración sobre la falsedad del privilegio del Rey D. Ramiro 1, en el qual se supone haber concedido los votes á la Iglesia de Santiag</t>
  </si>
  <si>
    <t>Sancho García</t>
  </si>
  <si>
    <t>s eruditos á la violeta, ó curso completo de todas las ciencias: el suplemento á este famoso curso: D. Sancho García, Conde de Castilla, tragedia española</t>
  </si>
  <si>
    <t>Sancho, Manuel</t>
  </si>
  <si>
    <t>Manuel Sancho</t>
  </si>
  <si>
    <t>, de 19 años. Escultura, afi. Luis Fontenéíle, natural de Roma, de 25 años. Premio^ d? emulación, á D. Manuel Sancho, natural de Madrid, de 10 años. . Arquitectura, á D. Agustín López, natural de Madrid, de íj áños. Gradado-de Jámmas. Premio aplico. Medalla de oro dé.uña onza, a D. Frap. cisco R</t>
  </si>
  <si>
    <t>Sande, Diego</t>
  </si>
  <si>
    <t>Diego Sande</t>
  </si>
  <si>
    <t>n Barraguer. El Rey se ha servido nombrar Subtenientes del Real Cuerpo de Ingenieros del exército á D. Diego Sande, que lo era del Regimiento de Extremadura, y á D. Francisco Ramírez , Cadete de Reales Guardias de infantería Española. S. M. se ha servido conferir la Sargentía mayor del Regimie</t>
  </si>
  <si>
    <t>Sande, Francisco</t>
  </si>
  <si>
    <t>Francisco Sande</t>
  </si>
  <si>
    <t>de Capitán, D. Eduardo De^sardi; y en el de Extremadura Tenencias á los Subtenientes de granaderos D. Francisco Sande y D. Josef Tejero. S. M. se ha dignado nombrar Gefe de Escuela del Departamento de Artillería de Sevilla al Brigadier D. Vicente María Maturana , Coronel del tercer Regimiento del pro</t>
  </si>
  <si>
    <t>Sangenis, Antonio</t>
  </si>
  <si>
    <t>Antonio Sangenis</t>
  </si>
  <si>
    <t>ancisco Hurtado, Sargento mayor de Brigada: este empleo los Capitanes primeros D. Cayetano Zappino, D. Antonio Sangenis, y D. Josef Torras y Pellicer, graduado de Teniente Coronel; á Capitán primero D. Juan Sociats, Capitán segundo; y á este empleo el Teniente D. Tomas Pascual Maupoey. S. M. ha con</t>
  </si>
  <si>
    <t>Sansón</t>
  </si>
  <si>
    <t>s Soberanos, por la extensión de las Religiones, y por la extensión de las lenguas principales, por Mr. Sansón, Geógrafo de Luis xiv, Rey de Francia, traducida al castellano por D. Josef Frutos: un tomo en 8.° Se hallará es la librería de Fuentenebro, calle de las Carretas. Ocupaciones san</t>
  </si>
  <si>
    <t>Santa María Pérez, Ángel</t>
  </si>
  <si>
    <t>Ángel Santa María Pérez</t>
  </si>
  <si>
    <t>r de Salas Vaidés, D. Narciso Roseiió, Don Pablo Salgüeyro., D. Isidro Miranda, D. Mariano Sánchez, D. Angel Santa María Perez, D. Santiago Montesinos, D. Nicolás Perales y D. Esteban Perales ; y de Portaguiones á D. Juan Cáceres, D. Mariano Pinedo, Don Gregorio Perales y D. Matías Perlado. Igualmente se</t>
  </si>
  <si>
    <t>Santa María, Alexo</t>
  </si>
  <si>
    <t>Alexo Santa María</t>
  </si>
  <si>
    <t>igadier D. Mariano Garcés ; á Brigadier al Subrigadier D. Rafael Manglano ; á Subrigadier al Cadete D. Alexo Santa María ; á Cadetes de número á los Supernumerarios D. Toribio Sánchez y D. Josef Mendal; y á Supernumerario á D. Josef Chela. S. M. se ha servido promover á Sargento mayor del Regimiento</t>
  </si>
  <si>
    <t>Santander, Gregorio</t>
  </si>
  <si>
    <t>Gregorio Santander</t>
  </si>
  <si>
    <t>eñas , D. Pedro Cegarra , D. Mariano García Romani; y Subtenencias de bandera á f). Simón Aguirre y D. Gregorio Santander. En el Batallón de nueva creación de Milicias disciplinadas de Goatemala se ha dignado el Rey conceder 'Compañía de granaderos á D. Juan Payés y Font, y de fusileros á D. Josef Ig</t>
  </si>
  <si>
    <t>Santiago'García</t>
  </si>
  <si>
    <t>alteración en la salud: análisis de las instituí cionés sobre lá ^crianza física de los niños, por D. Santiago'García: experimentos -sobre'-el Cerito: descripción de dos géneros nuevos de plantas, por el Sr. La-Gasca: extracto dbl discurso sobre el voto de Santiago: oda: anuncios &amp;c. Se hallará s</t>
  </si>
  <si>
    <t>Santin y Vázquez, Martín</t>
  </si>
  <si>
    <t>Martín Santin y Vázquez</t>
  </si>
  <si>
    <t>o la Comunidad de Trinitarios Descalzos. Los pretendientes á dicha plaza remitirán sus memoriales á D. Martin Santin y Vázquez, Escribano de S. M., del número y Ayuntamiento de la referida villa, hasta el último dia del mes de Setiembre. ; y . . Memorial literario, ó Biblioteca periódica de ciencias y art</t>
  </si>
  <si>
    <t>Santistebam, Rafael</t>
  </si>
  <si>
    <t>Rafael Santistebam</t>
  </si>
  <si>
    <t>rez D. Ventura Esquerra; y en el de húsares Españoles Ayudantía al Teniente» graduado, de. Capitán» D. Rafael Santistebam í í; 1 El Rey se há servido, á&gt; consulta del Consejo Real, establecer una Va-, ra de Alcalde mayor en la villa de Huercal-Obera, partido de ja ciudad de Baza, en la provincia de G</t>
  </si>
  <si>
    <t>Santiuste, Miguel</t>
  </si>
  <si>
    <t>Miguel Santiuste</t>
  </si>
  <si>
    <t>l de caballería de Cañete, también de Milicias, Tenencias a los Alféreces D. Josef Seyjas Várela, y D. Miguel Santiuste;-y en ei de infantería de Lamhaye.que I enuncia á D.. Andr.es Millan , Subteniente del mismo Cuerpo. í - Hallándose' las lanchas de Laredo en la mañana del día 5 -de este mes pesc</t>
  </si>
  <si>
    <t>Santos Allende</t>
  </si>
  <si>
    <t>ría de Aragón ál Subteniente de granaderos D. Santos Allende; Subtenencias de bandera en dicho Cuerpo ai Cadete dei Inmemorial del Rey D. Pantaleon de Gires; y en el de Jaén al Soldado distinguido de Reales Guardias Españolas D. Domingo lba</t>
  </si>
  <si>
    <t>Santos Bujan</t>
  </si>
  <si>
    <t>Id. id. Santos Bujan......... HijodePcamon y de Dominga Moreyra,</t>
  </si>
  <si>
    <t>Santos Eméterio Encabo</t>
  </si>
  <si>
    <t>e en la misma Diócesis: para otra de la Catedral de Osma, vacante por muerte de D. Juan Aparicio, á D. Santos Eméterio Encabo, Cura de aquella Catedral: para otra de la Catedral de Orense , vacante por fallecimiento de D» Pedro Martines, á D. Ramón Gutiérrez Blanco , Cura Rector de la Feligresía de Santi</t>
  </si>
  <si>
    <t>Santos García, Jorge</t>
  </si>
  <si>
    <t>Jorge Santos García</t>
  </si>
  <si>
    <t>ihuela, D. Vicente Herencia, D.Vicente Portugal,D. Miguel Carrasco y D. Martin Vargas; Ayudantías á D. Jorge Santos García y D. Melchor Olaquibel; Tenencia de granaderos á D. Melchor Ramos;y sencillas á D. Laureano Cabrera , D. Mariano Anaya, D. Blas Cuenca , I). Faustino Aragón, D. Juan de Dios Camborda,</t>
  </si>
  <si>
    <t>Santos Hemeterio Encabo</t>
  </si>
  <si>
    <t>ado de Plasencia: para una Ración de la Catedral de Osma, vacante por dimisión que ha hecho de ella D. Santos Hemeterio Encabo, para la qual le nombró á consulta de la Cámara de 2 5 de Mayo de este año, por haber</t>
  </si>
  <si>
    <t>Santos Rábago</t>
  </si>
  <si>
    <t>xillo y Ronda, Tenencias de fusileros á los Subtenientes D. Gerónimo Valladares, D. Estéban Pastor, Don Santos Rábago, D. Josef Martinez Henao, y al Teniente agregado Don Ignacio Simó: en el de Lorca la Subtenencia de granaderos al Subteniente de fusileros D. Joaquín Chico;y en los de Plasencia,</t>
  </si>
  <si>
    <t>Santos Zaballa</t>
  </si>
  <si>
    <t>e Azangaro, en el Reyno del Perú, el empleo de Coronel á D. Pedro Benavente; la Tenencia Coronela á D. Santos Zaballa ; Comandancias á D. Josef Sánchez Toro y D. Josef Remigio Arias ; la Sargentía mayor á D. Mariano Escovedo ; Compañía de granaderos á D. Luis Sánchez Toro ; y sencillas á D. Sebas</t>
  </si>
  <si>
    <t>Santos, Pedro</t>
  </si>
  <si>
    <t>Pedro Santos</t>
  </si>
  <si>
    <t>mayor del mismo cuerpo ; Compañía al Teniente D. Francisco Xavier Arriílaga; Ayudantía al Teniente D. Pedro Santos; Tenencia de granaderos al Alférez D. Lorenzo de Salas, y sencillas al Alférez D. Andrés Gallegos, al Portaguión D. Ramón Delgado, y á los Sargentos primeros D. Josef Manuel de Sa</t>
  </si>
  <si>
    <t>Santurio Buenavá</t>
  </si>
  <si>
    <t>te de las mugeres, y al pedantismo, que todo está muy extendido: Dona Elvira de Zarate, educada por D. Santurio Buenavá, Do mine de primera cátedra, intenta formar una academia para las Señoras de su clase, á la qual asistan, y asimismo 3 Manteistas substitutos de cátedras y un Abate: fórmase esta</t>
  </si>
  <si>
    <t>Sanz de la Peña, Francisco</t>
  </si>
  <si>
    <t>Francisco Sanz de la Peña</t>
  </si>
  <si>
    <t>[la de Lietor á D. Pascual Alpuente: para la de Usagre á D. Francisco Sanz de la Peña, ambas de primera clase ó entrada: para la «JeTarancon, de segunda clase, y nueva creación,, á D. Onésimo Ruiz Martínez, todas tres ¿n el territorio de la Orden de Santiago; y par</t>
  </si>
  <si>
    <t>Sanz, Claudio</t>
  </si>
  <si>
    <t>Claudio Sanz</t>
  </si>
  <si>
    <t>Sr. D. Ma*&gt; miel de Torres Cónsul, Teniente Corregidor de esta villa, ante el Escribano del número D, Claudio Sanz. Quien quisiere hacer postura á una casa sita en la calle ancha y angosta de Ma* jaderitos, núnj. 6, manz. 209, cuyo sitio se compone de 2203^ pies superficiales, valuada, con su</t>
  </si>
  <si>
    <t>0 mrs* Quien quisiere hacer pastura, acuda ante dicho Sr. Teniente, por la escribanía dei número de D. Claudio Sanz. Con Real facultad, y á voluntad de sus dueños, se vende en la villa de Pinto,</t>
  </si>
  <si>
    <t>cer postura, acuda, dentro del referido término, ante dicho Sr. Teniente, y escribanía de número de D. Claudio Sanz. El Sr. D. Torquato Antonio Collado, Teniente Corregidor de esta villa, cita, llama y emplaza á los parientes, dentro del quarto grado, de Francisco Montes, vecino que fué de esta</t>
  </si>
  <si>
    <t>355 fentorios, acudan á su juzgado, per el oficio del Escribano del número D. Claudio Sanz, por sí, ó por medio de Procurador con suficiente poder, á pedir, si les asiste algun derecho en ios autos de testamentaría del citado Francisco Montes; con apercibimiento de que</t>
  </si>
  <si>
    <t>del Sr. D. Manuel de Torres , Teniente Corregidor de está villa, por ante el Escribano de su número D. Claudio Sanz, acuda’ala escribanía ¿e este. Por providencia dei Sr. D. Torquato Antonio Collado, Teniente Corregidor de esta villa, se cita , llama y emplaza á todos los que tengan acción y de</t>
  </si>
  <si>
    <t>r. D. Torquato Antonio Collado, Teniente Corregidor de esta villa, y por la escribanía de numero de D. Claudio Sanz, el remate de dos Oficios de Receptor unidos y corrientes, de los ciento de número de los Reales Consejos, tasados, con sus turnos mayores y menores, en 38,600 rs. Quien quisiere</t>
  </si>
  <si>
    <t>e sus medianerías. Quien quisiere comprarla, acuda á tratar de ajuste á la escribanía del numero de D. Claudio Sanz, donde se hallan los títulos de su pertenencia. Se halla vacante la plaza de Médico titular de la villa de Val verde de Alarcon, Obispado de Cuenca, cuya dotación es de 500 ducado</t>
  </si>
  <si>
    <t>a derecha, de 753 estad., en 1142 rs.=Igualmente por el mismo Sr. Juez,' y escribanía del número de D. Claudio Sanz, se ha mandado sacar á pública subasta, por término de 30 dias contados desde rel 25 de Noviembre últiméyúná casa sita en la calle de Calatrava, núm. 21, manz. i09/ que ’ compréhé</t>
  </si>
  <si>
    <t>e sus medianerías. Quien quisiere comprarla, acuda á tratar de ajuste á la escribanía del número.de D. Claudio Sanz, donde se &gt; hallan los títulos de:su pertenencia. . j Quien quisiere hacer postura tá una casa sitó en esta Corte,, calle del Príncipe, niims. 5 7 6, manz. it2 , que tiene de siti</t>
  </si>
  <si>
    <t>Sanz, Nicolás</t>
  </si>
  <si>
    <t>Nicolás Sanz</t>
  </si>
  <si>
    <t>sef María Olona , Ayudantes del mismo Cuerpo ; y á Subteniente de bandera en el de Aragón al Cadete D. Nicolás Sanz. S. M. se ha servido conceder Tenencia en el Regimiento de infantería de la Princesa al Subteniente de granaderos D. Joaquín Fontan; y Subtenencias de bandera en el de Granada al</t>
  </si>
  <si>
    <t>Sapieha, Alexandro (príncipe)</t>
  </si>
  <si>
    <t>Príncipe Alexandro Sapieha</t>
  </si>
  <si>
    <t>y Mr. Koening , Encargado de Negocios de Suecia,, han sido llamados por sus Cortes respectivas. El Príncipe Alexandro Sapieha ha llegado á esta capital, y piensa volverse muy en breve al Africa. RUSIA. Petersburgo 14 de May*. El puerto nuevo que está construyéndose en Revel costara unos 4 millones de pes</t>
  </si>
  <si>
    <t>Sara, Manuel</t>
  </si>
  <si>
    <t>Manuel Sara</t>
  </si>
  <si>
    <t>teniente D. Antonio Ferrer; y á Subteniente de bandera en el de Voluntarios de Campcmaycr al Cadete D. Manuel Sara vía de Vera. El Rey se ha servido promover á Coronel del Regimiento de infantería fixo de Ceuta al Coronel graduado D. Ignacio Martinez Vallejo, Teniente Coronel del de infantería</t>
  </si>
  <si>
    <t>Saravia, Francisco</t>
  </si>
  <si>
    <t>Francisco Saravia</t>
  </si>
  <si>
    <t>oux, D. Pedro Argaiz, D. Pablo Ventades, D. Agustín Salazar, Don Juan Pusterla, D. Pedro del Barco, D. Francisco Saravia y D. Manuel Cebi-ian¿ En Iqs Cuerposde Milicias Provinciales ha promovido el Rey á Tenientes, en ei;d¿ León, á Ios-Subtenientes D. Santiago Lorenzo Largo y Dont Antonio Alonso Isla: á</t>
  </si>
  <si>
    <t>Sarden, Joaquín</t>
  </si>
  <si>
    <t>Joaquín Sarden</t>
  </si>
  <si>
    <t>erir en el de Alcántara la Sargentía mayor al Capitán del de Montesa, graduado de Teniente Coronel, D. Joaquín Sarden; y en el de España empleo de Portaestandarte al Sargento primero D. Manuel Simón. El Rey se ha servido conferir el Gobierno de la plaza de Ceuta al Mariscal de Campo D. Francisco</t>
  </si>
  <si>
    <t>Sardina, Manuel</t>
  </si>
  <si>
    <t>Manuel Sardina</t>
  </si>
  <si>
    <t>a, compuesto por D. Antonio Capmany. El Rey nuestro Señor se ha dignado ¡conceder su Real permiso á Don Manuel Sardina, profesor de su Real Capilla, para que pueda establecer en su casa una escuela de primeros rudimentos de música y solfeo práctico, con arreglo al plan que ha presentado, baxo las</t>
  </si>
  <si>
    <t>Sarmiento y Henao, Blas</t>
  </si>
  <si>
    <t>Blas Sarmiento y Henao</t>
  </si>
  <si>
    <t>ada, Bujalance, Jaén, Sigiienza y Valladolid, Subtenencias de bandera á D. Fernando Jorge de Sande, D. Blas Sarmiento y Henao, Don Juan Nepomuceno Pineda y Benavente, Subteniente reformado, D. Francisco Borja Almera y Algumola, D. Francisco del Castillo y Melgar, Don Fernando de Contreras, D. Tomas Berna</t>
  </si>
  <si>
    <t>Sarmiento, Nicolás</t>
  </si>
  <si>
    <t>Nicolás Sarmiento</t>
  </si>
  <si>
    <t>illa y D.Juan de Oñate : á Subtenientes de granaderos de los de Monterey y Cuenca áloá de fusileros D. Nicolás Sarmiento y D. Juan Antonio Escalante; y á Subtenientes'de bandera de los de Ciudad-Rodrigo , Segovia, Ecija y Santiago</t>
  </si>
  <si>
    <t>Satue, Francisco</t>
  </si>
  <si>
    <t>Francisco Satue</t>
  </si>
  <si>
    <t>te D. Pedro María Valdivieso: en el de Valencia al Cadete del Batallón de Voluntarios de Campomayor D. Francisco Satue, ai Sargento primero del mismo Regimiento D. Francisco de la Mata, á los Cadetes de los de Voluntarios ae Castilla y del Fixo de Ceuta Don Salvador del Castillo y D. Alfonso Diest</t>
  </si>
  <si>
    <t>Saturio Martínez</t>
  </si>
  <si>
    <t>e Soria,Diócesi de Osma, vacante por promoción de D. Vicente Gómez Falco- á Canongía de la misma, á D. Saturio Martínez : para una de las catorce Capellanías de numero y coro de la Metropolitana de Granada, vacante por fallecimiento de D. Francisco Roldan, á D Fernando Fernandez de Padilla: para el</t>
  </si>
  <si>
    <t>Saturio Refusta</t>
  </si>
  <si>
    <t>BIks López Telegrin y su hijo D. Agustín , D. Josef Martínez Tejada, Don Saturio Refusta y D. Antonio Hernando Ximenez , vecinos todos de aquella villa, aprontaron ademas, por subscripción y acciones de á 50c rs., la cantidad de 13®, con la quai se estableció un pie de fá</t>
  </si>
  <si>
    <t>Saturnino Figueroa</t>
  </si>
  <si>
    <t>á los Cadetes D. Antonio Parreño, D. Francisco Benmidez de Castro, D. Manuel de la Iglesia Smith, y D. Saturnino Figueroa, que lo era del de Cantabria. El Rey se ha servido promover á Capitán segundo en el Regimiento de infantería Suizo de Ruttiman al Ayudante, graduado de Capitán , D. Gaspar Antonio</t>
  </si>
  <si>
    <t>Sauz, Claudio</t>
  </si>
  <si>
    <t>Claudio Sauz</t>
  </si>
  <si>
    <t>citadas fincas, ó á alguna de ellas, acuda ante dicho Sr. Teniente, por la escribanía de número de D. Claudio Sauz. Por providencia del Sr. D. Ramón Navarro Pingarron, del Consejo de S. M., Alcalde de su Real Casa y Corte, y por la escribmía de provincia de D. Valdomero Moraleda, se ha señalad</t>
  </si>
  <si>
    <t>Savariego, Domingo</t>
  </si>
  <si>
    <t>Domingo Savariego</t>
  </si>
  <si>
    <t>España se ha servido S. M. promover á Teniente al Alférez D. Antonia Faez ; á Alférez al Portaguión D. Domingo Savariego, y á Portaguión al Cadete D. Bernardo Melgar. En el Regimiento provincial de dragones. de Quenetaro; se ha servido el: Rey; promover á Capitán al Teniente D. Manuel García Arango;</t>
  </si>
  <si>
    <t>Savary de Breves</t>
  </si>
  <si>
    <t>ancisco 1; 2.0 los caracteres gruesos Arabes, grabaáos en el reynadb de Luis xiii, por dirección dé Mr. Savary de Breves; 3.0 la graduación de los punzones y caracteres, desde tres pulgadas á un tercio de línea; 4.0 los 137® caracteres Chinos, grabados de orden de Luis xv, los anales servirán para i</t>
  </si>
  <si>
    <t>Savary, General</t>
  </si>
  <si>
    <t>General Savary</t>
  </si>
  <si>
    <t>todo el exército Ruso se situó á espaldas de esta ciudad. * El Emperador había enviado su Edecán el General Savary á cumplimentar ai Emperador de Rusia, luego que supo la llegada.de este Príncipe al exército. El General Savary volvió al punto en que ei Emperador estaba reconociendo los fuegos</t>
  </si>
  <si>
    <t>o: Me. gusta n¿u~ cha oirlo, ponqué no ¡te olvidado que empecé en ese cuerpo mi carrera militar. El General Savary, Edecán del Emperador, había acompañado, al Emperador de Alemania para saber si el Emperador de Rusia consentía en la capitulación. Halló las reliquias del exército Ruso .sin arti</t>
  </si>
  <si>
    <t>Saverin Potcki, Conde</t>
  </si>
  <si>
    <t>Conde Saverin Potcki</t>
  </si>
  <si>
    <t>por primera vez, en Charkof la nueva Universidad de’Ukrania; en cuya ocasión su Vice-Protector, el Conde Saverin Potcki, pronunció un discurso latino muy elegante. ALEMANIA. Vtena 13 de Marzo. A 'fines ¿de Febrero llegáron á Stockolmo dos(correos,uno Ingles y el **troRuso, qne ibaa de^Lófldres á Pe</t>
  </si>
  <si>
    <t>Saviñon, Juan Bautista</t>
  </si>
  <si>
    <t>Juan Bautista Saviñon</t>
  </si>
  <si>
    <t>onzález Teran, y al de fusileros Don Juan González; á Subtenientes de granaderos á los de fusileros D. Juan Bautista Saviñon yD. Josef Elorga; y á Subtenientes de bandera los Cadetes D. Miguel Estanislao Soler y D. Juan Zeiada y el Sargento Don Francisco Sánchez Neyia. S. M. se ha dignado conferir Comanda</t>
  </si>
  <si>
    <t>Say</t>
  </si>
  <si>
    <t>nde cada día mas á pesar de la guerra. Se ha traducido al aleman el tratado de Economía política de Mr. Say, y ha tenido mucha aceptación. El Elector Archi-Canciller del Imperio ha diferido su viage á Viena, hasta que el Emperador haya vuelto de Italia. Los títulos nuevos del Elector so</t>
  </si>
  <si>
    <t>Sbarbi, Francisco</t>
  </si>
  <si>
    <t>Francisco Sbarbi</t>
  </si>
  <si>
    <t>Coronel D. Josef Molina; y el de Santa Cruz de Matagorda, de la misma plaza , al de la propia clase Don Francisco Sbarbi. En América. En el Regimiento de infantería de Nueva-España se ha servido el Rey promoverá Sargento mayor al Capitán de granaderos D. Martin de Medina; y á esta resulta al Capitán</t>
  </si>
  <si>
    <t>Scheer, Francisco</t>
  </si>
  <si>
    <t>Francisco Scheer</t>
  </si>
  <si>
    <t>ler grado de Capitán al Ayudante D. Jacobó Kayser; Tenencias á los Subtenientes D. Jorge; Traxler » D. Francisco Scheer y D.Juan Good, el primero de granaderos ; y Subtenencia al Cadete D. Juan Bautista Ebneter: en el de Betschart el empleo de Capitán segundo al Teqienre de, granaderos D. Luis Richemba</t>
  </si>
  <si>
    <t>Schepler</t>
  </si>
  <si>
    <t>r de Astracán , por haber sido el primero que ha discurrido hacer pan y harina de «aquellas raices. Mr. Schepler, de Aschaffemburgo, acaba de imprimir sobre la abolición de la tasa personal de los Judíos un libro que ha llamado la atención de los hombres mas instruidos, así protestantes como</t>
  </si>
  <si>
    <t>Schiafinati, Pedro</t>
  </si>
  <si>
    <t>Pedro Schiafinati</t>
  </si>
  <si>
    <t>ros, graduado de Capitán, Don Tomas Ramírez: Tenencia en el de Nápoles al Subteniente de granaderos D. Pedro Schiafinati; y Subtenencias de bandera en el de Murcia al Sargento primero D. Jayme Lafont, y al Cadete D. Juan Cosculluela. S. M. se ha servido conceder en los Regimientos de Infantería de l</t>
  </si>
  <si>
    <t>Schimmeipenninck</t>
  </si>
  <si>
    <t>206 . HOLANDA. Haya 79 de Febrero. Mañana se espera en esta ciudad á Mr. Schimmeipenninck s se dice qne no irá á vivir al palacio de la Corte-Vieja, que le habían preparado, sino á una casa mas pequeña y ménos ostentos?. Se asegura también que Sóió tomará el título de</t>
  </si>
  <si>
    <t>Schimmelpennick</t>
  </si>
  <si>
    <t>e al Pensionario, y los cortos límites que se le oponen. Los mismos sugetos escribieron una carta á Mr. Schimmelpennick concebida en iguales términos; cuyos escritos han intentado publicar en la Gazeta de Utrecht, pero no se les ha permitido. Las voces que se esparciéron estos dias de que los Minis</t>
  </si>
  <si>
    <t>Schimmelpenninck</t>
  </si>
  <si>
    <t>speranza para concluirla segura y honrosamente.” HOLANDA. Haya 25 de Enero. Sabemos de positivo que Mr. Schimmelpenninck, Embaxador nuestro en París, tiene freqiientes conferencias con los Ministros Franceses acerca de la nueva forma que ha de darse á nuestro Gobierno , la qual se arreglará, según d</t>
  </si>
  <si>
    <t>o 20 navios de línea y dos fragatas. HOLANDA. Haya *6 de Febrero. Antes de ayer llegó á esta ciudad Mr. Schimmelpenninck, como se había anunciado. Ayer asistió á una junta del Gobierno de Estado, que duró hasta las 4 de la tarde. En todo este tiempo no se separó de la junta Mr. Schimmelpenninck sino</t>
  </si>
  <si>
    <t>ue se realizará el martes próximo. Muchas personas han salido de los pueblos inmediatos á recibir á Mr. Schimmelpenninck, que se le espera mañana en esta residencia. El lunes 6 de Mayo hará provisionalmente una declaración al Gobierno actual, y quedará disuelto en el mismo acto , y el Gran Pensionar</t>
  </si>
  <si>
    <t>es, que desde el mismo dia había principiado el exercicio de sus funciones el Pensionario de Estado Mr. Schimmelpenninck , y al dia siguiente se expidieron correos á todos los departamentos de la República con la misma noticia , comunicando ademas haber cesado el Gobierno de Estado y la Legislatura.</t>
  </si>
  <si>
    <t>República. Para hacer esta ceremcnia mas solemne, salió de su posada el nuevo Pensionario de Estado Mr. Schimmelpenninck , con un lucido acompañamiento de Ministros, Secretarios de Estado, Oficiales subalternos, y piquetes de caballería; la tropa éstabá tendida ér» la "carrera, y la artillería hizo</t>
  </si>
  <si>
    <t>Schirnmelpeninck</t>
  </si>
  <si>
    <t>los pueblos nuestros vecinos y amigos.’* El 13, el Embaxador extraordinario de la República Bátava, Mr. Schirnmelpeninck , hizo una visita de despedida á S. M. ei Emperador. El 11 salió de Paris para Ratisbona S. A. E. el Archi-Canciller del Imperio Germánico. El mismo dia visitó S. S. la Iglesia Pa</t>
  </si>
  <si>
    <t>SchnedorfF, Capitán</t>
  </si>
  <si>
    <t>Capitán SchnedorfF</t>
  </si>
  <si>
    <t>a, destinado para exercitar á los Cadetes, dará la vela para el mar del Norte, baxo las órdenes del Capitán SchnedorfF. El difunto Consejero de Justicia Hammer instituyó por su heredera universal á la Academia de Ciencias de Noruega, la qual tiene ahora que recibir un capital de cerca de 20© rixda</t>
  </si>
  <si>
    <t>Schnuriger, Francisco</t>
  </si>
  <si>
    <t>Francisco Schnuriger</t>
  </si>
  <si>
    <t>niente de granaderos al de fusileros D. Jacobo Rrugger; y esta resulta al Subteniente de granaderos D. Francisco Schnuriger; y en el de Betschart á Teniente al Subteniente de granaderos D. Josef Hediger. En atención á los dilatados y distinguidos servicios del Comisario Ordenador D. Ignacio de Liaño y</t>
  </si>
  <si>
    <t>Schnuringer, Domingo</t>
  </si>
  <si>
    <t>Domingo Schnuringer</t>
  </si>
  <si>
    <t>Subteniente de bandera á D. Francisco Josef Weissembach: en el de Betschart á Subteniente al Cadete D. Domingo Schnuringer; y en el de Reding á Subteniente al Cadete D. Bonifacio Ulrích. En el Regimiento de caballería de laReyna se ha servido el Rey conferir Compañía al Ayudante, graduado de Capitán,</t>
  </si>
  <si>
    <t>Schoenfeld</t>
  </si>
  <si>
    <t>las proposiciones de paz de parte de la Francia á la Inglaterra. ALEMANIA. Hámbitrgo 2j de Febrero. Mr. Schoenfeld, del Condado de la Lippa, está trabajando en realizar la invención.que le ha ocurrido. Consiste en una máquina bastante sencilla, que puede aplicarse á un clave; y al tiempo mismo</t>
  </si>
  <si>
    <t>Schrand</t>
  </si>
  <si>
    <t>... ■ L ■!■■■■■ ■!■ GAZETA DE MADRID DEL VIERNES 22 DE MARZO DE iSof. HUNGRIA. Buda 12 de Enero. El Doctor Schrand, primer Médico de Hungría y del Consejo Real* atoaba de dar á luz una obra de los medios que hay para precavednos de la fiebre amarilla. Este libro, al qual acompaña una carta muy</t>
  </si>
  <si>
    <t>Schubert</t>
  </si>
  <si>
    <t>acto de la carta dirigida por Mr.de Krusenstern, Comandante de las dos fragatas de la expedición, á Mr. Schubert, individuo de la Academia, con techa de Kamtschatka 8 de Agosto de 1804. ,,Salimos el 4 de Febrero, dice el Comandante, de la isla de Sta. Catalina; y después de muchos recios tem</t>
  </si>
  <si>
    <t>Schwager, Antonio Benito</t>
  </si>
  <si>
    <t>Antonio Benito Schwager</t>
  </si>
  <si>
    <t>!0)9 El Rey se ha servido promover en el Regimiento Suizo de Ruttiman á Capitán de granaderos á D. Antonio Benito Schwager, Capitán segundo del mismo: á este empleo ai Ayudante D. Juan Steinhauser: á Subteniente de bandera al Cadete D. Notkerp Soldat; y en el de Wimpffen á Subteniente de bandera al Ca</t>
  </si>
  <si>
    <t>Schwager, Gaspar Antonio</t>
  </si>
  <si>
    <t>Gaspar Antonio Schwager</t>
  </si>
  <si>
    <t>Capitán segundo en el Regimiento de infantería Suizo de Ruttiman al Ayudante, graduado de Capitán , D. Gaspar Antonio Schwager: en ei de Courten- á-Subteniente al Sargento primero D. Matías Genaux; y á Tenientes en el de Wimpífen á los Subtenientes D. Juan Werly y D. Luis Wisety; y á Subteniente de granad</t>
  </si>
  <si>
    <t>Schwartzkopf</t>
  </si>
  <si>
    <t>dio grados, á los estudiantes-----En la misma carta en que Sir Josef Banks da cuenta de todo esto á Mr. Schwartzkopf, se pone una lista de las obrasque ha hecho imprimir la Academia dé Calcuta en lenguas orientales ó sobre la literatura oriental. Las que han impreso hasta principios de 1804 asci</t>
  </si>
  <si>
    <t>Schwidt, General</t>
  </si>
  <si>
    <t>General Schwidt</t>
  </si>
  <si>
    <t>Mack , el segundo el Archiduque Juan y el General Lindenan, y el tercero el Archiduque Carlos y el General Schwidt. París 12 Setiembre* •Mr. Bacher , Encargado !de Negocios dé S. M. en Ratisboria, ha recibido orden de presentar á la Dieta la Nota, cuyo tenor es como sigue: „En las circunstanci</t>
  </si>
  <si>
    <t>Scio, Felipe</t>
  </si>
  <si>
    <t>Felipe Scio</t>
  </si>
  <si>
    <t>e la Biblia en el mismo tamaño en latín y castellano, y castellano solo, traducida por el limo. Sr. D. Felipe Scio, y para la obra que se publica de la Historia general de la Iglesia cristiana &amp;c., sacada principalmente del Apocalipsí de S. Juan: entrega 3.a La 4.a y última entrega se hará á l</t>
  </si>
  <si>
    <t>Scolar, Francisco</t>
  </si>
  <si>
    <t>Francisco Scolar</t>
  </si>
  <si>
    <t>sileros D. Josef Rubel, y D. Francisco Wirtz ; á Teniente de fusileros al Subteniente de granaderos D. Francisco Scolar; á Subteniente de granaderos al de fusileros D. Juan Werly; y á Subteniente de bandera á D. Francisco Josef Weissembach: en el de Betschart á Subteniente al Cadete D. Domingo Schn</t>
  </si>
  <si>
    <t>Sebastiani, General</t>
  </si>
  <si>
    <t>General Sebastiani</t>
  </si>
  <si>
    <t>dia én dia en Berlín un nuevo Ministro Sueco. Las cartas del Haya de 4 del córlente anuncian que el General Sebastiani está al frente de la expedición de Helvoet-Sluys. Corre la noticia de que el Ministro de la Guerra Berthier está nombrado gefe del Estado mayor general del exército de Inglaterra, y</t>
  </si>
  <si>
    <t>or Landsberg 20 cañones y los equipages de los pontones del enemigo. El General Soult ha enviado al General Sebastiani con una brigada de dragones en su alcance. —1— El dia 12 el Mariscal Soult se ha puesto eií marcha hácia Memmingen, adonde llegará el 13 al amanee,ér. El Mariscal Bernadotte ha es</t>
  </si>
  <si>
    <t>ncés. jx.. Se darán carruages para transportar los efectos de los Oficiales. Hecha en presencia del General Sebastiani, del Coronel Fitteau y de los Oficiales superiores de la plaza. Memmingen á 14 de Octubre. = Firmado. = El General de división Saligny: el General Horacio Sebastiani ; Mr* Fitteau</t>
  </si>
  <si>
    <t>del combate de JuntersdorfF, el enemigo, ha continuado retirándose con la mayor precipitación; y el General Sebastiani le ha seguido el alcance con su brigada de dragones, sin perderle un solo instante de vista. Las dilatadas llanuras de la Moravia le han favorecido en esta empresa, tanto que el i</t>
  </si>
  <si>
    <t>Segovia, Manuel</t>
  </si>
  <si>
    <t>Manuel Segovia</t>
  </si>
  <si>
    <t>y D. Manuel Bonis en los tropos de retórica, mensura y calificación de todas qualidades.de versos; D. Manuel Segovia, Don Andrés Rodríguez, D. Manuel de Fuentes, D. Esteban García, D. Josef María Sánchez de la Campa, D. Fernando Ribera, D. Vicente Garin,Don Juan Nepomuceno Montero y D. Francisco</t>
  </si>
  <si>
    <t>Segoviano Andrés Laguna</t>
  </si>
  <si>
    <t>s oraciones de Marco Tulio -Cicerón, contra Catilína, traducidas por el célebre Segoviano Andrés Laguna, Médico del Sumo Pontífice Julio 111; acompañan á la obra los retratos de Cayo Salustio y Marco Xm-*? lio Cicerón: un tomo en 4.°= Centinela contra Francs-Masones, discurso sobre su orige</t>
  </si>
  <si>
    <t>Seguier</t>
  </si>
  <si>
    <t>que está de su sumisión al Concordato Francés, y del afecto y amor á su persona y á la santa Sede. Mr. Seguier , Presidente del Tribunal de apelación , pronunció un discurso; y entre otras cosas dixo lo siguiente: ,, Santísimo Padre. Después de unos tiempos tan calamitosos, y de los que no</t>
  </si>
  <si>
    <t>Segur</t>
  </si>
  <si>
    <t>se sancionaron los proyectos de ley anteriores y otros ya anunciados. Inmediatamente se presentáron Mr. Segur y otros Consejeros de Estado con el decreto Imperial mandando cerrar la sesión del Cuerpo Legislativo, por haber concluido los asuntos para que fué convocado. Con este motivo pronun</t>
  </si>
  <si>
    <t>Mr. Gaudin , Ministro de Hacienda; y á los'Mariscales Lannes, Mortier, Ney, Davoust; Bessieres,y á Mr. Segur, Maestro de Ceremonias.__ El Elector de Baviera ha enviado igualmente para él Emperador las insignias de la Orden de S. Huberto; y también para él Príncipe Eugenio y iós Mariscale</t>
  </si>
  <si>
    <t>Semonville</t>
  </si>
  <si>
    <t>rdenal Cambaceres, Arzobispo de Rúan; al General Beurnonville, Embaxador cerca de S. M. Católica; á Mr. Semonville, Embaxador cerca del Gobierno Bátavo; á Mr. Daguesseau, Ministro Plenipotenciario en Dinamarca; á Mr. Hedouville, General de División; á Mr. Ferina, id.; á Mr. Gouvion, Inspector</t>
  </si>
  <si>
    <t>Señor Infante Francisco de Paula Antonio</t>
  </si>
  <si>
    <t>istió la Corte de gala en el Real Sitio de Aranjuez, con motivo de los dias del Señor Infante Don Francisco de Paula Antonio, hijo tercero del Rey. El Rey se ha servido nombrar para el Priorato de Veíate , Dignidad de la Catedral de Pamplona , vacante por fallecimiento de D. Francisco Xavier de Eguia, á D. Ma</t>
  </si>
  <si>
    <t>Señor Marques de Fuerte-Híjar</t>
  </si>
  <si>
    <t>urisdicción, ha elogiado con las mas vivas expresiones de aprecio y gratitud el Señor Marques de Fuerte-Híjar, Ministro comisionado para promover la construcción de los campos santos en el Obispado de Cartagena. El Sr. intendente de esta Provincia ha aprobado el remate de dos tierras en término de</t>
  </si>
  <si>
    <t>Señorío de Vizcaya</t>
  </si>
  <si>
    <t>estado soltero, natural del lugar de Nocedal, en el valle de Somorrostro, en el Señorío de Vizcaya, hijo legítimo de D. Manuel de Jas Carreras y de Doña María Satifuentes, ya difuntos: ha dexado un hermano, que reside en la ciudad de la Paz, en él Vireynato del Perú, y dos hermanas l</t>
  </si>
  <si>
    <t>Seolar, Carlos</t>
  </si>
  <si>
    <t>Carlos Seolar</t>
  </si>
  <si>
    <t>ismo; y á Subteniente al Cadete D. Domingo Marcha} :en el de Whnpffen á Capitan segundo al Teniente D. Cárlos Seolar, y á Teniente al Subteniente' de granaderos D. Josef Krutter: en el de 13etschart á Subtenientes de bandera á D. Juan Pedro Riedy y D. Gaspar de la Tour; y en el de Traxler á Subt</t>
  </si>
  <si>
    <t>Seornes Baldán, Francisco</t>
  </si>
  <si>
    <t>Francisco Seornes Baldán</t>
  </si>
  <si>
    <t>^ /Francisco Seornes Hijo del mismo, snio, natural de la Ja vina</t>
  </si>
  <si>
    <t>Septien, Juan Antonio</t>
  </si>
  <si>
    <t>Juan Antonio Septien</t>
  </si>
  <si>
    <t>tos. En la Gazeta de 8 de Julio de 1796, y 28 de Enero de 1803,’ se anunció al publico que el Socio Don Juan Antonio Septien, Comandante que era de Inválidos en esta Corte, había puesto en la tesorería de la Sociedad dos onzas de oro para la persona que en una memoria ó discurso persuadiese mejor las ut</t>
  </si>
  <si>
    <t>Serafín de Chavier</t>
  </si>
  <si>
    <t>y Cregenzan, á D. Juan Garrido López, Alcalde del Crimen mas antiguo de ella; y para esta resulta á D. Serafín de Chavier. No permitiendo las circunstancias de la guerra actual que las embarcaciones que han de conducir la correspondencia ultramarina salgan de los puertos que están señalados para tiem</t>
  </si>
  <si>
    <t>Serafín García</t>
  </si>
  <si>
    <t>os: D. Genaro Nasarre , idem, de los álkalis: D. Jacinto Araús, idem, de las substancias metálicas: D. Serafín García, Cursante de Medicina, de la Mineralogía; y D. Francisco Garceran y García, idem, de la descomposición del ayre atmosférico en el pulmón, y que el color de la sangre y calor anima</t>
  </si>
  <si>
    <t>Serafín García y Francisco Garceran</t>
  </si>
  <si>
    <t>ncurrentes; y hecha la graduación de los alumnos, fueron considerados en la clase de sobresalientes D. Serafín García y Don Francisco Garceran, y se aprobaron los cursos de los otros discípulos, cuya aplicación se graduó por el orden con que van nombrados, en esta forma: D. Juan Antonio Pradas, D. Joaquín Lacambra, D. Fr</t>
  </si>
  <si>
    <t>Serapio Sinués</t>
  </si>
  <si>
    <t>co de dicha enseñanza, y del Secretario principal: asistieron en calidad de Examinadores los Socios D. Serapio Sinués, Catedrático de Agricultura, Médico Colegial, D. Josef Hernando y D. Tomas Xopez, Secretarios de las clases de Agricultura y Artes, también Médicos Colegiales, D. Josef Benito de</t>
  </si>
  <si>
    <t>Seras, General</t>
  </si>
  <si>
    <t>General Seras</t>
  </si>
  <si>
    <t>efe mandó atacar al enemigo hoy á las 5 de la mañana. En tanto que por su izquierda la división del General Seras pasaba el Adige ett Polo, y por la derecha el General Verdier maniobraba desde Ronco hasta Albaro, las divisiones de los Generales Gardanne y Duhesme, desplegándose delante del pu</t>
  </si>
  <si>
    <t>1042 El General Seras, que mandaba á mí izquierda la 5 / división, tenia orden de pasar el Adige en Polo, con el objeto de detener las tropas que podían baxar de ios valles del Adige y de Polisello. Ha</t>
  </si>
  <si>
    <t>Serra y Ginesta, Francisco</t>
  </si>
  <si>
    <t>Francisco Serra y Ginesta</t>
  </si>
  <si>
    <t>, y á las ventajas que han de derivar al Estado,, agricultura y artes; y otro por el de Taquigrafía D. Francisco Serra y Ginesta, reuniendo con erudición y acierto la historia de esta arte, y su importancia en un pais,. como lo es este, de tantas relaciones mercantiles y contratos. Por falta de local corres</t>
  </si>
  <si>
    <t>Serramalera, Tomás</t>
  </si>
  <si>
    <t>Tomás Serramalera</t>
  </si>
  <si>
    <t>Tomas Serramalera.. Hijo de Antonio, nat. de la ciudad de Man-n ,</t>
  </si>
  <si>
    <t>Serrano, Ambrosio</t>
  </si>
  <si>
    <t>Ambrosio Serrano</t>
  </si>
  <si>
    <t>2,* Cabo 1. Ambrosio Serrano. Hijo de Alonso y de María Cosido, na­</t>
  </si>
  <si>
    <t>Serrano, Luis</t>
  </si>
  <si>
    <t>Luis Serrano</t>
  </si>
  <si>
    <t>s de dragones de Carabaylió, en el Rey no del Perú, Tenencias á B. Pablo Abellafuerte y Querejazu , D. Luis Serrano , D. Juan Cuneros , D; josef María Verdugo , D. Ignacio Gamio, y D. Manuel López; y empleos de Alférez á D. f rancisco Horcasitas, D. Pedro Martínez Unamuzaga, Don' Pedro Cañedo,</t>
  </si>
  <si>
    <t>Luis Serrano........... Hijo del mismo/natural de Andújar: murió!</t>
  </si>
  <si>
    <t>Seto, Felipe</t>
  </si>
  <si>
    <t>Felipe Seto</t>
  </si>
  <si>
    <t>la Biblia, en el mismo tamaño, en latín y castellano, y castellano solo, traducida por el limo. Sr. D. Felipe Seto: entrega segunda. Se hallará, con la primera, en ia librería de Burguillos, casa nueva del Conde de Tepa.__Las dos entregas restantes se publicarán á la mayor brevedad, conforme a</t>
  </si>
  <si>
    <t>Seve-rino, Conde</t>
  </si>
  <si>
    <t>Conde Seve-rino</t>
  </si>
  <si>
    <t>al tomar conocimiento dei estado de las artes, literatura y otras cosas curiosas, y se encargará al Conde Seve-rino 1-otpki, sugeto de mucho mérito, y que posee á fondo ei lenguáge Chino. Hace algún tiempo que se le ve á este sabio asistir diariamente á la biblioteca de la Academia de ciencias,</t>
  </si>
  <si>
    <t>Severo Aguirre</t>
  </si>
  <si>
    <t>ntinuación y suplemento del Prontuario alfabético y cronológico que por orden de materias dio á luz D. Severo Aguirre de las pragmáticas y demas Reales resoluciones no recopiladas, comprehensivas al año pasado de 1804, y algunas de los anteriores, dispuesto, según el plan del autor, por D. Josef Garriga</t>
  </si>
  <si>
    <t>Sevilla, Joaquín</t>
  </si>
  <si>
    <t>Joaquín Sevilla</t>
  </si>
  <si>
    <t>arin,Don Juan Nepomuceno Montero y D. Francisco Roco en traducción de autores y reglas de sintaxis; D. Joaquin Sevilla, D. Antonio González Rendon, D. Joser María Montero, D. Ramón Ribera, D. Josef Noceda, D. Josef Valero y D. Domingo Cepillo en rudimentos y todo género de oraciones. ! Madrid J6de</t>
  </si>
  <si>
    <t>Sevillano, Ramón María</t>
  </si>
  <si>
    <t>Ramón María Sevillano</t>
  </si>
  <si>
    <t>sef Lonstau. El Rey se lia servido nombrar para una plaza de Oidor de la Real Audiencia de Aragón á D. Ramón María Sevillano; y para la del Crimen, que este dexa en la misma Audiencia, á D. Diego María Badíllos. Igualmente ha venido S. M., en atención á la aptitud y circunstancias de D. Blas Vázquez, Ab</t>
  </si>
  <si>
    <t>Sheridan</t>
  </si>
  <si>
    <t>a del Canal, compuesta de 19 navios de línea. PARLAMENTO IMPERIAL Cántara de los Comunes* El 6 hizo Mr. Sheridan la.propuesta, que anteriormente había anunciado, sobre que se recoja el bilí intitulado acta para la defensa adicional del Reyno. ,, Al pedir que se recoja el bilí de la defensa es m</t>
  </si>
  <si>
    <t>iente de que haya un exército compuesto de diferentes especies de cuerpos militares.’' Se maravilla Mr. Sheridan de que Mr. Pitt, después de acusar á sus predecesores de ignorantes é incapaces, no haya ni aun aprovechado los medios que estos le habían dexado para la defensa nacional: y reduce l</t>
  </si>
  <si>
    <t>fuerzas que se necesitan para la defensa. . . Mrs. YVindham, Withbread y Fox apoyan la propuesta de Mr. Sheridan, por la qual hubo 127 votos, y 267 en contra: mayoría contra la propuesta 140. FRANCIA. Marsella 22 de Marzo, Ha fallecido estos dias aquí Juan Bautista Gardair, que nació el año</t>
  </si>
  <si>
    <t>n los negocios como el Secretario de la Sociedad de Agricultura. El Canciller del Echiquier acusó á Mr. Sheridan de haberle servido de expresiones dignas de la escuela del Jacobinismo; insinuando que sus intenciones en laaprobacion que daba á las disposiciones de su predecesor , no eran tan pat</t>
  </si>
  <si>
    <t>tor. Mr. Sheridan tomó su defensa, y observó que el artículo denunciado no era mas que una bagatela en comparación de lo que se escribe en favor ó en contra de los Ministros : ¿y dónde nos pararemo</t>
  </si>
  <si>
    <t>Shistzkow</t>
  </si>
  <si>
    <t>ramsin es el primero que ha levantado el grito contra, este abuso; después ha publicado una memoria Mr. Shistzkow sobre el estilo Ruso antiguo y moderno, en que intenta probar que no se pueden entender las obras modernas,á no tener un Diccionario de la lengua moderna, y sin poseer las lenguas</t>
  </si>
  <si>
    <t>Sibersky, Príncipe</t>
  </si>
  <si>
    <t>Príncipe Sibersky</t>
  </si>
  <si>
    <t>, Wimpfen, Muller Zakpumsky, Muller, Berg, Selechow , Strisy v Szérliakow , el Príncipe Repnin , él Príncipe Sibersky, Adrián, Lagonon, Salima, Mezenkow, WoycikofF. El Emperador ha hecho venir á Briinn á Mr. de TáUeyrand, que estaba en Viena. Las negociaciones; van á abrirse en Nicolsburg. Mr. Ma</t>
  </si>
  <si>
    <t>Sicard</t>
  </si>
  <si>
    <t>éron dictándoles, formáron frases, respondieron á las preguntas, y dieron razón de sus operaciones. Mr. Sicard presentó á S.S. un librito, que se ha publicado estos dias, y le rogó indicase un pasage para que un sordo-mudo se lo dictase á otro. El Santo Padre abrió el libro sin prevención;</t>
  </si>
  <si>
    <t>Sidmouth, Lord</t>
  </si>
  <si>
    <t>Lord Sidmouth</t>
  </si>
  <si>
    <t>ponía la nación á continuar la guerra con valor y energía.”__ Lord Spencer combatió la propuesta; y Lord Sidmouth (Mr. Addington) la apoyó con vehemencia. Se votó la propuesta sin oposición. Igual propuesta se hizo en la Cámara de los Comunes por Mr. Pitt, quien en esta ocasión pronunció un l</t>
  </si>
  <si>
    <t>favor de ella Mr. Fox, Sheridan, Tierney, Windham 8cc., .y en qontra Mr. Pitt y todo el partido del Lord Sidmouth (Addington). A las 5 de la mañana se empezó á votar: hubo igualdad de votos: ¿16 á favor de la propuesta, y 216 en contra: el voto del Orador de la Cámara decidió la qü^stion á fa</t>
  </si>
  <si>
    <t>Sídmouth, Lord</t>
  </si>
  <si>
    <t>Lord Sídmouth</t>
  </si>
  <si>
    <t>e , por dilapidaciones hechas en el departamento de la marina.”__ Se ha observado que los amigos de Lord Sídmouth (Addington) han votado como Mr. Pitt.... Se pidió la prisión baxo fianza; pero se desestimó esta propuesta á la mayoría de 77 votos. HOLANDA. Haya if de Junio* Se espera incesante</t>
  </si>
  <si>
    <t>rio de Estado por el Departamento de la Guerra, ha sido nombrado Presidente del Consejo en lugar de Lord Sidmouth (Addington). En el Ministerio 'de la Guerra ha sucedido el Lord Castlereagh. Estos1 dias últimos Lord Grenville ha tenido una larga audiencia de S. M. En conseqiiencía de un plieg</t>
  </si>
  <si>
    <t>Sidmoutn, Lord</t>
  </si>
  <si>
    <t>Lord Sidmoutn</t>
  </si>
  <si>
    <t>m) es amigo íntimo de Lord Melville. Parece que ha sido nombrado por Mr. Pitt contra la voluntad de Lord Sidmoutn; y el Morning 6hronicle dice que esta es una de las causas de haberse entibiado la amistad de Mr. Pitt y Lord Sidmouth (Addington). Escriben de la Barbada, el 23 de Marzo , que se</t>
  </si>
  <si>
    <t>fueros de la nación, y hasta el mismo derecho déla casa de Brunswick á la corona de Inglaterra. ' ^ Lord Sidmoutn habló contra lá petición. Lord Hollando, resumiendo las objeciones hechas contra la propuesta» insistió sobre la necesidad dé aficionar los católicos á nuestra constitución» hacié</t>
  </si>
  <si>
    <t>Sidney Smith</t>
  </si>
  <si>
    <t>mares de la India. El primero será Sir Eduardo Pelew, el segundo Sir Tomas Trpwbridge, y el tercero Sir Sidney Smith. El lunes entró el Almirante Cornwallis en Torbay con la esquadra del Canal, compuesta de 19 navios de línea. PARLAMENTO IMPERIAL Cántara de los Comunes* El 6 hizo Mr. Sheridan la</t>
  </si>
  <si>
    <t>de Chatam , hermano mayor de Mr. Pitt, está nombrado Comandante general de las tropas de la India'. Sir Sidney Smith mandará la tercera esquádrá destinada á aquellos mares. La noticia de la toma de la Dominica por la esquadra Francesa de</t>
  </si>
  <si>
    <t>de otras varias personas fue por el Támesis hasta Woolwieh en la lancha o bote doble inventado por Mr. Sidney Smith, con el objeto dé experimentar su utilidad. Este barco, á propósito para acelerar y facilitar el desembarco de tropas y de artillería, está construido de modo que lleva mas soldad</t>
  </si>
  <si>
    <t>según lo exijan las circunstancias y convenga mas á los intereses de la Gran Bretaña. El mismo dia Sir Sidney Smith conferenció igualmente con Mr. Pitt y Lord Barham. Tendrá este Oficial un mando separado en las costas enemigas opuestas á las nuestras, con plenos poderes de executar las empresa</t>
  </si>
  <si>
    <t>loyd de orden del Almirantazgo. ¡ oe están aprontando á toda prisa 40 barcas cañoneras, que mandará Sir Sidney Smith. Llevarán dos cañones, uno en la proa y otro en la popa,f y calarán poca agua. . '\t) •&gt; De orden del Gobierno se ha levantado el bloqueo.del Elba y del We* ser, y se ha comunicad</t>
  </si>
  <si>
    <t>Sft ha hablado hace algún tiempo, destinada á incendiar los navios anclados, y que protege infinito Sir Sidney Smith: el efecto que ha causado ha sido terrible. Habíase anclado á este efecto un bergantín á tres quartos de milla de la costa, enfrente del castillo de Walmer, donde reside Mr. Pitt»</t>
  </si>
  <si>
    <t>1099 to muchos soldados: se teme que se extienda hasta Catcum. Sir Sidney Smith ha sido nombrado Contra-Almirante del pabellón azul. FRANCIA. . Parte &amp; de Diciembre. „ Diario del exército de Italia. En el quartel general de Gorizia 26 de Hoviembre. Habiendo s</t>
  </si>
  <si>
    <t>Silverio de la Vega</t>
  </si>
  <si>
    <t>lanía de numero, vacante en la Catedral de Patencia, por fallecimiento de D. Jacinto Moro Benito, á-D. Silverio de la Vega. A El Rey se ha servido nombrar para un Beneficio de residencia de la Parroquial de la villa de Tárrega, Diócesis de Solsona, baxo la invocación de S. Pedro Mártir, unido con otro</t>
  </si>
  <si>
    <t>Silverio Mogrovejo</t>
  </si>
  <si>
    <t>Mariano Anaya, D. Blas Cuenca , I). Faustino Aragón, D. Juan de Dios Camborda, Don Josef Bobadilla, D. Silverio Mogrovejo, D. Paulino Roxas, D. Tomas Herencia, D. Josef Perez del Portillo, D. Simón Aguirre y D. Manuel Oreilana; el empleo de Alférez de granaderos á D. Casimiro Contreras; y sencillos á</t>
  </si>
  <si>
    <t>Silvestre Abad</t>
  </si>
  <si>
    <t>ica al que las tenga, se sirva entregarlas en Santiago á dicha Doña Tomasa, y en Madrid al referido D. Silvestre Abad, quienes darán mas señas. Por la Cámara de Justicia de S. A. S. el Duque Guillermo de Baviera se cita á D. Alexandro Fernando Carlos Josef Daniel Soechting, nacido en el año de 17</t>
  </si>
  <si>
    <t>Silvestre Abad de Aparicio</t>
  </si>
  <si>
    <t>as de ios pueblos de su Partido: dándome aviso del recibo para noticia del Consejo. Dios guarde &amp;c. D. Silvestre Abad de Aparicio, vecino de esta Corte, dirigió por el correo del dia u del presente, baxo sobrescrito á Doña Tomasa Carrete y Losada, vecina de Santiago, varias acciones de á 2§ rs. del Banco Nac</t>
  </si>
  <si>
    <t>Silvestre de Arpe</t>
  </si>
  <si>
    <t>. Antonio Arguero, D. Mariano Bustamante, D» Manuel García, D. Pedro Iraciburu, D. Juan Valenzuela, Don Silvestre de Arpe y D. Juan de Dios Fonce; empleo de Alférez de carabi</t>
  </si>
  <si>
    <t>Silvestre Francisco Lacroix</t>
  </si>
  <si>
    <t>o i.° en 8.°, de 302 páginas. Contiene la introducción á la Geografía matemática y crítica, obra de Mr. Silvestre Francisco Lacroix, individuo del Instituto nacional de ciencias y artes de -Francia. — El Teniente de Navio. D. Francisco de Clemente y Miro sabe por experiencia propia que se han elogiado con exce</t>
  </si>
  <si>
    <t>Silvestre Rensi</t>
  </si>
  <si>
    <t>ficios acarrea á los físicos, y generalmente á todos quantos padecen del pecho. Silvestre Rensi, médico y cirujano de Vertova, es el que ha tenido la fortuna de hacer este importante descubrimiento. Es digno de notarse que al paso que van difundiéndose los conocimientos botánicos, r</t>
  </si>
  <si>
    <t>Simaud-Wihsch</t>
  </si>
  <si>
    <t>n esto los sitiados habían hecho una salida, y acometiéron el ala derecha de los Rusos, mandada por Mr. Simaud-Wihsch, Coronel del Regimiento del Cáucaso, quien los repelió con bayoneta calada, y les mató 408 hombres____Baba-Kan rechazado en todos los puntos de la línea, aunque con fuerzas diez v</t>
  </si>
  <si>
    <t>Simó, Ignacio</t>
  </si>
  <si>
    <t>Ignacio Simó</t>
  </si>
  <si>
    <t>o Valladares, D. Estéban Pastor, Don Santos Rábago, D. Josef Martinez Henao, y al Teniente agregado Don Ignacio Simó: en el de Lorca la Subtenencia de granaderos al Subteniente de fusileros D. Joaquín Chico;y en los de Plasencia, Avila, Salamanca, Granada, Bujalance, Jaén, Sigiienza y Valladolid</t>
  </si>
  <si>
    <t>Sir D’Braírd, General</t>
  </si>
  <si>
    <t>General Sir D’Braírd</t>
  </si>
  <si>
    <t>án una expedición contra las islas Filipinas. Se sabe ya de cierto que la expedición mandada por el General Sir D’Braírd se dirige contra el Cabo de Buena-Esperanza. Los buques de que te compone la expedición llevan á bordo de 7 á 8© hombres.</t>
  </si>
  <si>
    <t>Sir Edward Pellew, Almirante</t>
  </si>
  <si>
    <t>Almirante Sir Edward Pellew</t>
  </si>
  <si>
    <t>navios de línea de 50, uno de 40, uno de 36, dos de 32, tres de 18 y dos de 16. El Culloden de 74, Almirante Sir Edward Pellew, zarpó para la India el 10 de Junio, y ya debe haber llegado á aquellos mares. HOLANDA. Rotterdam 2.6 de Enero . Acabamos de recibir Gazetas Inglesas que llegan hasta i 2 del corr</t>
  </si>
  <si>
    <t>Sir Eyve Coóte, General</t>
  </si>
  <si>
    <t>General Sir Eyve Coóte</t>
  </si>
  <si>
    <t>llones ligeros, que compondrán 18® hombres; y otro en la montaña de Cork , que llegará á 6©----- El General Sir Eyve Coóte se dispone á embarcarse en Cork para Jamayca con 4 Regimientos. , . . :f. - . Escriben de Gibraltár, ;cpn fecha de 17 de Junio;, que.el General Craig se mantiene en aquella ciudad</t>
  </si>
  <si>
    <t>Sir James Craig, General</t>
  </si>
  <si>
    <t>General Sir James Craig</t>
  </si>
  <si>
    <t>de desembarco, que irán en la expedición secreta que s« es tá preparando, estarán á las órdenes del General Sir James Craig, y él G enera! Moore será segundo Comandante.</t>
  </si>
  <si>
    <t>Sir John Orde, Almirante</t>
  </si>
  <si>
    <t>Almirante Sir John Orde</t>
  </si>
  <si>
    <t>ias últimos Lord Grenville ha tenido una larga audiencia de S. M. En conseqiiencía de un pliego del Almirante Sir John Orde, de fecha de io de Abril, á bordo del navio Gloria en el mar, y llevado á la JamayCa por fa fragata Mercurio, el Gobernador de aquella isla dirigió una circular, en io de Mayo en</t>
  </si>
  <si>
    <t>Sir Roberto Cáider, Almirante</t>
  </si>
  <si>
    <t>Almirante Sir Roberto Cáider</t>
  </si>
  <si>
    <t>dichos artículos sin pagar ningún derecho se proroga por otros 3? meses.. Ya se ha decidida que el Almirante Sir Roberto Cáider será juzgado5 por un consejo de guerra, que se juntará en Portsmouth á bordo dei Prín-' cipe de Gále$&lt;» Yase lian despachado las órdenes á este efecto. El Almirante Montagne presi</t>
  </si>
  <si>
    <t>Sir Roberto Calder, Almirante</t>
  </si>
  <si>
    <t>Almirante Sir Roberto Calder</t>
  </si>
  <si>
    <t>lson ha llegado esta mañana con pliegos dei Almirante Corn-waliis , que incluían una carta del Vice-Almirante Sir Roberto Calder, por cuyo contenido se ve que el dia anteriot, hallándose á los 43 grados, 30 minutos de latitud', y á los 11 grados y 17 minutos de longitud, habia obligado á entrar en combate d</t>
  </si>
  <si>
    <t>e pronto empezará á obrar el famoso BaswanOglow. GRAN BRETAÑA. Londres 2 de Agosto. Oficio del Vice-Almirante Sir Roberto Calder al Almirante Cornac dUs¿ en que da cuenta del combate con las esquadras combinadas. ,, A bordo del Príncipe de Gales, 23 de Julio de 1805. Ayer al medio dia, hallándome á los 43 g</t>
  </si>
  <si>
    <t>SJosef de Alexia</t>
  </si>
  <si>
    <t>lengua toscana por el Padre Alexanoro Diatallev., y traduci•^ r^'stell.no por D.SJosef de Alexia, Presbítero: un tomo en 8 - = ttel^ ““ 1, la epidemia de calenturas pútridas, padecida, en el navio de S. M. nomr , 1 jyiijío cn su viseé á Ccir.tantinopla el año oc 17061 su curación por el</t>
  </si>
  <si>
    <t>Skipwith</t>
  </si>
  <si>
    <t>ara el üe Montenotte á Mr. Roland, que tenia igual destino en el departamento del Tánaro suprimido. Mr. Skipwith, Cónsul general de los Estados-Unidos, ha recibido una carta del Capitán Roger, Comandante de la esquadra Americana en el Mediterráneo, noticiándole haberse firmado la paz el 3 de</t>
  </si>
  <si>
    <t>Smith, Capitán</t>
  </si>
  <si>
    <t>Capitán Smith</t>
  </si>
  <si>
    <t>as Persianos. GRAN BRETAÑA. Londres 2 f de Noviembre, Se sabe por cartas traídas por la Isabel , su Capitán Smith, procedente de Nueva-York en 30 dias de travesía, que antes de su salida, habia cesado enteramente la fiebre amarilla. El Gobierno Americano ha declarado esta ciudad en estado de</t>
  </si>
  <si>
    <t>Smith, General</t>
  </si>
  <si>
    <t>General Smith</t>
  </si>
  <si>
    <t>imponer la nota de infame á semejante comercio, y haberlo sujetado á los castigos mas rigurosos. El General Smith, en una resolución que ha presentado al Congreso, ha llamado la atención en punto á los derechos enormes que pagan los Estados-Unidos por los géneros introducidos de Inglaterra; h</t>
  </si>
  <si>
    <t>ha conseguido algunas ventajas al frente de un cuerpo particular. Meérkan ha sido derrotado por el General Smith. Hóikar ha huido con ími cortó número de soldados, apenas suficiente para formar su guardia; por consiguiente no puede ya oponer resistencia, y debe mirarse como restablecida la p</t>
  </si>
  <si>
    <t>Smith, Juan</t>
  </si>
  <si>
    <t>Juan Smith</t>
  </si>
  <si>
    <t>8.°=Principios de economía política, por el célebre Herrensch Wañd, y traducidos ai castellano por D. Juan Smith, Brigadier de la Real Armada. El mérito de esta obra es tan grande, que ha sido en París mandada estudiar por el Instituto nacional; y en Madrid la señalaron para los Caballeros d</t>
  </si>
  <si>
    <t>Snbiza, Andrés</t>
  </si>
  <si>
    <t>Andrés Snbiza</t>
  </si>
  <si>
    <t>plica hecha á.S. M. por D. Gabriel Constantin, Alcalde del Crimen de la Chancillería de Granada,' y D. Andrés Snbiza, que lo es electo de la Audiencia de! Cataluña, ha venido en que aqfieí paseiá&lt; .servir la plaza de este, y este la de aquelpconserya(ndo alj referido Constantin Ja antigüedad que</t>
  </si>
  <si>
    <t>Sobalbarro, Pablo</t>
  </si>
  <si>
    <t>Pablo Sobalbarro</t>
  </si>
  <si>
    <t>D. Josef Antonio Romero; á Tenientes á D. Antonio de Arce y D. Josef Antonio López; y á Alféreces á D. Pablo Sobalbarro y D. Antonio Ignacio Irías, los quatro últimos vecinos también del propio Reyno. En el Regimiento de Milicias disciplinadas de infantería de la Havana se ha servido el Rey conferir lo</t>
  </si>
  <si>
    <t>Sobl, Lorenzo</t>
  </si>
  <si>
    <t>Lorenzo Sobl</t>
  </si>
  <si>
    <t>para que auxiliados de otros dos Médicos D. Josef Manovel y D. Josef Gomalez Ayensa,,y el Cirujano D. Lorenzo Sobl.echero, fuesen administrando la vacuna con la precaución de que lo verificasen progresiva y paulatinamente, con la mira de que el pus fuese sirviendo de unos á otros, y se conserv</t>
  </si>
  <si>
    <t>Sociats, Juan</t>
  </si>
  <si>
    <t>Juan Sociats</t>
  </si>
  <si>
    <t>D. Antonio Sangenis, y D. Josef Torras y Pellicer, graduado de Teniente Coronel; á Capitán primero D. Juan Sociats, Capitán segundo; y á este empleo el Teniente D. Tomas Pascual Maupoey. S. M. ha conferido en los Regimientos provinciales empleo de Sargento Mayor del dé Badajoz á D. Francisco T</t>
  </si>
  <si>
    <t>Sofía, Princesa</t>
  </si>
  <si>
    <t>Princesa Sofía</t>
  </si>
  <si>
    <t>iste mensage. La Reyuna y las Princesas han sentido mucho esta muerte. La Duquesa de Glocester y la Princesa Sofía han salido del palacio del Duque para su sitio de Brompton; y el Príncipe de Gáles ha quedado ea el palacio hasta que se dé sepultura al cadáver del Duque. HOLANDA. Haya 2 de Seti</t>
  </si>
  <si>
    <t>Solana, Julián</t>
  </si>
  <si>
    <t>Julián Solana</t>
  </si>
  <si>
    <t>Capitanes segundos á los Tenientes D. Vicente Ten de Arista, D. Joaquín Velarde, D. Gonzalo Cueto, D. Julián Solana, D. Braulio Henriquez y D. Josef Jalón; y á Tenientes á los Subtenientes D. Luis Mazuelo, D. Antonio Ortiz de Zarate, D. Domingo Antonio Loriga, D. Joaquín Montenegro, D. Miguel P</t>
  </si>
  <si>
    <t>Solana, Pablo</t>
  </si>
  <si>
    <t>Pablo Solana</t>
  </si>
  <si>
    <t>os del Infante y Algarbe á los Cadetes de los de Montesa y Príncipe D. Vicente Gisbert y Colomina y D. Pablo Solana. S. M. se ha servido conferir el Gobierno del castillo de S. Antón de la plaza de la Coruña al Teniente Coronel D. Francisco de Laporta, Capitán agregado al Estado mayor de la ref</t>
  </si>
  <si>
    <t>Solano Castillejo, Francisco</t>
  </si>
  <si>
    <t>Francisco Solano Castillejo</t>
  </si>
  <si>
    <t>se ha servido nombrar para la Medía-Ración de la Catedral de Córdoba, vacante por fallecimiento de D. Francisco Solano Castillejo, á D. Juan Nepomuceno de Tena, Guardia de Corps de la Compañía Americana: para otra de la Catedral de Cartagena, vacante por muerte de D. Francisco Ramón de Moneada y Botia, á D.</t>
  </si>
  <si>
    <t>Solano y Peña, Juan Antonio</t>
  </si>
  <si>
    <t>Juan Antonio Solano y Peña</t>
  </si>
  <si>
    <t>Pino de Huete , en el Obispado de Cuenca, vacantes por renuncia de D. Josef Dámaso Solano y Peña, á Don Juan Antonio Solano y Peña. En atención á los méritos que ha contraído D. Rafael Daniel, Canónigo y Arcediano de Valderas de la Iglesia Catedral de León , en la dirección del hospicio y casa de expósitos de</t>
  </si>
  <si>
    <t>Soler, Miguel Cayetano</t>
  </si>
  <si>
    <t>Miguel Cayetano Soler</t>
  </si>
  <si>
    <t>csnacho de L .Gracia y Justicia é interino de Guerra, se encargue délDespacho de Gra-cía y Justicia D. Miguel Cayetano Soler., nli Secretario del Despacho de Hacienda; y que se encargue del Despacho de Guerra e1 BayIío l'''rcy Don. :!'rancisco Gil. Tendreislo entendido, y lo comunicareis á quien corresp</t>
  </si>
  <si>
    <t>dice así: Real Decreto, „Por Real Orden que he tenido á bien mandar expedir en 14 descorriente por D. Miguel Cayetano Soler, de mí Consejo de Estado, mi Secretario de Estado y del Despacho Universal de Hacienda, he mandado se exija por mano de los Consulados, como una subvención para los gastos de la p</t>
  </si>
  <si>
    <t>su instituto la Junta de gobier^ no de la misma Compañía, y ámbas su Presidente nato el Exorno. Sr. Don Miguel Cayetano Soler, Secretario de Estado y del Despacho Universal de Hacienda de Indias, si sus ocupaciones se lo permitiesen. Los accionistas que tuvieren 20 ó mas acciones propias, deberán hacerlo</t>
  </si>
  <si>
    <t>Soler, Salvador</t>
  </si>
  <si>
    <t>Salvador Soler</t>
  </si>
  <si>
    <t>24. Salvador Soler......... Hijo de Josef, nat. de Villa-Rodona, Cor-7</t>
  </si>
  <si>
    <t>Solignac, General</t>
  </si>
  <si>
    <t>General Solignac</t>
  </si>
  <si>
    <t>mayor, á quien se encargaron estas disposiciones, las ha desempeñado exactamente de acuerdo con el General Solignac. Entonces se requirió de nuevo al enemigo, quien conoció que era preciso resolverse á rendir las armas. Esta capitulación, firmada por el Oficial General que mandaba la coluna ene</t>
  </si>
  <si>
    <t>Somaglia, Cardenal</t>
  </si>
  <si>
    <t>Cardenal Somaglia</t>
  </si>
  <si>
    <t>re es como inseparable de tan útil invención. Ha muerto de 42 años de edad. Escriben de Roma que el Cardenal Somaglia, Vicario general de S. S., ha mandado hacer rogativas durante todo el mes de Enero, para pedir al Cielo que conserve al soberanoPontífice baxo su santa guarda, y le preserve de to</t>
  </si>
  <si>
    <t>Somaio, Joaquín</t>
  </si>
  <si>
    <t>Joaquín Somaio</t>
  </si>
  <si>
    <t>Castilla; á Cadete de número al supernumerario D. Josef de la Cueva, y á supernumerario al Guardia D. Joaquín Somaio. En el Regimiento de infantería de Córdoba se ha servido el Rey promover á Subteniente de bandera al Sargento primero distinguido del de Zamora D. Gerónimo Bayon de Bayon. S. M. s</t>
  </si>
  <si>
    <t>Somoza, Joaquín</t>
  </si>
  <si>
    <t>Joaquín Somoza</t>
  </si>
  <si>
    <t>taños, segundo Comandante, muerto en el Montañés: D. Francisco Moyua, id., muerto en el Nepomuceno: D. Joaquin Somoza, id., herido en el Neptuno. D. Tomas Ramerí, id., herido en el Bahama: D. Josef Brandaris, id., herido en el S. Agustín. Tententes de Navio. D. Juan González Cisniega, muerto: D.</t>
  </si>
  <si>
    <t>Sostre, Francisco</t>
  </si>
  <si>
    <t>Francisco Sostre</t>
  </si>
  <si>
    <t>l Sr. D. Torquata Antonio Collado, Teniente Corregidor de esta villa, y Juez de la testamentaría de D. Francisco Sostre, vecino que fué de la villa de Herencia, en virtud de comisión especial del Real y Supremo Consejo de Castilla, se ha mandado sacar á pública subasta, por término de 30 dias, dos</t>
  </si>
  <si>
    <t>Sotelo, Joaquín María</t>
  </si>
  <si>
    <t>Joaquín María Sotelo</t>
  </si>
  <si>
    <t>vacante por promoción del citado D. Rodrigo Riquelme á la Regencia de la Chancillería de Granada, á D. Joaquín María Sotelo, Oidor de la Audiencia de Sevilla: para el Corregimiento de Letras de la villa de Ponferrada á D. Francisco Exea y Corbalan ; y pata la Vara de primer Teniente de Asistente de Sev</t>
  </si>
  <si>
    <t>os. Quien quisiere hacer postura, acuda ante dicho Señor y citada escribanía. En el juzgado del Sr. D. Joaquin María Sotelo, del Consejo de S. M., su Oidor en la Real Audiencia de Sevilla, Juez de lo Civil en la ciudad de Cádiz, y por la escribanía pública del número de ella, que exerce D. Josef Padill</t>
  </si>
  <si>
    <t>Sotomayor, Pedro</t>
  </si>
  <si>
    <t>Pedro Sotomayor</t>
  </si>
  <si>
    <t>de línea se ha servido el Rey conferir en el de Montesa Compañía al Ayudante, graduado de Capitán, Don Pedro Sotomayor; y empleo de Portaestandarte en el de Calatrava á D. Josef Villalon, Cadete del de España. En los Regimientos de caballería de línea se ha servido S. M. conceder en el del Infante</t>
  </si>
  <si>
    <t>Soulas</t>
  </si>
  <si>
    <t>eon, ha encontrado en sus apuntamientos que el mismo dia hubo una tronada en Xeon. Pasando por Sans Mr. Soulas me dixo que el viento había cambiado de Norte á Sur: los diarios dan noticia de que en Londres hubo el mismo dia una tempestad violenta. He aquí pues, según parece, una masa de nu</t>
  </si>
  <si>
    <t>Soult, General</t>
  </si>
  <si>
    <t>General Soult</t>
  </si>
  <si>
    <t>visión de la misma columna , compuesta de 900 granaderos, ha llegado hoy. La infantería la manda él General Soult, y la caballería el Príncipe Eugenio. Los cuerpos de la primer arma son tres, á saber: el de cazadores, que llegó ayer, de 900 hombres: el de granaderos, que vino hoy, de otros 90</t>
  </si>
  <si>
    <t>l. El dia 10 habian pasado por Landsberg 20 cañones y los equipages de los pontones del enemigo. El General Soult ha enviado al General Sebastiani con una brigada de dragones en su alcance. —1— El dia 12 el Mariscal Soult se ha puesto eií marcha hácia Memmingen, adonde llegará el 13 al amanee</t>
  </si>
  <si>
    <t>Soult, Mariscal</t>
  </si>
  <si>
    <t>Mariscal Soult</t>
  </si>
  <si>
    <t>ig de Agosto. : , El día 10 pasó S. M. reVista á ía división del Geñeráí St. Hilaire ; y después el Mariscal Soult, el .General,de división St. Hilaii*e, y los Generales de brigada Daultanne y Morand, y los 5 Coroneles de la primera división tuvieron el honor de comer con S. M. en su quartel g</t>
  </si>
  <si>
    <t>,’se ha avanzado sobre la frontera meridional de la Franconia por las orillas del Necker.-.. El del Mariscal Soult marchó por Bruchsal á Héilbronn, donde se halla actualmente.__ Fi del Mariscal Ney ha dexadp las inmediaciones de Carlsruhe, y se -ha puesto en inarcha para Stuttgardt, donde se h</t>
  </si>
  <si>
    <t>in el 26 por Manheim, encaminándose por Heidelberga y Necker-Eltz sobre el Necker---- El cuerpo del Mariscal Soult ha pasado el Rhin el mismo dia por el puente que se echo en Spira, para hacer alto en Heilbronn___ El cuerpo del Mariscal Ney ha pasado ¿1 Rhin el mismo dia sobre el puente echado</t>
  </si>
  <si>
    <t>ntecimientos se suceden rápidamente. El 6 de Octubre la segunda división del cuerpo de exército del Mariscal Soult, que manda el General Vandamme, ha forzado su marcha: no se ha detenido mas que dos horas en Nordlingen; ha llegado á las 8 de la noche á Donawerth,y apoderádose del puente que de</t>
  </si>
  <si>
    <t>ugsbufgó en casa del pasado Elector de Tréveris. í)iario del exército. Augsburgo 12. de Octubre. El Mariscal Soult con las tropas de su mando se adelantó hasta Landsberg,y ha cortado una de las principales comunicaciones del enemigo. Llegó allí él dia 9 á las 4 de lá tarde, y encontró el Regim</t>
  </si>
  <si>
    <t>93 ? El Mariscal Marmont va á marchas forzadas á situarse en la altura de Illersheim, y el Mariscal Soult rodea por Memmingen la derecha del enemigo. La guardia Imperial ha salido de Augsburgo para Burgau, donde el Emperador estará probablemente ésta noche. Pronto habrá una función de</t>
  </si>
  <si>
    <t>ancia, quales son las batallas de Albeck de Elchingen, y la toma de Lima y de Memmingeri. . .. i El Mariscal Soult llegó el 13 de Octubre, delante de Memmingen , rodeó la plaza, y después de varias propuestas, capituló el Gobernador. Nue— ve batallones prhioneres, entre ellos 2 de granaderos,</t>
  </si>
  <si>
    <t>a ciudad y alturas de Ulma, los quales han quedado todos prisioneros con gran número de cañones. El Mariscal Soult ocupó á Biberach el 15 por la mañana.__ El Príncipe Murat se dió á perseguir al exército enemigo, que se hallaba muy maltratado. De un exército de 8o® hombres solo le quedan 2j®,</t>
  </si>
  <si>
    <t>del enemigo, é hizo tomar el puente y la posición de Elchingen, con lo que todo se remedió. ; . El Mariscal Soult,después de tomar á Memmfrigen , iba al alcance de las demas coíunas. no le quedaba al Príncipe Fernando mas recurso que dexarse encerrar ,en Ulma, ó probar por alguna senda el jun</t>
  </si>
  <si>
    <t>iílet, Hohenzollem, y otros 7 Generales han capitulado con sus tropa? en Trotztelfingen. iv. Que el Mariscal Soult está entre Ulma y Bregens guardando el camino del Tirol: que no, hay ninguna probabilidad ,de que llegue socorro á Ulma. • ... \. : ■/ ;EL Teniente General, Quartel Maestre .General</t>
  </si>
  <si>
    <t>Soült, Mariscal</t>
  </si>
  <si>
    <t>Mariscal Soült</t>
  </si>
  <si>
    <t>s de alegría y gratitud. Hoy, después de haber visto el Emperador desfilar las tropas del mando del Mariscal Soült, se fué á cazar á Numphemburgo, casa dé recreo del Elector, Todo está en movimiento: nuestros exércitos han pasado el Iser, y sé dirigen hácia el lnn, donde estarán esta noche el</t>
  </si>
  <si>
    <t>grande, en nombre ae S. M. el Emperader ae los Franceses, y en virtud de las órdenes del Excmo. Sr. Mariscal Soult; y el Conde de Spangen , Mayor Genera!, Comandante de Memmingen, han convenido en la capiti lacion que sigue: art. r. La guarnición Austríaca de Memmingen se rendirá prisionera de</t>
  </si>
  <si>
    <t>artillería, las provisiones de guerra y de boca, los caballos de la tropa y de tiro. viii. S. E. el Mariscal Soult promete con complacencia, que se cuidará á los enfermos Austríacos con el mismo esmero que á los del exército Francés. jx.. Se darán carruages para transportar los efectos de los</t>
  </si>
  <si>
    <t>asado con una parte de su reserva: el Emperador ha ido en persona á Haag. El cuerpo de exército del Mariscal Soult está mas allá de Haag: el cuerpo del General Marmont pasa esta noche en Wihsbiburgo: el del Mariscal Ney en Landsberg : el del Mariscal Lannes en el camino de Landshut á Braunau: to</t>
  </si>
  <si>
    <t>o en un brazo. . Otra división del Mariscal Davoust está mas allá de Lambach. Esta noche llegará el Mariscal Soult áWelsjel Mariscal Lannes á Lintz. El General Marmont va marchando para rodear la posición del Enns. El Príncipe Murat alaba al Coronel Couroux, Comandante del Regimiento 17 de inf</t>
  </si>
  <si>
    <t>ador á Mr. de Wrbna, que se baila al frente de la administración de toda el Austria. Las tropas del Mariscal Soult han pasado por Vieria hoy á las3 9¡ de !a mañana, y en este instante están pasando las del Mariscal Davoust. ** El General Marmont ha tenido en Léobén diferentes encuentros en las</t>
  </si>
  <si>
    <t>erable de exército está caminando háciaLéoben y Brugg, en la Styria. Dícese que lo manda en gefe el Mariscal Soult, y podrá internarse hasta Leibach y Krain. A la derecha de este exército maniobra el cuerpo del Mariscal Bernadotte, qué va marchando hácia Clagenfurt. Este cuerpo comunica con lo</t>
  </si>
  <si>
    <t>, ymiéntras que le hacia rodear por la izquierda por la brigada de granaderos del General Dupas, el Mariscal Soult le hacia rodear por la derecha por la brigada del General Levasseur de la división Legrand, compuesta de los Regimientos 3 y 18 de línea. El General de división Walther ha cargado</t>
  </si>
  <si>
    <t>puede sostener un largo y dilatado sitio. El Emperador ha sentado su quartei general en Porlitz. El Mariscal Soult ha llegado con su división á Riemstschitz. El Mariscal Lannes está mas allá de Porlitz. Se han hallado en Brünn 60 cañones, 300© libras de pólvora, un grande acopio de trigo y de</t>
  </si>
  <si>
    <t>1120 se hallase toda cercada: dló el mando de la izquierda al Mariscal Lannes; el de la derecha al Mariscal Soult; el del centro al Mariscal Bernadotte, y el de toda la caballería reunida en un solo punto al Príncipe Murat. La izquierda del Mariscal Lannes estaba apoyada en el Santón, posició</t>
  </si>
  <si>
    <t>netrado; pero el encuentro imprevisto del Mariscal Davoust la detuvo, y se principió ei combate. El Mariscal Soult principia á moverse al mismo instante, se dirige á las alturas de la villa de Pratzen con las divisiones de los Generales Vandamme y Saint-Hilaire, y corta enteramente la derecha</t>
  </si>
  <si>
    <t>Spencer Stanhope</t>
  </si>
  <si>
    <t>rían mayor seguridad los propietarios, y fuese el comercio enteramente Ubre. £1 30 de Abril propuso Mr. Spencer Stanhope en la Cámara de los Comunes, que á diligencia del Procurador general se procediese judicialmente contra Lord Melville, á efecto de que restituyesen, si ha lugar, á la nación, así di</t>
  </si>
  <si>
    <t>Spencer, Lord</t>
  </si>
  <si>
    <t>Lord Spencer</t>
  </si>
  <si>
    <t>gualmente el ardimiento con que se disponía la nación á continuar la guerra con valor y energía.”__ Lord Spencer combatió la propuesta; y Lord Sidmouth (Mr. Addington) la apoyó con vehemencia. Se votó la propuesta sin oposición. Igual propuesta se hizo en la Cámara de los Comunes por Mr. Pit</t>
  </si>
  <si>
    <t>Spina, Cardenal</t>
  </si>
  <si>
    <t>Cardenal Spina</t>
  </si>
  <si>
    <t>esencia de un Soberano llamado por todos los votos del pueblo. A las 2 de. k tarde dio audiencia al Cardenal Spina y al Clero, y sucesivamente se‘fueron presentando ios Cuerpos y Autoridades de k* Liguria.Hoy habrá.una gran función en ehpalacio del Hux,y mañana,se eanta. xá un TeDeuiau solemne e</t>
  </si>
  <si>
    <t>Spiria, Cardenal</t>
  </si>
  <si>
    <t>Cardenal Spiria</t>
  </si>
  <si>
    <t>juramento los súgetos agraciados con la Legión de Honor, entre los quales se_ nombran Oficiales el Cardenal Spiria, Gerónimo tDurazzo, Miguel Angel Cambiase,: N. Daste, Pedro Pablo Celesia, Gerónimo Serra, Luis Corvétto, Francisco Gattaneo, Marcos Federici y Bartolomé Boccardi. Burdeos y de Ju</t>
  </si>
  <si>
    <t>Spoors</t>
  </si>
  <si>
    <t>s breves observaciones sobre los ruinas de Sais. HOLANDA. Haya 2$ de Enero. El famoso proceso entre Mr. Spoors, miembro del Gobierno, y el pri11</t>
  </si>
  <si>
    <t>de la policía Mr. Lapierre, se ha concluido en ñn. Mr. Lapierre, que se quejó judicialmente de que Mr. Spoors le había obligado, con amenazas y violencias, á firmar cierto papel, no ha podido presentar prueba alguna; por cuya razón el Tribunal ha condenado á los dos en las costas, y ha ab</t>
  </si>
  <si>
    <t>Sprengporten, General</t>
  </si>
  <si>
    <t>General Sprengporten</t>
  </si>
  <si>
    <t>ar con estos antecedentes que el Gran Señor contestará al Emperador Napoleón. Ha llegado á Viena el General Sprengporten, que manda las tropas Rusas en Corfú; y muy en breve Continuará su viage, á Petetsburgp._c_En varias Gazetas Alemanas se anuncia que ha muerto en-Gratz la Condesa de Artois. El Em</t>
  </si>
  <si>
    <t>St, General</t>
  </si>
  <si>
    <t>General St</t>
  </si>
  <si>
    <t>us respectivas declaraciones á los Gabinetes de París y Madrid. El Ministro Francés en Nápoles y el General St. Cyr gozan de mucha consideración en aquella capital. Escriben de Petersburgo, que el objeto del viage del Consejero Ruso Conde de Novosiloíf á Londres, ha sido el comunicar al Mi</t>
  </si>
  <si>
    <t>partido con las dos divisiones Vandamme y Legrand dirigiéndose á Augsburgo. al mismo tiempo que el General St. Hilaire con su división marchaba por la orilla izquierda. El 8. Al amanecer, el Príncipe Murat al frente de las divisiones de dragones, de los Generales Beaumont y Klein, y de la</t>
  </si>
  <si>
    <t>St-Cyr, Teniente General</t>
  </si>
  <si>
    <t>Teniente General St-Cyr</t>
  </si>
  <si>
    <t>n ¡untado una de las divisiones del exército, la legión Corsa, y el segundo Regimiento Italiano. El Teniente General St-Cyr, que mandaba estas fuerzas reunidas, observa á Chiozza y Brondolo. Está disuesto á acometer á los Falsos y á los Ingleses, si tienen atrevimiento dé facer el desembarco con que am</t>
  </si>
  <si>
    <t>Stahremberg, Conde</t>
  </si>
  <si>
    <t>Conde Stahremberg</t>
  </si>
  <si>
    <t>ino con felicidad ; y se ha concluido definitivamente la paz entre aquella Regencia y la Suecia. El Conde Stahremberg, Ministro de la Austria en Londres , tiene licencia de restituirse á Viena para ver á su madre , que está gravemente enferma. El Tribunal de la Cámara Real de Berlín ha fallado el</t>
  </si>
  <si>
    <t>Steigner</t>
  </si>
  <si>
    <t>0 biznietos. De esta suerte llegó á contar 1258 descendientes. El cadáver de nuestro difunto Avoyer Mr. Steigner, que estuvo depositado ayer en la sala del Consejo mayor, fué trasladado por la noche á la casa de la Abadía , de donde salió el entierro esta mañana con mucha pompa. Todos los cu</t>
  </si>
  <si>
    <t>Steinhauser, Juan</t>
  </si>
  <si>
    <t>Juan Steinhauser</t>
  </si>
  <si>
    <t>án de granaderos á D. Antonio Benito Schwager, Capitán segundo del mismo: á este empleo ai Ayudante D. Juan Steinhauser: á Subteniente de bandera al Cadete D. Notkerp Soldat; y en el de Wimpffen á Subteniente de bandera al Cadete D. Víctor Gugger. V Al Capitán primero del tercer Regimiento del Real</t>
  </si>
  <si>
    <t>Sterling, Almirante</t>
  </si>
  <si>
    <t>Almirante Sterling</t>
  </si>
  <si>
    <t>gantines. Es probable que estos sean los: navios que saliéron de Rochefort y de L’Orient, quando el Almirante Sterling se alejó de aquellos puertos. holanda; • Haya 1 § de Agosto. Los Generales Dumonceau, Quaita y Van-Haitem, todos tres de las: tropas Bátavas, se hallan á bordo de la flota del Hel</t>
  </si>
  <si>
    <t>Stewart, General</t>
  </si>
  <si>
    <t>General Stewart</t>
  </si>
  <si>
    <t>tería Inglesa, y 3 de infantería Irlandesa. El General es Sir James Cra?g ,y tiene á sus órdenes el General Stewart, dos Generales de brigada, el Ayudante general Campbell,</t>
  </si>
  <si>
    <t>Stintzing</t>
  </si>
  <si>
    <t>iante, sino que ademas ha mandado al Barón de Hardenberg, su Ministro de Gabinete, que le escriba á Mr. Stintzing manifestándole su Real aprecio, y que le envíe* la medalla-grande- de oro de ia coronación. Dicho negociante ha recibido la carta y la medalla. Escriben de Potsdam que el Dr. Gall</t>
  </si>
  <si>
    <t>Stistenhoífer, Félix</t>
  </si>
  <si>
    <t>Félix Stistenhoífer</t>
  </si>
  <si>
    <t>á los segundos I&gt;. Carlos Scolar y D. Conrado Miseretz; á Capitán de granaderos al Capitán segundo D. Félix Stistenhoífer; y á Capitanes segundos á los Téniérifes D. Antonio Miesch y D» Juan Klein : en el de Traxíer al empleo de Ayudante al Teniente D. Juan Godt u en el de Reding á Subteniente de gra</t>
  </si>
  <si>
    <t>Strasser</t>
  </si>
  <si>
    <t>. M. no piensa ya enviar at Emperador de la China el famoso instrumento (la orquesta) inventado por Mr. Strasser&gt; y que tiene resuelto enviarle el Panorama de Petersburgo. En conseqiiencia se asegura que el Embaxador destinado para la China, el Conde de Golowshin, ha recibido ya la orden de</t>
  </si>
  <si>
    <t>Stratton</t>
  </si>
  <si>
    <t>no Smith, y el Coronel Ingles Poller están detenidos en el Archipiélago, y peligrosamente enfermos. Mr. Stratton y el Barón de Bielcfeld, apénas han llegado á Bujukdere devuelta de su viage al Asia menor, han enfermado, y están de mucho peligro. Por último Mr. Loke, Cónsul general en Egipto , qu</t>
  </si>
  <si>
    <t>Strauch, General</t>
  </si>
  <si>
    <t>General Strauch</t>
  </si>
  <si>
    <t>cha de 7 del corriente, que continúan con grande actividad los preparativos hostiles. Dícese que el General Strauch ha ido á las fronteras para conducir en calidad de Comisario un cuerpo de tropas Rusas, que debe pasar por Hungría. Dícese que el Archiduque Alberto levantará un puerpo de volunta</t>
  </si>
  <si>
    <t>Stroynowsky, Gerónimo</t>
  </si>
  <si>
    <t>Gerónimo Stroynowsky</t>
  </si>
  <si>
    <t>ón del Emperador. Hubo una junta pública á las 4 de la tarde, y en ella el Rector de la Universidad Mr. Gerónimo Stroynowsky pronunció un discurso, en el que recordó lo mucho que ha hecho S. M. en favor del Imperio Rjiso, protegiendo las ciencias y las artes; y su gran munificencia para con la Universid</t>
  </si>
  <si>
    <t>Suárez de Deza y Ye, Francisco</t>
  </si>
  <si>
    <t>Francisco Suárez de Deza y Ye</t>
  </si>
  <si>
    <t>Rey se ha servido nombrar para la Regencia dé la Chancillería de Granada, vacante por jubilación de D. Francisco Suarez de Deza y Ye— bra, á D. Rodrigo Riquelme, Oidor de la Audiencia de Sevilla: para esta plaza á D. Josef Morillas y Navarrete: para la de Oidor supernumerario de la misma Audiencia de Sevilla, q</t>
  </si>
  <si>
    <t>Suárez Galera, Joaquín</t>
  </si>
  <si>
    <t>Joaquín Suárez Galera</t>
  </si>
  <si>
    <t>de los frutos y rentas de la Encomienda de Yeste y Tayvilla, Orden de Santiaee celebrado i favor de D. Joaquín Suarez Galera, vecino de la villa de Vestef por la cantidad de 758 rs. í metálico, inclusas cargas, se han señalado qo dias para la puja del quarto, que empezaron a correr en el día 7 de este m</t>
  </si>
  <si>
    <t>Suárez y Freyre, Julián</t>
  </si>
  <si>
    <t>Julián Suárez y Freyre</t>
  </si>
  <si>
    <t>doíid en la de la viuda é hijos de Santander, en Salamanca en la de Barco, y en Santiago en casa de D. Julián Suarez y Freyre. El Espíritu consolador, ó Reflexiones sobre algunas palabras del Espíritu Santo , muy propias para consolar las almas afligidas. El objeto de esta obra no es otro que el de hacer</t>
  </si>
  <si>
    <t>Subow, Nicolás (conde)</t>
  </si>
  <si>
    <t>Conde Nicolás Subow</t>
  </si>
  <si>
    <t>ntos preparativos, no perdemos la esperanza de ver entabladas otra vez las negociaciones de paz. El Conde Nicolás Subow, Caballerizo mayor, su hermano el Príncipe Platón Subow, General de infantería, y el General Demetrio Subow van á edificar á su costa y con permiso de S. M. I. una Iglesia dedicad</t>
  </si>
  <si>
    <t>Subtenencia, Princesa</t>
  </si>
  <si>
    <t>Princesa Subtenencia</t>
  </si>
  <si>
    <t>a Compañía al Teniente de granaderos, graduado de Teniente Coronel, D. Manuel Bayona; y en el de la Princesa Subtenencia de bandera al Cadete D. Mariano Iglesias Barrantes. En el Regimiento de infantería Suizo de Ruttiman se ha dignado S. M. promover á Ayudante al Teniente D. Antonio Ruckstuller: en el</t>
  </si>
  <si>
    <t>Suchet, General</t>
  </si>
  <si>
    <t>General Suchet</t>
  </si>
  <si>
    <t>ía confiado la guardia de aquel bello puesto al Regimiento 17 de infantería ligera. La división del General Suchet formaba la izquierda del Mariscal Lannes: la del General Caflfarelly formaba su derecha, la qual estaba apoyada en la caballería del Prípcipe Murat. Esta tenia delante los húsares</t>
  </si>
  <si>
    <t>Sueco, Capitán</t>
  </si>
  <si>
    <t>Capitán Sueco</t>
  </si>
  <si>
    <t>vino á Embden, hacia fuerza de vela para acercarse y salvarles la vida. Por mas esfuerzos que el Capitán Sueco., Gunnar Torngren, hacia para botar su lanchen, no podía conseguirlo á causa del mucho viento y de la crecida mar de poniente ; pero lo executáron los nuestros prevenidos por dich</t>
  </si>
  <si>
    <t>Suero Lobato, Pedro</t>
  </si>
  <si>
    <t>Pedro Suero Lobato</t>
  </si>
  <si>
    <t>imiento de infantería del Príncipe se ha servido el Rey promover á Subteniente de bandera al Cadete D. Pedro Suero Lobato; y á Capitán segundo en el Batallón de Voluntarios de Barbastro al segunda Ayudante.D. Josef Díaz.</t>
  </si>
  <si>
    <t>Suwarow, General</t>
  </si>
  <si>
    <t>General Suwarow</t>
  </si>
  <si>
    <t>los. Este Caballero es el que acompaño al Gran Duque Constantino al exército de Italia que mandó el General Suwarow, * v DINAMARCA. Copenhague 11 de Mayo. La epizootia, que pade^sri los caballos en el norte; de.Alemania,.se ha manifestado igualmente en algunos distritos del Ducado de Schleswig.</t>
  </si>
  <si>
    <t>Swiftonow, Almirante</t>
  </si>
  <si>
    <t>Almirante Swiftonow</t>
  </si>
  <si>
    <t>iembre. S. M. el Emperador ha encargad© la dirección suprema de los negocios durante su ausencia al Almirante Swiftonow, Ministro de la Guerra. El ukase remitido por S. M. I. el 11 del pasado al Senado dirigente para aumento del exército, se halla concebido en estos términos: ,,En medio de los acon</t>
  </si>
  <si>
    <t>Ta-ylor, Coronel</t>
  </si>
  <si>
    <t>Coronel Ta-ylor</t>
  </si>
  <si>
    <t>India, ó intereses de la Inglaterra, relativos á la Rusia, al Indostan y al Egipto, por el Teniente Coronel Ta-ylor, traducidas libremente dd-francés ai castellano por D. Angel Martínez de Godoy: un tomo en 8.° marquilla. Se hallará en la librería de Sancha, calle del Lobo, y en la de Castillo,</t>
  </si>
  <si>
    <t>Taboada y Ulloa, Luis Antonio</t>
  </si>
  <si>
    <t>Luis Antonio Taboada y Ulloa</t>
  </si>
  <si>
    <t>de Orense, vacante por muerte de D. Pedro Peaguda, y por haberla renunciado ántes de tomar posesión D. Luis Antonio Taboada y Ulloa , á D. Gregorio Perez Verea; y para un Beneficio de la Parroquial de S. Bartolomé de Carmona, en ei Arzobispado de Sevilla, vacante por fallecimiento de D. Francisco Pizarro, á D.</t>
  </si>
  <si>
    <t>Taboada, Jacinto Nicolás</t>
  </si>
  <si>
    <t>Jacinto Nicolás Taboada</t>
  </si>
  <si>
    <t>a Ración de la Catedral de Orense, vacante por promoción de Don Tomas Cid á Canongía de la misma, á D. Jacinto Nicolás Taboada, Abad de la Parroquia de S. Miguel del Campo, en aquella Diócesis: para una Capellanía de Altar de la Real Iglesia de S. Isidro de Madrid, vacante por promoción de D. Gil de la Pa</t>
  </si>
  <si>
    <t>Taboada, Pedro</t>
  </si>
  <si>
    <t>Pedro Taboada</t>
  </si>
  <si>
    <t>......................................" CD. Joaquín Bedriñana. Graduado de Teniente de Brulot...... D. Pedro Taboada. ,iS"</t>
  </si>
  <si>
    <t>Tailleyrand</t>
  </si>
  <si>
    <t>a remitió al ReissEffendi una copia de la nota que el Ministro de Relaciones exteriores de Francia, Mr. Tailleyrand, entregó á Aleb-Effendi, Embaxador de la Puerta en Paris. En ella se maniñesta la admiración que ha causado el que la Puerta rehúse reconocer al Emperador Napoleón, siendo así que</t>
  </si>
  <si>
    <t>Talavera, Antonio</t>
  </si>
  <si>
    <t>Antonio Talavera</t>
  </si>
  <si>
    <t>Hilario del Rivero ; Tenencia de carabineros á D. BernaTdino Yepes; y sencillas á D* Manuel,Gómez, D. Antonio Talavera , D.Juan del Rivero, Don Simón Geldres, D. Manuel Calvo, D. Antonio Arguero, D. Mariano Bustamante, D» Manuel García, D. Pedro Iraciburu, D. Juan Valenzuela, Don Silvestre de Arpe</t>
  </si>
  <si>
    <t>Talens, Sebastián</t>
  </si>
  <si>
    <t>Sebastián Talens</t>
  </si>
  <si>
    <t>Josef Aguado; y Subtenencias de bandera en los de Irlanda y Voluntarios de la Corona á los Cadetes D. Sebastian Talens y D. Francisco Brandis. En los Regimientos de caballería de línea se ha servido el Rey conceder en el de Santiago Tenencia ai Alférez D. Miguel Salinas; y empleo* de Portaestandartes</t>
  </si>
  <si>
    <t>Talleyrand</t>
  </si>
  <si>
    <t>Cardenal Cambacerés, y otros varios nombrados recientemente.__ Concluida esta ceremonia se presento Mr. Talleyrand, Ministro de Relaciones exteriores, para informar al Senado como S. M. I., deseoso de que la humanidad no sufra los males, que indispensablemente acarrea la guerra, había propuest</t>
  </si>
  <si>
    <t>ninguna cosa ha causado tanta im 1presion en el Emperador, en su Ministro de Negocios extrangeros, Mr. Talleyrand, y en los hombres de alguna consideración en Francia: y de que este pueblo de cambistas, de mercaderes y de especuladores, puede muy bien dar su dinero de mala gana; pero que está</t>
  </si>
  <si>
    <t>a S.,M. ‘el Emperador de los Franceses.El Gran Visir ha remitido también uná .carta suya para S. E. Mr. Talleyrand, Ministro de Negocios extranjeros en París. ’ .. El Capitán Baxá no ha aceptado el mando de la esquadra , que vajCon destino al Mediterráneoy alegando por excusa que es necesaria</t>
  </si>
  <si>
    <t>Tallíen</t>
  </si>
  <si>
    <t>° de Junio, descanso: domingo 2, por la noche , fiesta de los Ministros. FRANCIA. Parts 31 de Maya, Mr. Tallíen ha fallecido etf Alicante, donde se hallaba de Comisario de Relaciones comerciales de Francia. Todas las cartas que se reciben de los departamentos dicen que en las principales ci</t>
  </si>
  <si>
    <t>Talón, Juan</t>
  </si>
  <si>
    <t>Juan Talón</t>
  </si>
  <si>
    <t>D. Josef Gabriel Ayvar á D. Manuel Francisco de Litnonta; y para la Media-Ración que este obtenía á D. Juan Talón, Capellán Castrense del castillo de la Roca, boca del Morro. El Rey se ha dignado promover á Ayudante veterano del Regimiento de Milicias disciplinadas de dragones de Lima á D. Ma</t>
  </si>
  <si>
    <t>Tamiayo, Francisco</t>
  </si>
  <si>
    <t>Francisco Tamiayo</t>
  </si>
  <si>
    <t>ragones Provinciales de Puebla, en Nueva-Estaña, se ha servido S. M. promover á Teniente al Alférez D. Francisco Tamiayo; á Alférez al Portaguión D. Juan Tosef Ocio, y á Portaguión á Don Joaquín de Castro, ^ Se previene á los sugetos que quieran ser admitidos en los estudios establecidos en el palac</t>
  </si>
  <si>
    <t>Tandon, Pedro</t>
  </si>
  <si>
    <t>Pedro Tandon</t>
  </si>
  <si>
    <t>ncias1 de batidera en los de Toledo y América á los Cadetes D. Ma— uuel Ezequiel González Riomayor, D. Pedro Tandon y D. Mariano Muñoz. • •V " : ’ ‘ - El Rey se ha servido nombrar para una plaza de Oidor de la Real Audiencia de Cataluña , vacante por fallecimiento de D. Antonio Pellicer de la Torre</t>
  </si>
  <si>
    <t>Tapia, Juan de Dios</t>
  </si>
  <si>
    <t>Juan de Dios Tapia</t>
  </si>
  <si>
    <t>1091 dro Frías, D. Manuel Panlagua y D. Alexo Castilla ; Subtenencia de granaderos á D. Juan de Dios Tapia; y de fusileros á D. Josef Meneses, D. Mariano Hinojosa, D. Andrés Losa, D. Manuel Calderón, D. Estéban Carvajal, D. Francisco Calderón, D. Domingo del Castillo y D. MarianoGab do</t>
  </si>
  <si>
    <t>Taravajano, Dionisio</t>
  </si>
  <si>
    <t>Dionisio Taravajano</t>
  </si>
  <si>
    <t>udad; para el Beneficio residencial de la villa de Oropesa, Diócesi de Avila, vacante por muerte de D. Dionisio Taravajano, á D. Juan Estéban; y para un Beneficio simple servidero en la villa de Ximena, Diócesi de Cádiz, vacante por fallecimiento de D. Miguel Rodríguez y Alvarez, á D. Alonso Acedo del</t>
  </si>
  <si>
    <t>Tarber, Luis</t>
  </si>
  <si>
    <t>Luis Tarber</t>
  </si>
  <si>
    <t>ompañía establecida en el Alcázar de Segovia Don Jacobo Escario y Carrasco, D. Tomas Orive y Viana, D. Luis Tarber— né y Pavía, D. Josef Herrera Dávila y Albear, D. Francisco de Paula Uclés de Herrera y Ramírez, D. Diego Entrena y Mosquera, D. Manuel Cavaleri y Arana, D. Agustín del Barco y la</t>
  </si>
  <si>
    <t>Tavira, Pedro</t>
  </si>
  <si>
    <t>Pedro Tavira</t>
  </si>
  <si>
    <t>e Velasco, Don Francisco Barraycua, D. Alonso .AIvarado, y D. Sebastian. Gorvea? los Gefes de trozo D. Pedro Tavira, D. Ramón de Zuloaga, D¿ Ramón Fernandez, D. josef Martínez , y, D. Manuel Ferrando ; y los Seminaristas Don J.osef de .Castro, Cadete de Reales. Guardias Walonas, D. Manuel Abbad</t>
  </si>
  <si>
    <t>Taylor</t>
  </si>
  <si>
    <t>re redención de deudas de Viena con el extrangero; noticia de la correspondencia de Cárlos Thum con Mr. Taylor: extracto del convenio hecho entre Francia y la República Ligurina: extracto del discurso del Ministro del Interior de Francia sobre el estado del Imperio*, continuación del Códig</t>
  </si>
  <si>
    <t>Tedro Jhnca y Alexandro Álvarez de Guitianjá Subteniente</t>
  </si>
  <si>
    <t>iité*;cb4Lgrado de Capitánal Teniente' ©.-'Francisco de las Piedras; á Tenientes á ios Subtenientes D. Tedro Jhnca y Don Alexandro Alvarez de Guitianjá Subteniente de cazadores al segundo Ayudante, graduado de Subteniente, D. Roque Iregui; á Subteniente ai segundo Ayudante , con grado de Subteniente, D. Josef García y. al Cadete Don Rafael' de'</t>
  </si>
  <si>
    <t>Teiesforo Madrazo</t>
  </si>
  <si>
    <t>ro : para el Beneficio simple del lugar de Villoslada, Diócesi de Segovia, vacante por reniincia de D. Teiesforo Madrazo, á D. Santiago Ribero Medrano: para el Beneficio rural de S. Miguel de Tejedo en la Parroquia de Santianes de Molenes, Arciprestazgo de Grado, en la Diócesi de Oviedo, vacante por</t>
  </si>
  <si>
    <t>Teixeiro, Antonio</t>
  </si>
  <si>
    <t>Antonio Teixeiro</t>
  </si>
  <si>
    <t>8.» Cabo 2.0 Antonio Teixeiro.. Hijo de Benito y de Vicenta de E'scu-</t>
  </si>
  <si>
    <t>Telesforo Madrazo Esfcalera</t>
  </si>
  <si>
    <t>Curculina en la Parroquia de S. Facundo de Mirallo, Arciprestazgo de Tineo en la mísina Diócesi, á D. Telesforo Madrazo Esfcalera,con dinusion del Beneficio de Villoslada que obtiene en la Diócesi deSegovia: para el Priorato Beneficio simple de la Parroquia de Santa María de la villa de Fal es, Diócesi de Pa</t>
  </si>
  <si>
    <t>Tello, Manuel</t>
  </si>
  <si>
    <t>Manuel Tello</t>
  </si>
  <si>
    <t>dignado promover á Ayudante veterano del Regimiento de Milicias disciplinadas de dragones de Lima á D. Manuel Tello , Teniente veterano de la Asamblea de lea; ya Subtenientes de granaderos del Batallón de Milicias disciplinadas de Españoles de la misma capital á D. Tomas de Iriarte y D. Josef M</t>
  </si>
  <si>
    <t>Temas Mateos</t>
  </si>
  <si>
    <t>I39 dé Cazadores, al Guardia de la Compañía Flamenca D. Temas Mateos. S. M. se ha servido conferir en el Regimiento de infantería de Sabaya la Tenencia Coronela al Comandante de su tercer batallón D. Bruno Barrera, y Subtenencias de bandera al Cade</t>
  </si>
  <si>
    <t>Tempelhoff, Teniente General</t>
  </si>
  <si>
    <t>Teniente General Tempelhoff</t>
  </si>
  <si>
    <t>andro, y que el Majror de Haack, Edecán de S. M., ha sido encargado de llevar la corw testación. El Teniente General Tempelhoff, uno de los Oficiales de artillería mas instruidos^ y beneméritosi, ha recibido la gracia de la banda del Aguija 'Negra y y ha sido nombrado Inspector general de lá Academia y de</t>
  </si>
  <si>
    <t>Temple y Mr, Lord</t>
  </si>
  <si>
    <t>Lord Temple y Mr</t>
  </si>
  <si>
    <t>os Pares acompañado de unos 100 vocales., para presentar la acta dé acusación contra Lord Melville» Lord Temple y Mr. Grey iban á su derecha é izquierda: seguíanle Mr. Fox, Windham y otros varios. Luego que el Canciller se puso en la barra, Mr. Whitbread leyó la orden.de acusación en un tono fir</t>
  </si>
  <si>
    <t>Temple, Lord</t>
  </si>
  <si>
    <t>Lord Temple</t>
  </si>
  <si>
    <t>ámara nombrase 21, miembros para preparar y extender los articulas del inpeachement. A propuesta de Lord Temple se sentó el primero en la lista á Mr. Whitbread, quien pidió sucesivamente se nombrasen los siguientes: Mrs. Fox, Grey, Sheridan, los Lores Henry Petty, Porchester, A. Hamiltton,</t>
  </si>
  <si>
    <t>Ten de Arista, Vicente</t>
  </si>
  <si>
    <t>Vicente Ten de Arista</t>
  </si>
  <si>
    <t>de Pierra. En el Real Cuerpo de Artillería ha promovido S. M. á Capitanes segundos á los Tenientes D. Vicente Ten de Arista, D. Joaquín Velarde, D. Gonzalo Cueto, D. Julián Solana, D. Braulio Henriquez y D. Josef Jalón; y á Tenientes á los Subtenientes D. Luis Mazuelo, D. Antonio Ortiz de Zarate, D. Do</t>
  </si>
  <si>
    <t>Tena del de Zamora, Manuel</t>
  </si>
  <si>
    <t>Manuel Tena del de Zamora</t>
  </si>
  <si>
    <t>ef Lita del de caballería del Infante, D. Ramón Albo y D. Bartolomé Amat del de infantería del Rey, D. Manuel Tena del de Zamora, D. Mariano Albo del de Sevilla, D. Salvador Manzanares dei de Africa, y Doo Antonio Lasauca del de Zaragoza.</t>
  </si>
  <si>
    <t>Teniente de Irlanda, Lord</t>
  </si>
  <si>
    <t>Lord Teniente de Irlanda</t>
  </si>
  <si>
    <t>dado en las rocas de Jersey: se ha podido salvar la tripulación, que se componía de 300 hombres. El Lord Teniente de Irlanda se ha puesto ál frente de la Institución, que se ha formado en Dublin para propagar el método saludable de la vacunación; y se esperan grandes efectos en toda Irlanda de esta prov</t>
  </si>
  <si>
    <t>Teniente Mack, Feld-Mariscal</t>
  </si>
  <si>
    <t>Feld-Mariscal Teniente Mack</t>
  </si>
  <si>
    <t>ronta, no tenia poder alguno para tratar, y que para concluir alguna cosa era menester dirigirse al Feld-Mariscal Teniente Mack! ,, En el mismo momento en que este General y el Príncipe de Schwarzemberg hacían propuestas de entrar en la liga, el 9 de Setiembre las tropas Austríacas penetraron en Baviera. „</t>
  </si>
  <si>
    <t>Teodoro Argumosa</t>
  </si>
  <si>
    <t>, segundo Comandante, herido en el Trinidad: D. Antonio Pareja, Comandante, herido en el Argonauta: D. Teodoro Argumosa, id., herido en el Monarca. Capitanes de Fragata. D. Antonio Castaños, segundo Comandante, muerto en el Montañés: D. Francisco Moyua, id., muerto en el Nepomuceno: D. Joaquin Somo</t>
  </si>
  <si>
    <t>Teodoro de Almeyda</t>
  </si>
  <si>
    <t>todos los aficionados á esta ciencia, que aspiran á saberla con sólidos fundamentos: su autor el P. D. Teodoro de Almeyda: un tomo en 8.° marquilla. Se hallará e'n la librería de Hurtado, calle de las Carretas, y en la de Rodriguez, calle del Olivo alto. El Triunfo de la amistad, y el amor mas firme</t>
  </si>
  <si>
    <t>Teodoro de Molina, Miguel</t>
  </si>
  <si>
    <t>Miguel Teodoro de Molina</t>
  </si>
  <si>
    <t>Parroquia de S. Isidoro de la ciudad de Ubeda, en el Obispado de Jaén, vacante por fallecimiento de D. Miguel Teodoro de Molina, á D. Carlos Luis Omul rrran; y para dos Medios-Beneficios simples servideros de la Parroquia de S. Mateo de la villa de Alburquerque, en la Diócesis de Badajoz , vacantes el uno</t>
  </si>
  <si>
    <t>Teodoro Ferreyra de Aguiar</t>
  </si>
  <si>
    <t>hía con fecha de de Enero de este año-, por el Doctor Josef Abetino Barbosa , d Teodoro Ferreyra de Aguiar, Cirujano mayor de la. Real Armada y de los Exércitas. „En conseqiiencia de una orden del Gobernador y Capitán general de esta Capitanía y de i.° de Enero del corriente año, fui encargado d</t>
  </si>
  <si>
    <t>Teodoro Martínez</t>
  </si>
  <si>
    <t>usileros á D. Manuel Caballero, D. Josef Matías de Paredes, D. Diego de Sosa, D. Mauricio Zamalloa, D. Teodoro Martínez dei Campo, D. Mariano Mallea, Don Josef Marcelino de Molina y D. Manuel Melchor Vargas; Ayudantía á D. Isidro Quevedo; Tenencia de granaderos á D. Nicolás Romero y Fuster, y de fusil</t>
  </si>
  <si>
    <t>Teólogo</t>
  </si>
  <si>
    <t>n García,, del Orden de S. Francisco, de lá Provincia de Biienos-Ayares, Lector dos veces jubilado, Doctor Teólogo, y Catedrático de Prima de la Real Universidad.de la ciudad dé Córdoba, del.Tucumañ Stc. La invención ingeniosa, la amenidad y solidez délos discursos, el uso fréqüéhíe de la sagr</t>
  </si>
  <si>
    <t>Castro de la Santísima Trinidad, Definidor y Padre de Provincia en la Orden de Agustinos Recoletos, Doctor Teólogo en las Reales Universidades de Huesca y Zaragoza, Catedrático de Teología en aquella, Predicador^de S. M. &amp;c. Se hallará en papel común y de holanda, y con retrato, que la represent</t>
  </si>
  <si>
    <t>Teólogo y Catedrático de Prima de la Real Universidad</t>
  </si>
  <si>
    <t>leon García, del Orden de S. Francisco de la Provincia de Buenos-Ay res, Lector dos veces jubilado, Doctor Teólogo y Catedrático de Prima de la Real Universidad de la ciudad de Córdoba de,l Tucuman &amp;c. La invención ingeniosa, la amenidad y solidez de, los discursos», el uso freqiiente de la sagrada Escritura, y su oportuna aplicación, la cor</t>
  </si>
  <si>
    <t>Teresa Lamaneta y Manuela Lamaneta</t>
  </si>
  <si>
    <t>uel Cabellos, D. Vicente Tortilla, D. Ensebio Carda, D. Juan Bautista Cruz, Doña Peregrina Gosalbó, Doña Teresa Lamaneta y Doña Manuela Lamaneta. Después recitáron los niños quatro letrillas en acción de gracias. Leyó una oda D. Esteban Chaix; y el Señor Presidente el Coronel D. Diego Navarro y Sangran, Gobernador político</t>
  </si>
  <si>
    <t>Teresa Ramírez y Encalada, María</t>
  </si>
  <si>
    <t>María Teresa Ramírez y Encalada</t>
  </si>
  <si>
    <t>ordinario de aquella villa, y por «1 oficio del Escribano único numerario de ella,. Se hace saber á Doña María Teresa Ramírez y Encalada, muger de D. Josef Antonio de Pando y Riba, que residía en Madrid por los años de 1801 y 802, que en el preciso término de 30 dias, acuda á usar de su derecho, por sí ó por medio</t>
  </si>
  <si>
    <t>Teresa Vázquez, Manuel</t>
  </si>
  <si>
    <t>Manuel Teresa Vázquez</t>
  </si>
  <si>
    <t>era., El Rey se ha servido conceder en el Regimiento de infantería de Málaga Tenencia ^LSubteniente D. Manuel Teresa Vázquez ; y Subtenencia de bandeflreffeel de Granada al Cadete: D. Francisco Rueda y Quiroga. '' \ •••... • . -&gt;;• . .1.. El Rey se ha‘¿fer%ido nombrar para la Alcaldía mayor de la ciudad</t>
  </si>
  <si>
    <t>Termens, Pedro</t>
  </si>
  <si>
    <t>Pedro Termens</t>
  </si>
  <si>
    <t>la Compañía Española de Reales Guardias de Corps ha promovido el Rey á Subrigadier al Cadete Garzón D. Pedro Termens; á Cadetes de número á los Supernumerarios D. Felipe Lorieri y D. Francisco Puerta, y á Supernumerario ai Guardia D. Josef de la Cueva. S. M. se ha servido conferir la Comandancia</t>
  </si>
  <si>
    <t>Terroba, Martín</t>
  </si>
  <si>
    <t>Martín Terroba</t>
  </si>
  <si>
    <t>Rivarola, y de fusileros á D. Evaristo Franco, D. Diego Aliaga, D. Juan Cáceres, D. Josef Camacho, D. Martin Terroba, D. Gregorio Zuloaga, D. Josef García y D. Juan Peralta; Ayudantía á D. Josef Romero; Tenencia de granaderos á D. Juan Estevez,y de fusileros á D. Tomas Carreri,D. Juan Anglés, Do</t>
  </si>
  <si>
    <t>Terrón, Pedro</t>
  </si>
  <si>
    <t>Pedro Terrón</t>
  </si>
  <si>
    <t>uerpo. En el Regimiento de infantería de México se ha servido el Rey promover á Capitán al Ayudante D. Pedro Terrón: á Ayudante al Teniente Don Santiago Mora: á Teniente al Subteniente de granaderos D. Miguel Ortiz; á Subteniente de granaderos al de fusileros D. Antonio Mora; y á Subteniente de</t>
  </si>
  <si>
    <t>Terrona, Domingo</t>
  </si>
  <si>
    <t>Domingo Terrona</t>
  </si>
  <si>
    <t>isava, D. Antonio de la Vega, D. Josef de Avila y D. Francisco Velasco; y Subtenencias de bandera á D. Domingo Terrona y D. Eusebio Cornejo. El Rey se ha dignado conceder la Compañía fixa veterana de nueva creación del castillo de S. Juan, en el Reyno de Goatemala, al Capitán D. Valentín Reygadas, Ayu</t>
  </si>
  <si>
    <t>Texero, Ignacio</t>
  </si>
  <si>
    <t>Ignacio Texero</t>
  </si>
  <si>
    <t>eros , graduado de Teniente Coronel, D. Josef Ramírez, y Compañía al Ayudante, graduado de Capitán, D. Ignacio Texero: en el de la Reyna Compañía al Teniente de granaderos, con grado de Capitán, D. Francisco Xaraqúemada: en el de Zamora Ayudantía al Teniente , graduado de Capitán , D. Manuel Bola</t>
  </si>
  <si>
    <t>Texeyro, Ramón</t>
  </si>
  <si>
    <t>Ramón Texeyro</t>
  </si>
  <si>
    <t>Ayudantía al Teniente Don Juan de Medina, y Subtenencia de bandera al Cadete del Inmemorial del Rey D. Ramón Texeyro. J El Rey se ha servido conferir el Gobierno del castillo de S. Felipe de la Ria del Ferrol al Capitán D. Josef Losada, Cadete de la Compañía Italiana del Real Cuerpo de Guardiasf</t>
  </si>
  <si>
    <t>Texta, Francisco</t>
  </si>
  <si>
    <t>Francisco Texta</t>
  </si>
  <si>
    <t>upoey. S. M. ha conferido en los Regimientos provinciales empleo de Sargento Mayor del dé Badajoz á D. Francisco Texta, Capitán dél de infantería de Sabóya: Compañías'dé granaderos en los de León, Orense y Alcázar de S. Juan á los. Capitanes de fusileros D. Isidoro Casado, Don Bernardo González y</t>
  </si>
  <si>
    <t>Thalmánn, Antonio</t>
  </si>
  <si>
    <t>Antonio Thalmánn</t>
  </si>
  <si>
    <t>453 ro,á D. Antonio Thalmánn, Capellán del Regimiento de Reales Guardias de infantería Walona, en consideración á sus servicios, y conforme al Reglamento de 30 de Enero del año próximo pasado. El Rey se ha se</t>
  </si>
  <si>
    <t>Thibeau, Pedro</t>
  </si>
  <si>
    <t>Pedro Thibeau</t>
  </si>
  <si>
    <t>Bausa , este de la Compañía fixa del Peñón, y al Soldado distinguido del de Reales Guardias Waloras D. Pedro Thibeau: en los de la Corona y Extremadura á los Cadetes D. Mauricio Rengifo y D. Manuel Diaz Zapata; y en el de León al Sargento segundo distinguido D. Santiago Marrón. En el Regimiento</t>
  </si>
  <si>
    <t>Thom</t>
  </si>
  <si>
    <t>ovatori, opera di Capellán Monaco Camaldolense.=Enchiridion dogmatum, et morum, depromptum ex summa D. Thom. Aquin.: auctore Placido Zurla Benedictino Camaldulensi: 3 tomos.=L. Ann. Senecae líber ¿quare bonis viris multa mala accidant cúm sit providentia? un tomo.icsSS. Patrum, opera se</t>
  </si>
  <si>
    <t>Thomasio Eazan</t>
  </si>
  <si>
    <t>Isidoriano Gothomixto dicto Mozárabes, extractis: disposita seciirndum praecandi modum Mozarabum, á D. Thomasio Eazan et Eenavides, Praevetusto Mozarabo, et Praebendato sanctae Ecclesiae Saimantinae. Se hallará en la liUrería de Calleja, calle angosta de Majaderitos, á 3 rs. en rústica y 4 en perga</t>
  </si>
  <si>
    <t>Tiburcio</t>
  </si>
  <si>
    <t>El día? 5 de Abril: del presente* año fálleció- en esta Corte, á lt&gt;s 66. años: de su edad * el ^r. D. Tiburcio .déhBarrio y Serranos fué&lt; Colegial mayor eii&gt; el. de S. Bartolomé de Salamancas sirvió al! Rey 2 3 años y &amp;,meses¡,.siéndt&gt;i Oidor de la Real Audiencia de Oviedo, de la Chancille</t>
  </si>
  <si>
    <t>Tiburcio de Francos</t>
  </si>
  <si>
    <t>rvido S. M. conferir el empleo de Teniente Coronel al Sargento Mayor, graduado de Teniente Coronel, D. Tiburcio de Francos; y el empleo de Maestro mayor de Armeros de la Maestranza de Barcelona á D. Josef Antonio Vergara. En los Regimientos de caballería de línea se Ha servido el Rey promover: en el d</t>
  </si>
  <si>
    <t>Tiburcio García Gallardo</t>
  </si>
  <si>
    <t>del corriente y pág. 038, lín. 19, en que equivocadamente se puso D. Manuel García Gallardo, léase D. Tiburcio García Gallardo. ' Quien ;supiete del paradero de 7 vales Reales, creación ,de i.° de Setiembre, renovados á la orden de D. Agustip Patino;, con los nújns., 395)50, 40299, 40456, 40575 y. 45620 d</t>
  </si>
  <si>
    <t>Tiburció Pérez Cuervo</t>
  </si>
  <si>
    <t>l de Madridde 15 añosl Escultura , á D/Jósef Muñoznatural de Antequera, de 24 años. Arquitectura, á D. Tiburció Perez Cuervo , natural de Oviedo , de 19 años. Tercera clase. Primeros premios. Medallas de plata de 5 onzas. Pintura, á D. Joaquín "Gallardo, natural de S. Martin de Cameija, de 21 años. Escu</t>
  </si>
  <si>
    <t>Tielker</t>
  </si>
  <si>
    <t>n la caballería; el dia 14 se hallarán ya aquí muchos otros Regimientos para las grandes maniobras. Mr. Tielker, que ha de ir agregado á la cqmitiva de la embaxada Rusa , para manifestar al Emperador de la China el panorama de Petersburgo, está en ánimo de dibuxar, si no se lo estorba la Po</t>
  </si>
  <si>
    <t>Tiloculto Guinavcos</t>
  </si>
  <si>
    <t>rendan las Señoras á muy poca costa quanto hay que saber, que pública en obsequio de su ilustración D. Tiloculto Guinavcos; Es inútil advertir qual es el objeto principal de este papel, si no fuera porque se le atribuya lo que nó es en realidad. Lo burlesco y satírico de él solo se dirige á Ja falsa c</t>
  </si>
  <si>
    <t>Timoteo OkifF</t>
  </si>
  <si>
    <t>z de Artillería de Exército...... D. Cárlos Velorado. Heridos. Capitán del Regimiento de la Corona. D. Timoteo OkifF. Alféreces de la Corona............. ........ D. Mariano González. D. Juan Mendivil. Alférez de Artillería...................... . D. Josef Sánchez Boado. Resumen general. Muertos</t>
  </si>
  <si>
    <t>Timoteo Ramos</t>
  </si>
  <si>
    <t>D. Miguel Mariano Ramiro y D. Pedro Salcedo; Ayudantía á D. Calixto Ramos; Tenencia de granaderos á D. Timoteo Ramos, D. Pedro Béjar, D. Melchor Ramos, D.Josef Vicente Andrade , D. Alberto de Castro , D. Manuel Antonio Gómez, Don Ramón de Santander y D. Joaquín Tejada; Subtenencia de granaderos</t>
  </si>
  <si>
    <t>. 1241 En la Gazeta núm. 101 del 17 último, pág. 109, lín. 20, debe decirt Tenencia de granaderos á D. Timoteo Ramos; y de fusileros á D. Pedro Bejar, &amp;£,, , En algunos exemplares de la Gazeta anterior, núm. 102, pág. 1101, línea 2 2*, ajee Barcelona 18 de Octubre, léase Marchena. Por el Sr. Int</t>
  </si>
  <si>
    <t>Tirado Martínez, Andrés</t>
  </si>
  <si>
    <t>Andrés Tirado Martínez</t>
  </si>
  <si>
    <t>lano pa ra la plaza efectiva de Ministro dei Consejo de Hacienda, vacante por fallecimiento del Sr- D. Andrés Tirado Martínez; y al Sr. D. Vicente deHore Ministro de Capa y Espada del Consejo de Indias, para que sirva en comisión la Asistencia de Sevilla. En América. El Rey se ha dignado conceder en el B</t>
  </si>
  <si>
    <t>Tirado, Andrés</t>
  </si>
  <si>
    <t>Andrés Tirado</t>
  </si>
  <si>
    <t>Huertos, Inquisidor de Corte, para lá Canongía vacante en la Iglesia de Cuenca por fallecimiento de D. Andrés Tirado: para la Ganongia vacante en la Iglesia de Salamanca por muerte de D. Tomas O-Rian á D. Joaquín Barrena Caballero : para otra de la Colegiata de S. Hipólito de Córdoba, vacante po</t>
  </si>
  <si>
    <t>Paula Diaz : para la Dignidad de Prior de la Catedral de la ciudad de Cuenca, vacante por muerte de D. Andrés Tirado, á D. Josef Amarilla, con retención de la Canongía que le ha conferido en la misma Iglesia: para la Canongía vacante en la Catedral de Granada, por fallecimiento de D. Juan Franci</t>
  </si>
  <si>
    <t>Tobías Buman</t>
  </si>
  <si>
    <t>Jacobo Kayser, y al Teniente D.Juan Beroldinger: y á Subtenientes de granaderos á los de fusileros D. Tobías Buman y D. Federico Behr: á Teniente en el de Courten al Subteniente de granaderos D. Pedro Gueraty; y á Subteniente de granaderos en el mismo al de fusileros D. Josef Ignacio Wiila. El Rey</t>
  </si>
  <si>
    <t>n el de Traxler á Ayudante al Teniente D. Remigio Kayser; y á Teniente al Subteniente de granaderos D. Tobías Buman: en el de Courten á Subteniente de granaderos al de fusileros D. Francisco Xavier Riedmaten: en el de Betschart á Teniente de granaderos al de fusileros D. Josef Alíñela y Leony ;</t>
  </si>
  <si>
    <t>Todo, Tadeo</t>
  </si>
  <si>
    <t>Tadeo Todo</t>
  </si>
  <si>
    <t>Regimiento de caballería del Rey se ha servido S. M. conceder empleo de Alférez al Portaestandarte D. Tadeo Todo ; y en el de España Tenencia al Alférez D. Pedro Gasasola. ; En -los Regimientos Provinciales ha promovido el Rey á Capitán de •granaderos en el de Ciudad-Rodrigo al de fusileros</t>
  </si>
  <si>
    <t>Toledo, Nicolás</t>
  </si>
  <si>
    <t>Nicolás Toledo</t>
  </si>
  <si>
    <t>D. Hilarión Gaspar; y á Teniente en el Cuerpo de dragones de la frontera del mismo Reyno al Alférez D. Nicolás Toledo. El.dia 2 de Setiembre próximo, á las 4 de la tarde, se dará principio al curso de Taquigrafía, ó del arte de escribir con tanta velocidad como se habla, en ja Real Escuela sitare</t>
  </si>
  <si>
    <t>Tolftoy, General</t>
  </si>
  <si>
    <t>General Tolftoy</t>
  </si>
  <si>
    <t>onstadt y de Reve! que estaba pronto á embarcarse un crecido número de tropas Rusas mandadas por el General Tolftoy. ; Haya / § de Setiembre» ' Ha llegado aquí e! Vice-AImitante Verhuél, Secretario de Estado de Marina, y Ayudante del Emperador de los Franceses,y ha tenido una conférencta ¡con e</t>
  </si>
  <si>
    <t>Tolosa del del Príncipe, Diego</t>
  </si>
  <si>
    <t>Diego Tolosa del del Príncipe</t>
  </si>
  <si>
    <t>los de igual clase de los Regimientos de infantería que siguen : D. Pedro Hermosilia del de Toledo, D. Diego Tolosa del del Príncipe ; D. Joaqui» Luzuriaga del de Órdenes Militares ; D. Juan Manuel Carmona del de Murcia; al Teniente dei Regimiento provincial de Santiago D. Ramón Rivadulla ;álos Subtenientes de</t>
  </si>
  <si>
    <t>Tolstoy, General</t>
  </si>
  <si>
    <t>General Tolstoy</t>
  </si>
  <si>
    <t>cartas de Petersburgo añaden que el cuerpo de 30® hombres, prometido á la Suecia, y mandado por el General Tolstoy, se ha embarcado ya en Revel con destino á la Pomerania Sueca. ¿Pero las Potencias armadas á fin de mantener la neutralidad y el sosiego del norte consentirán este desembarco? GRA</t>
  </si>
  <si>
    <t>Tomás Ignacio</t>
  </si>
  <si>
    <t>iscal de lo civil de la de Lima, % D. Manuel Pardp,. Oidor de esta última : pava la que este dexa i D. Tomas Ignacio, Pato meque; y para la. de Alcaide: deL crimen que este obtenía en ella, á D. Gaspar Antonio de Osma y Tricio^ Abogado de los Reales Consejos. Finalmente se ha dignado S. M. conce</t>
  </si>
  <si>
    <t>Tomasa</t>
  </si>
  <si>
    <t>y no habiendo recibido estas, se suplica al que las tenga, se sirva entregarlas en Santiago á dicha Doña Tomasa, y en Madrid al referido D. Silvestre Abad, quienes darán mas señas. Por la Cámara de Justicia de S. A. S. el Duque Guillermo de Baviera se cita á D. Alexandro Fernando Carlos Jos</t>
  </si>
  <si>
    <t>Tomasa Carrete y Losada</t>
  </si>
  <si>
    <t>de Aparicio, vecino de esta Corte, dirigió por el correo del dia u del presente, baxo sobrescrito á Doña Tomasa Carrete y Losada, vecina de Santiago, varias acciones de á 2§ rs. del Banco Nacional de S. Carlos, entre ellas 2 señaladas con los números 66,qii y 142,103; y no habiendo recibido estas, se suplic</t>
  </si>
  <si>
    <t>Tomasa de la Muela</t>
  </si>
  <si>
    <t>ladamente 30.® rs. que el Corregidor y demas Patronos de la casa de educación de niñas, fundada por Doña Tomasa de la Muela, entregaron de sus sobrantes, puso corriente otra fábrica de paños, lienzos, cáñamo y alpargatas, en la qual se ocupan diariamente 183 personas de todas clases y edades, al cargo</t>
  </si>
  <si>
    <t>Tomey, Juan</t>
  </si>
  <si>
    <t>Juan Tomey</t>
  </si>
  <si>
    <t>f María Rengel; y á Subtenientes de bandera á los Cadetes D. Josef Mayoli y D. Josef Fernandez, y á D. Juan Tomey, vecino de la demarcación del mismo Regimiento. Asimismo se ha dignado S. M. promover á Capitán de Ja Compañía de infantería fixa de Acapulco al Teniente de la misma D. Antonio Ca</t>
  </si>
  <si>
    <t>Tordera, Julián</t>
  </si>
  <si>
    <t>Julián Tordera</t>
  </si>
  <si>
    <t>n Josef Vigil; y: en el de Navarra al Sargento primero de granaderos I)on Pedro Valero, y al Cadete D. Julián Tordera. En el Regimiento de infantería Suizo de Courten se ha servido S. M* conceder Tenencia de granaderos al Teniente de fusileros D. Francisco Preux; y Subtenencia de fusileros al Cad</t>
  </si>
  <si>
    <t>Toribio Benavides</t>
  </si>
  <si>
    <t>de Milicias urbanas de loa á D. Juan García Lobera; Capitán de la sexta compañía de dicho Cuerpo á D. Toribio Benavides; Portaestandartes en el mismo Cuerpo á D. Luis Uri.be y D= Gregorio Martin Velasco: Capitanes en el Regimiento deMiiicias urbanas de infantería de Moquegua á D. Juan Esteban de Pe</t>
  </si>
  <si>
    <t>Toribio del Castillo</t>
  </si>
  <si>
    <t>ascenso de D. Josef Nicolás Veranes, á D. Manuel González ; y para la Media-Ración que este dexa á D. Toribio del Castillo, Pro-Sochantre de ella: para otra Ración vacante en la propia Iglesia por translación de D. Josef Gabriel Ayvar á D. Manuel Francisco de Litnonta; y para la Media-Ración que este</t>
  </si>
  <si>
    <t>Toribio Sánchez</t>
  </si>
  <si>
    <t>Manglano ; á Subrigadier al Cadete D. Alexo Santa María ; á Cadetes de número á los Supernumerarios D. Toribio Sánchez y D. Josef Mendal; y á Supernumerario á D. Josef Chela. S. M. se ha servido promover á Sargento mayor del Regimiento de infantería de América al Capitán de granaderos del de Extremadu</t>
  </si>
  <si>
    <t>Torlbio de Cueneo</t>
  </si>
  <si>
    <t>a, y duradera la memoria de este Prelado y padre de sus feligreses. Se desea saber la existencia de D. Torlbio de Cueneo, D. Juan Díaz Cadórmga, Doña Dorotea Delgado, D. Mateo Gaspar Leonesi y Josef Lobrado, ó sus herederos si hubiesen fallecido, para entregar á cada uno cierta cantidad que le perte</t>
  </si>
  <si>
    <t>Torquat</t>
  </si>
  <si>
    <t>logía, deletreo, silabar, leer con sentido, escribir por reglas, observando el método que establece D. Torquat» Torio de la Riba, doctrina cristiana, aritmética y lengua vascongada, por ser vulgar del país; y aunque no es circunstancia previa, se desea que los pretendientes esten instruido</t>
  </si>
  <si>
    <t>Torquata Antonio Collado</t>
  </si>
  <si>
    <t>literaria la conclusión de los progresos de Jos descubrimientos marítimos. Por providencia del Sr. D. Torquata Antonio Collado, Teniente Corregidor de esta villa, y Juez de la testamentaría de D. Francisco Sostre, vecino que fué de la villa de Herencia, en virtud de comisión especial del Real y Supremo Co</t>
  </si>
  <si>
    <t>Torquato An</t>
  </si>
  <si>
    <t>,274 rs., y está hecha postura en' 70®, los 40© en metálico, y el resto en vales, acuda ante el Sr. D. Torquato An- tonio Collado, Teniente Corregidor de esta villa, y escribanía del número de Don Francisco Jares Maldonado. Variedades de ciencias, literatura y artes , núm. 6.®, qué corrésponde</t>
  </si>
  <si>
    <t>Torquato Antonio</t>
  </si>
  <si>
    <t>i señalado el dfo T4 del corriente, de doce á una de sii manarla, en la audiencia del -Sr. Teniente D. Torquato Antonio: Collado; ante el Escribano del número D, Ramón García Ximenez., Por la audiencia del Sr. D. TorquatoAntonio, Collado, Teniente Corregidor de esta villa,, y escribanía del número</t>
  </si>
  <si>
    <t>Torquato Antonío Coliado</t>
  </si>
  <si>
    <t>obre la imposibilidad del sistema de la significación de Jas létras&gt;)áílabas:y: voces.*: Por el $r¿ D. Torquato Antonío Coliado, del Consejo de S. M., Teniente Corregidor de .esta villa, Juez Comisionado por la Real Cámara para entender en la enagenaclon de fincas, que. por .menor se expresaron en aviso in</t>
  </si>
  <si>
    <t>Torquato Antonio Collado</t>
  </si>
  <si>
    <t>ostura á dichas fincas, acuda ante dicho Señor Alcaide y citada escribanía. Por providencia del Sr. D. Torquato Antonio Collado, del Consejo de S. M., Teniente Corregidor de esta villa, de 21 del corriente, se han mandado publicar nuevamente con Real facultad, por término de 15 dias, y señaládose para su r</t>
  </si>
  <si>
    <t>ciales de sitio, tasado todo en 481,415 rs. 25 mrs. Quien quisiere hacer postura, acuda ante el Sr. D. Torquato Antonio Collado, del Consejo de S. M., Teniente Corregidor de esta villa, por la escribanía de su número, que exerce Don Juan de Répide. Se vende á voluntad de su dueño una casa , sita en el Real</t>
  </si>
  <si>
    <t>ana, ante el re-r ferido Sr. Alcalde y escribanía de provincia de Noriega. Por la audiencia del Sr. D. Torquato Antonio Collado, Teniente Corregidor de esta villa, y escribanía del número de D. Pedro de Azconaga Caballero, está pendiente la testamentaría abintestato, "formada con motivo del fallecimiento d</t>
  </si>
  <si>
    <t>del establecimiento de sordo-mudos, debe leerse D. Juan Loftus y Bazan. - A virtud de auto del Sr. D. Torquato Antonio Collado, del Consejo de S.M., Teniente Corregidor de esta villa, se cita y emplaza á los acreedores de la testamentaría del Sr. D. Diego López Perella, para que comparezcan en el juzgado</t>
  </si>
  <si>
    <t>eneral de dicho Real Sitio, por la escribanía principal de éi, en el término de 30 dias. Por el Sr. D. Torquato Antonio Collado, del Consejo de S. M., Teniente Corregidor de esta villa, se cita y emplaza á qualquiera acreedor legítimo,de D. Juan Antonio González de Miranda, vecino y del comercio de esta Co</t>
  </si>
  <si>
    <t>16. Se hallarán en el despacho de la Imprenta Real. A virtud de Real facultad y providencia del Sr. D. Torquato Antonio Collado, del Consejo de S. M., Teniente Corregidor de esta villa, y escribanía del número de D. Tomas de Sancha y Prado, se han mandado sacar á subasta, por término de 30 días, estas finc</t>
  </si>
  <si>
    <t>délas Ordenes Militares, que existe dentro la casa de los Reales Consejos. Por la audiencia del Sr. D. Torquato Antonio Collado, Teniente Corregidor de esta villa, y escribanía del número de D. Gervasio Fernandez Izquierdo, se está subastando una casa sita en la calle de la Cabeza, núm. 12, manz. 9, y está</t>
  </si>
  <si>
    <t>o que Ja tuvieren, y de no hacerlo les parará el perjuicio que haya lugar. Por la audiencia del Sr. D. Torquato Antonio Collado, del Consejo de S. M., Teniente Corregidor de esta villa, y escribanía del número de D. Antonio Fernandez, se ha sacado á subasta, por término de 30 dias, una casa sita en esta Co</t>
  </si>
  <si>
    <t>ro del referido término, ante dicho Sr. Teniente, y escribanía de número de D. Claudio Sanz. El Sr. D. Torquato Antonio Collado, Teniente Corregidor de esta villa, cita, llama y emplaza á los parientes, dentro del quarto grado, de Francisco Montes, vecino que fué de esta Corte, natural del lugar de Santa M</t>
  </si>
  <si>
    <t>te el Escribano de su número D. Claudio Sanz, acuda’ala escribanía ¿e este. Por providencia dei Sr. D. Torquato Antonio Collado, Teniente Corregidor de esta villa, se cita , llama y emplaza á todos los que tengan acción y derecho a los bienes, caudal y efectos que han quedado por fallecimiento intestado de</t>
  </si>
  <si>
    <t>Por providencia del Sr. D. Torquato Antonio Collado, del Consejo de S. M., y Teniente de Corregidor de esta villa, se han mandado sacar á pública subasta, por término de 15 dias, las fincas correspondientes á las memorias fundadas-</t>
  </si>
  <si>
    <t>la referida escribanía propietaria del número de D. Diego Benigno González. Por el juzgado del Sr. D. Torquato Antonio Collado, del Consejo de S. M., Teniente Corregidor de esta villa, y escribanía del número de D. Gervasio Fernandez Izquierdo, se está subastando una Casa sita en esta Corte, calle del Duq</t>
  </si>
  <si>
    <t>el camino viejo, á fin de proveer en lo posible de remedio á este defecto. Por providencias del Sr. D. Torquato Antonio Collado, del Consejo de S. M., Teniente Corregidor de esta villa, executoriadas por,el Supremo Consejo, se han mandado subastar tres casas sitas la una en la calle del Medio Dia grande, n</t>
  </si>
  <si>
    <t>e mtejoíTarla, acuda dentro del término señalado a la referida escribanía. Por la audiencia del Sr. D. Torquato Antonio Collado, del Consejo de S. M.., •Teniente Corregidor de esta villa, y escribanía del número .de D. Gervasio Fernandez Izquierdo, se vende para el pago de 23,179/rs.y que se deben á la Rea</t>
  </si>
  <si>
    <t>Por providencia del Sr. D. Torquato Antonio Collado, del Consejo de S. M. Teniente de Corregidor en esta villa, se ha mandado sacar á pública subasta, por término de 15 dias, una casa situada en la calle del Rosario de esta Corte,</t>
  </si>
  <si>
    <t>l estado de los autos, y le parará el perjuicio que haya lugar por derecho. Por providencia del Sr. D. Torquato Antonio Collado, Teniente Corregidor de esta villa, se cita, llama y emplaza al dueño de 5 cabras, un carnero y una borrega, que halló el pastor Hermenegildo González una tarde de. mediados de Ab</t>
  </si>
  <si>
    <t>atemáticas del Real Seminario de Nobles; y unas noticias sobre los Máratas. Por providencia del Sr. D. Torquato Antonio Collado , del Consejo de S. M., Teniente Corregidor de esta villa, se han mandado publicar nuevamente dos oficios de Receptor, correspondientes á memorias pías, tasadas en rs., y señaládo</t>
  </si>
  <si>
    <t>onde dice la Junta superior gubernativa de Cirugía, debe decir de Medicina. Por providencia del Sr. D. Torquato Antonio Collado, del Consejo de S. M., Teniente Corregidor de esta villa, se ha señalado el dia 31 del presente, de d &gt;ce á una de la mañana, á las puertas de su audiencia, para el remate de dos</t>
  </si>
  <si>
    <t>e S, Simón, núm. 8, manz. 28, tasada en 161,087 rs. Quien quisiere hacer postura, acuda ante el Sr. D. Torquato Antonio Collado, del Consejo de S. M., Teniente Corregidor de esta villa, per la escribanía de su número, que exerce D. Juan de Répide; en inteligencia que dicha postura no se admitirá en ménos d</t>
  </si>
  <si>
    <t>te dicho Señor, por la escribanía del número de D. Ramón de Milla Cuellar. Por providencias del Sr. D. Torquato Antonio Collado , del Consejo de S. M., Teniente Corregidor de esta villa, executoriadas por el Consejo, se han mandado subastar por otros. 30 dias mas, contados desde el 30 de Julio próximo pasa</t>
  </si>
  <si>
    <t>6 del presente, de doce á una de la mañana, se ha de celebrar á las puertas de la audiencia del Sr. D. Torquato Antonio Collado, Teniente Corregidor de esta villa, y por la escribanía de numero de D. Claudio Sanz, el remate de dos Oficios de Receptor unidos y corrientes, de los ciento de número de los Real</t>
  </si>
  <si>
    <t>érmino de 30 dias........................ •* '; ' * Por la audiencia del Sr. U. Torquato Antonio Collado, Teniente Corregidor de esta villa, y escribanía del número de D. Gervasio Fernandez Izquierdo, se está subastándo una c.asá sita en la calle de S. Bérnardc»', barrios de S. Lorenzo, númerp</t>
  </si>
  <si>
    <t>on 1400 estadales, en 2333 rs. 11 mrs. y un tercio. Quien quisiere hacer postura, acuda ante el Sr. D. Torquato Antonio Collado, Teniente Corregidor de esta villa, por la escribanía del número de ella, que exerce D. Juan de Répide. Se desea saber el paradero de Mr. Bpguis, Cirujano que fué de Reales Guardi</t>
  </si>
  <si>
    <t>ra noticia de los comerciantes ó mercaderes que hayan de concurrir á ella. Por la audiencia del Sr. D. Torquato Antonio Collado, del Consejo de S. M., Teniente Corregidor de esta villa, y escribanía del número de D. Gervasio Fernandez Izquierdo, se remató una casa sita en esta Corte, calle de S. Bernardo,</t>
  </si>
  <si>
    <t>io dei íib. 7 J)e causis corruptarun^ artium , del célebre Juan Luis Vives. Por providencia del Sr. D. Torquato Antonio Collado, del Consejo de S. M., Teniente Corregidor detesta villa,y Escribanía de D. Cristóbal de Vicuña, se venden á voluntad de su dueño dos Oficios unidos de Receptor de losReales Conse</t>
  </si>
  <si>
    <t>stura á ellas, acuda ante dicho Señor y citada escribanía. El Sr. Teniente Corregidor de esta villa D. Torquato Antonio Collado ha señalado para el día 26 del presente el remate de dos casas: la una en la calle de San Antón, núm. n, mánz. 328, su sitio 2326 pies, su valor 20,401 rs.; y la otra en la calle</t>
  </si>
  <si>
    <t>a publicación de este aviso, á fin de que comparezcan por sí ó por procurador en el juzgado del Sr. D. Torquato Antonio Collado, del Consejo de S. M., Teniente Corregidor de esta villa, por la escribanía dél número de D. Diego Benigno González, á legitimar sus créditos y usar de su derecho; prevenidos que</t>
  </si>
  <si>
    <t>rán iluminados y en negro en la Calcografía establecida en la Imprenta Real. Por el juzgado del Sr. D. Torquato Antonio Collado, del Consejo de S. M.t Teniente Corregidor de esta villa, y escribanía del número de D. Ramón de Milla y Cuellar, se ha mandado se vuelvan á sacar á pública subasta 3 casas perten</t>
  </si>
  <si>
    <t>el expresado. Sr. Tejiiente; y citada escribanía; ■ f . Por la audiencia del referido Sr. Teniente D. Torquato Antonio Collado, y escribanía del número de D. Gervasio Fernandez Izquierdo, se; están subastando dos casas sitas en esta Corte,-la primera en la calle del Mesón dé Paredes, núm. manz. 13, que ti</t>
  </si>
  <si>
    <t>entregará en Madrid á dicha viuda, ó en Velez Rubio al expresado Taranco. Por la audiencia del Sr. D. Torquato Antonio Collado, Teniente Corregidor de esta villa, y escribanía del número de D. Gervasio Fernandez Izquierdo, se están subastando 2 casas sitas en esta Corte, la primera en la calle de las Huer</t>
  </si>
  <si>
    <t>iere hacer postura, acuda ante dicho Sr. Teniente por la citada escribanía Por la audiencia del Sr. D. Torquato Antonio Collado, Teniente Corregidor de esta villa, y escribanía del número de D. Gervasio Fernandez Izquierdo, se están subastando dos casas sitas en esta Corte, lTprimera en la calle del Mesón</t>
  </si>
  <si>
    <t>re del año pasado de 1803 en 64,100 rs. én vales. - Por la audiencia del Sr. O. Torquato Antonio Collado , Teniente Corregidor de esta villa, y escribanía &lt;iel níiméTO de D. Antonio Fernandez Izquierdo , se han.sacado á pública subasta, por término de 30 dias, tres casas sitas en esta Corte, la</t>
  </si>
  <si>
    <t>banía de L&gt;. Juan Manuel López Fando, que actualmente exerce D. Félix Pico. Por providencia del Sr. D. Torquato Antonio Collado, Teniente Corregidor de esta villa, se ha mandado volver á publicar por 15 días mas la subasta de la casasita en la [calle de Milán eses de esta Corte, que hace esquina y vuelve á</t>
  </si>
  <si>
    <t>e hacer mejora, acuda al referido Sr. Teniente por la citada escribanía. - Por- providencia del Sr. D. Torquato Antonio Collado, Teniente Corregidor de esta villar, y escribanía del número de D. Antonio López de Salazar, se ha señalado el dia 14 del, presente b dé doce i una de su mañana, á las puertas de</t>
  </si>
  <si>
    <t>itoría de Guerra de esta Provincia, y escribanía principal de cargo de D. Felipe de Estepar. El Sr. D. Torquato Antonio Collado, Teniente Corregidor de esta villa , ha señalado por ante D. Félix Pico de Haedo, Escribano de ella, el dia 2 2*del comen-1 te, á hora de las doce y inedia de su mañana, en las pu</t>
  </si>
  <si>
    <t>r mejora acuda en el término de 30 dias contados‘desde el 7 del corriente,por la audiencia. del Sr. D. Torquato Antonio Collado f Teniente Corregidor de ésta villa ,*y escribanía del número de Don G ervasio Fernandez Izquierdo. = Otra en la calle del Baño, núm. 16, manz. 22b, de 50955 pies: está tasada en</t>
  </si>
  <si>
    <t>cho Señor y escribanía que actualmente exerce D. Félix Pico de Haedo. • 'Por ia andieiibiíi del-Sr. D. Torquato Antonio Collado; y escribanía de número de Pvamorr García Ximcnez, está señalado el 23 del corriente para el remate de las fincas qué siguen. Una casa sita en esta Corte, calle del Rubio, núm. 52</t>
  </si>
  <si>
    <t>Torquato Bonilla</t>
  </si>
  <si>
    <t>ientes de granaderos y fusileros del de Guadix al de esta clase D. Fernando Guillen, y Subtenientes D. Torquato Bonilla y D.Juan de Oñate : á Subtenientes de granaderos de los de Monterey y Cuenca áloá de fusileros D. Nicolás Sarmiento y D. Juan Antonio Escalante; y á Subtenientes'de bandera de los de</t>
  </si>
  <si>
    <t>Torquato López</t>
  </si>
  <si>
    <t>13.a Ayud. Torquato López.. Hijo de Manuel y de Manuela de Prado,</t>
  </si>
  <si>
    <t>Torquato Torio de la Riba</t>
  </si>
  <si>
    <t>amón Qnibus, de edad de 7 años, por su adelantamiento en escribir, á mas del premio, con la obra de D. Torquato Torio de la Riba: á Joaquina Esteve con un palillero de plata; y á Antonia Garibaldi,«orno preferente á todas, á mas del premio, con otro igual palillero, que costeó el socio Don Manuel de Velasco</t>
  </si>
  <si>
    <t>TorquatoAntonio</t>
  </si>
  <si>
    <t>o Antonio: Collado; ante el Escribano del número D, Ramón García Ximenez., Por la audiencia del Sr. D. TorquatoAntonio, Collado, Teniente Corregidor de esta villa,, y escribanía del número de D. Gervasio Fernandez Izquierdo, se estan subastando t^es casas sitas en esta Corte; la.una en larcalle de</t>
  </si>
  <si>
    <t>Torquatq Antonio Collado</t>
  </si>
  <si>
    <t>r de Getafe, y vecino de esta Corte, que »e les oirá y administrará justicia. En el juzgado del Sr. D. Torquatq Antonio Collado, del Consejo de S. M.# Teniente Corregidor de esta villa, ante él Escribano del número D. Ja cobo Manuel Manrique está pendiente la testamentaría de D. Carlos María Ridolfi, que f</t>
  </si>
  <si>
    <t>Torra, Juan</t>
  </si>
  <si>
    <t>Juan Torra</t>
  </si>
  <si>
    <t>sto. El Rey se ha servido nombrar para una Canongía de la Catedral de Gerona, vacante por muerte de D. Juan Torra, á D. Antonio Bonet, Dignidad de Capiscol de la Colegial de S. Feliu de la misma ciudad: para otra de la Colegial de Barcelona, vacante por promoción de D. Josef Espinos á otra de</t>
  </si>
  <si>
    <t>Torreani, Cayetano</t>
  </si>
  <si>
    <t>Cayetano Torreani</t>
  </si>
  <si>
    <t>Brigadier D. Luis Marquesi; á Brigadier al Subrigadier D. Joaquín de Arcos; á Subrigadier al Cadete D. Cayetano Torreani; á Cadete de número al Supernumerario D. Josef Chela, y á Supernumerario al Guardia D. Josef Boseli: y en la Flamenca á Exénto Supernumerario al Brigadier D. Gerónimo Knapp; á Bri</t>
  </si>
  <si>
    <t>Torrecilla Valle, Francisco</t>
  </si>
  <si>
    <t>Francisco Torrecilla Valle</t>
  </si>
  <si>
    <t>asta.Observaciones de todo género de oraciones, corregidas y aumentadas en esta sexta impresión por D. Francisco Torrecilla Valle: un tomo en 8°, ¿ 3* rs.:r=: Tratado patológico teórico-práctico de los tumores humorales, arreglado, para instrucción de los alumnos del Real Colegio de Cirugía de Barcelona, por</t>
  </si>
  <si>
    <t>Torregrosa, Antonio</t>
  </si>
  <si>
    <t>Antonio Torregrosa</t>
  </si>
  <si>
    <t>una Ración Penitenciaria*de la Catedral de Roda, en la Diócesi de Lérida, vacante por promoción de D. Antonio Torregrosa á otra de la Parroquial de Bernegal, en la misma Diócesi, á D. Vicente Valdellon : para la Dignidad de Sacristán mayor de la Colegial de Monzon, en dicha. Diócesi, vacante por hab</t>
  </si>
  <si>
    <t>Torres Cónsul</t>
  </si>
  <si>
    <t>doce á una de su mañana, á las puertas de la audiencia del Sr. D. Ma*&gt; miel de Torres Cónsul, Teniente Corregidor de esta villa, ante el Escribano del número D, Claudio Sanz. Quien quisiere hacer postura á una casa sita en la calle ancha y angosta de Ma* jaderitos, núnj. 6, manz. 2</t>
  </si>
  <si>
    <t>Torres y Gómez, Andrés</t>
  </si>
  <si>
    <t>Andrés Torres y Gómez</t>
  </si>
  <si>
    <t>la Iglesia y Obispado de Oviedo, vacante por fallecimiento del limo. Sr. D. Juan de Llano Ponte, á D. Andrés Torres y Gómez, Dean y Canónigo de la de Jaca : para una Ganongía de la Catedral de Toledo, vacante por promoción de D. Pedro Antonio Trevilla al Obispado de Córdoba, á D. Pedro Xavier de Ribero</t>
  </si>
  <si>
    <t>Torres, Manuel Vicente</t>
  </si>
  <si>
    <t>Manuel Vicente Torres</t>
  </si>
  <si>
    <t>el quarto están señalados 30 días, que terminarán en 10 de Octubre próximo. Por providencia del Sr. D. Manuel Vicente Torres, del Consejo de S. M., primer Teniente de Corregidor de esta villa, se ha mandado volver á sacar á pública subasta, por término de 10 días, una casa sita en esta Corte, calle de l</t>
  </si>
  <si>
    <t>que vive plazuela del Conde de Miranda j núm. icf, qtíarto 3 0 interior. / Por procidencia del Sr. D. Manuel Vicente Torres , del Consejo de S. M., primer Teniente Corregidor de esta villa, se ha mandado señalar para el dia 22 del presente el remate dé una casa sita en la calle del.Carmen, núm. 6, manz</t>
  </si>
  <si>
    <t>Torres, Miguel</t>
  </si>
  <si>
    <t>Miguel Torres</t>
  </si>
  <si>
    <t>ado de Teniente, D. Josef Villalobos; y á Alférez en el de húsares V oluntarios al Sargento primero D. Miguel Torres. Por el Ministerio de Hacienda, con fecha de 2 de Octubre de 1784, se ha comunicado á los gefes civiles de América lá Real orden siguiente: ,,El Diccionario de agricultura, escrit</t>
  </si>
  <si>
    <t>Torriol y Álvarez, Antonio</t>
  </si>
  <si>
    <t>Antonio Torriol y Álvarez</t>
  </si>
  <si>
    <t>Cuenca , vacante por ascenso de D. Cipriano Castellano Cabrejano á Canongía de la misma Catedral, á D. Antonio Torriol y Alvarez, Vicario perpetuo de la Parroquia de la Villa de Sueca, Diócesis de Valencia: para una Capellanía de Coro de la Iglesia Primada de Toledo, vacante por fallecimiento de D. Gerónimo</t>
  </si>
  <si>
    <t>Tortilla, Vicente</t>
  </si>
  <si>
    <t>Vicente Tortilla</t>
  </si>
  <si>
    <t>iduos de la Junta y algunos zelosos vecinos; y fueron premiados D. Luis Kicola, D. Miguel Cabellos, D. Vicente Tortilla, D. Ensebio Carda, D. Juan Bautista Cruz, Doña Peregrina Gosalbó, Doña Teresa Lamaneta y Doña Manuela Lamaneta. Después recitáron los niños quatro letrillas en acción de gracias.</t>
  </si>
  <si>
    <t>Tosantos, Agustín</t>
  </si>
  <si>
    <t>Agustín Tosantos</t>
  </si>
  <si>
    <t>l: para la de la Población de Algeciras á D. Josef García Infante: para la de la villa de Fortuna á D. Agustín Tosantos; y para la de la Población de los Barrios , en el Campo de Roque , á £&gt;. Josef Olivas y Desuá. S. Mv ha conferido el empleo de Director del Cuerpo de profesores Médico-Cirujanos d</t>
  </si>
  <si>
    <t>Tosef Juan de Cocon y Azcon</t>
  </si>
  <si>
    <t>e por haber obtenido Don Antonio Rui y Sacases un Beneficio residencial de la Catedral de. Urge!, á D. Tosef Juan de Cocon y Azcon; y para un Beneficio fundado en la capilla de S. Gregorio, hoy de los quatro Mártires, en la. Catedral de. Gerona,, vacante por muerte de D.'Josef Gali &gt; á D.. Antonio Garrofa.. S</t>
  </si>
  <si>
    <t>Tosef Ocio, Juan</t>
  </si>
  <si>
    <t>Juan Tosef Ocio</t>
  </si>
  <si>
    <t>a, se ha servido S. M. promover á Teniente al Alférez D. Francisco Tamiayo; á Alférez al Portaguión D. Juan Tosef Ocio, y á Portaguión á Don Joaquín de Castro, ^ Se previene á los sugetos que quieran ser admitidos en los estudios establecidos en el palacio del Buen-Retiro para los que se destinen</t>
  </si>
  <si>
    <t>Tost, Juan</t>
  </si>
  <si>
    <t>Juan Tost</t>
  </si>
  <si>
    <t>Gerona,, ,, 66. 12. Otro..... Juan Tost................... Jacinto. . . MariaÁngelaGrifoll. Forja, , , , , Tarragona», 66. 12. Pablo Ibañez.Ignacio.... Magdalena, , ; » , Mata</t>
  </si>
  <si>
    <t>Tovar, Ramón</t>
  </si>
  <si>
    <t>Ramón Tovar</t>
  </si>
  <si>
    <t>Joaquín Montenegro, D. Miguel Panes, D. Ramón Cucalón, D. Joaquín de Miguel, D. Cristóbal de Reyna, D. Ramón Tovar y D. Joaquín Crame. El Emo. Sr. D. Luis de Borbon , Cardenal de Scala, y Arzobispo de Toledo, ha dirigido al Excmo. Sr. Príncipe de la Paz el oficio siguiente: ' ,,'Excmo. Señor: Ha s</t>
  </si>
  <si>
    <t>Traggia, Joaquín</t>
  </si>
  <si>
    <t>Joaquín Traggia</t>
  </si>
  <si>
    <t>un discurso histórico sobre el origen y sucesión ¿e) Reyno Pirenayco, hasta O. Sancho el mayor, por D. Joaquín Traggia. acompaña un apéndice de documentos justificativos del referido discurso, que comprehende 42 números. Segundo, nueva demostración sobre la falsedad del privilegio del Rey D. Ramir</t>
  </si>
  <si>
    <t>Traggta, Joaquín</t>
  </si>
  <si>
    <t>Joaquín Traggta</t>
  </si>
  <si>
    <t>3.a Discurso histórico sobre el origen y sucesión del reyno Pirenáyco hasta D. Sancho el Mayor, por D. Joaquín Traggta: 4.a Nueva demostración sobre la falsedad del privilegio del Rey D. Ramiro 1, en el qual se supone haber concedido los votes á la Iglesia de Santiago de Galicia, en seguida de la</t>
  </si>
  <si>
    <t>Traxier, Jorge</t>
  </si>
  <si>
    <t>Jorge Traxier</t>
  </si>
  <si>
    <t>Cabanellas acompaña su escrito cort unas certificaciones de D. Jorge Traxier, Coronel del Regimiento Suizo de su apellido; y por ellas sé acredita que habiéndose iormado extramuros de la plaza de Cartagena un lazareto, donde creyó tendría á su cargo 40 ó 5</t>
  </si>
  <si>
    <t>Trejo, Pedro</t>
  </si>
  <si>
    <t>Pedro Trejo</t>
  </si>
  <si>
    <t>ar para la Abadía de S. Salvador, Dignidad de la Catedral de Palencia, vacante por fallecimiento de D. Pedro Trejo , á D. Ramón Valdes Llanos, con retención de la Canongía que obtiene en la propia Iglesia: para una Canongía dé la Colegial deLorca, en la Diócesi de Cartagena, vacante por muerte</t>
  </si>
  <si>
    <t>ha servido nombrar para la Ración, que en lá Iglesia de Palencia ha resultado vacante por muerte de D. Pedro Trejo, á D. Jo— sefTorba, Capellán del Regimiento de infantería del Rey, en consideración á sus servicios, y conforme al Reglamento de 30 de Enero del año próximo pasado. , í; &gt; ¡ ' ó S</t>
  </si>
  <si>
    <t>Trelles, Francisco Xavier</t>
  </si>
  <si>
    <t>Francisco Xavier Trelles</t>
  </si>
  <si>
    <t>y á Alféreces al Sargento primero D. Josef Miguel Pagan y al Cadete D. Vicente Ramírez de Arellano. Don Francisco Xavier Trelles ha dado cuenta al Excmo. Sr. Generalísimo Príncipe de la Paz, que el dia 21 de Marzo se dexó ver del puerto de Luarca un quechemarin que venia huyendo de un bote Ingles, de donde</t>
  </si>
  <si>
    <t>Trelles, Nicolás</t>
  </si>
  <si>
    <t>Nicolás Trelles</t>
  </si>
  <si>
    <t>de la Parroquia de Gallegos, en el Obispado de Oviedo, vacante por renuncia de D. Miguel Boltri, á D. Nicolás Trelles, Capellán del Real hospital de aquella ciudad;, y para ?elBeneficio rural de Alixar en la Vicaría de S. Lúcar, Arzobispado de Sevilla, vacante por no haber tenido efecto él nombra</t>
  </si>
  <si>
    <t>Trento, Gerónimo</t>
  </si>
  <si>
    <t>Gerónimo Trento</t>
  </si>
  <si>
    <t>ra, y en la de Escribano, calle de las Carretas. Quare&amp;ma, Pláticas morales y Panegirices del Abate D. Gerónimo Trento, traducidos del toscano al español. Estas Oraciones sagradas, por sus grandes y útiles asuntos, por sus animadas y terribles pinturas, por sus muchas y graves sentencias, por su e</t>
  </si>
  <si>
    <t>Trespalacios, Juan Antonio</t>
  </si>
  <si>
    <t>Juan Antonio Trespalacios</t>
  </si>
  <si>
    <t>udios de S. Isidro: para uña Ración de la referida Iglesia de Córdoba, vacante por fallecimiento de D. Juan Antonio Trespalacios, á D. Pedro García Asenjo, Medio Racionero de ella:para el Beneficio de la villa del Barco, en la Diócesi de Avila, vacante por muerte de D. Gil Rodríguez, á D. Salvador García, C</t>
  </si>
  <si>
    <t>Trevilla, Pedro Antonio</t>
  </si>
  <si>
    <t>Pedro Antonio Trevilla</t>
  </si>
  <si>
    <t>ean y Canónigo de la de Jaca : para una Ganongía de la Catedral de Toledo, vacante por promoción de D. Pedro Antonio Trevilla al Obispado de Córdoba, á D. Pedro Xavier de Ribero y la Encina, Canónigo Doctoral de Zamora: para otra de lá Catedral de Cuenca, vacante por fallecimiento de D. Josef Clemente Ar</t>
  </si>
  <si>
    <t>Troncoso, Bernardo</t>
  </si>
  <si>
    <t>Bernardo Troncoso</t>
  </si>
  <si>
    <t>ciudad de Palma, capital del Reyno de Mallorca, de edad de 89 años, 3 meses y 20 días, el Excmo. Sr.D. Bernardo Troncoso, Teniente General de los Reales exercitos, habiendo servido á S. M. por espacio de 74 anos , 6 meses y 24 dias. Empezó su carrera de Cadete en el Regimiento de Galicia en t. de Ju</t>
  </si>
  <si>
    <t>Tronquet, Miguel</t>
  </si>
  <si>
    <t>Miguel Tronquet</t>
  </si>
  <si>
    <t>D. Mariano Alemán, Teniente Coronel agregado al Estado mayor de la plaza de Alicante; á Teniente á Don Miguel Tronquet, Subteniente de la misma; y esta Subtenencia al Sargento, graduado de Subteniente, D. Antonio Rubio. El Rey se ha servido promover en el Regimiento de infantería Suizo de WimpfFen</t>
  </si>
  <si>
    <t>Trotter</t>
  </si>
  <si>
    <t>mpleaba una grande parte de los fondos destinados al servicio público en especulaciones, de las que Mr. Trotter sacaba grandes utilidades , y en las que se acusa á Lord Melville de haber ido á medias con él. Los amigos de Melville le justifican diciendo, que dichas especulaciones no perjudi</t>
  </si>
  <si>
    <t>ste es el caso de ahora. El Lord Melville sabia quando podía subir ó baxar el papel de la marina, y Mr. Trotter obraba según los informes que recibía.... ¿Y se dirá que las operaciones hechas en virtud de estos informes no han causado ninguna pérdida al público ? Yo sostengo que el público</t>
  </si>
  <si>
    <t>ord Melville, á efecto de que restituyesen, si ha lugar, á la nación, así dicho Lord Melville, como Mr. Trotter, los fondos de.la marina que hubiesen invertido en su utilidad. Observó que este proceder era preferible á qualquier otro, porquamo daba á Lord Melville los medios de justificarse</t>
  </si>
  <si>
    <t>en un tiempo-en que el Banco estaba muy apurado en sus operaciones (por los años de 1796 y de 1797) Mr. Trotter sacaba de sucaxa para el servicio de la marina cantidades considerables, que ponía en la casa de su cambista particular: y hubo dia en que entró en poder de Mr. Coutts un millón d</t>
  </si>
  <si>
    <t>Trotter, Alexandro</t>
  </si>
  <si>
    <t>Alexandro Trotter</t>
  </si>
  <si>
    <t>ar que esto es materia de proceso criminal contra Lord Melville. En efecto, resulta del informe que Mr. Alexandro Trotter, Tesorero de Lord Mel vi de, empleaba una grande parte de los fondos destinados al servicio público en especulaciones, de las que Mr. Trotter sacaba grandes utilidades , y en las</t>
  </si>
  <si>
    <t>Trowbribge, Tomás</t>
  </si>
  <si>
    <t>Tomás Trowbribge</t>
  </si>
  <si>
    <t>io que ha venido de Morlaix á Plimouth, no son en lo mas mínimo relativas al cange de prisioneros.” Mr. Tomas Trowbribge ha sido nombrado Comandante general de la India oriental. Las cartas de Bombay anuncian que la esquadra Holandesa mandada po*r el Almirante Hartsinck, y que se compone de 4 á 5 na</t>
  </si>
  <si>
    <t>Trpwbridge, Tomás</t>
  </si>
  <si>
    <t>Tomás Trpwbridge</t>
  </si>
  <si>
    <t>tres Comandantes marítimos en los mares de la India. El primero será Sir Eduardo Pelew, el segundo Sir Tomas Trpwbridge, y el tercero Sir Sidney Smith. El lunes entró el Almirante Cornwallis en Torbay con la esquadra del Canal, compuesta de 19 navios de línea. PARLAMENTO IMPERIAL Cántara de los Com</t>
  </si>
  <si>
    <t>TrubelzkoL Francfort, Príncipe</t>
  </si>
  <si>
    <t>Príncipe TrubelzkoL Francfort</t>
  </si>
  <si>
    <t>uesa de Sagan y el Príncipe de Rohan-Guemené. Dicha Señora ha contraído matrimonio en Dresde con el Príncipe TrubelzkoL Francfort 3 de Agosto. S. A. S. el Elector de Badén ha salido el 30 del pasado de Schwetzin— gen para volverse á Carlsruhe. Por las ultimas cartas de las fronteras de la Turquía hemos sabid</t>
  </si>
  <si>
    <t>Truxillo, Félix</t>
  </si>
  <si>
    <t>Félix Truxillo</t>
  </si>
  <si>
    <t>á los de fusileros D. Josef Galindo y D. Benigno Morales, y á Subtenientes de bandera á los Cadetes D. Félix Truxillo, D. Miguel Paliza y D. Josef Paliza. Para hacer pago á los acreedores de la ocurrencia del Sr. D. Pedro de Astrearena, Marques que fué de Morillo, y en conformidad de lo que acord</t>
  </si>
  <si>
    <t>Truxillo, Pedro</t>
  </si>
  <si>
    <t>Pedro Truxillo</t>
  </si>
  <si>
    <t>tanía general de Castilla la Vieja; y he venido en conlerirla al Mariscal de Campo de mis Exércitos D. Pedro Truxillo, quien cuidará con esmero de no alterar el sistema del país; y he determinado que la jurisdicción civil del referido distrito se reúna á mi Real Audiencia de Oviedo. Tendréislo en</t>
  </si>
  <si>
    <t>Ttom</t>
  </si>
  <si>
    <t>on su atención. Dos de estos papeles son licencias dadas aMu Costanzo por-sus gefés párá acompañarW Mr. Ttom en el.reconocimiento delPóyqüé'és'tá á su cargo. El 3.° es un decretó’de ;S. M. I.yR. sobre ios transportes militares désdé T^rin á Ferrará; ;E1 4.Q esiuna nota de Mr. Bonnefqnt-, s</t>
  </si>
  <si>
    <t>Tuan Antonio Monasterio</t>
  </si>
  <si>
    <t>i: para un Beneficio simple servidero de S. Nicolás de Ubeda, en la de Jaén , vacante por muerte de D Tuan Antonio Monasterio, á D. Rafael Antonio Ortiz de Zarate, con íetencion del de la villa de Arjona; y para el de la Parroquia de Santiago de la ciudad de Huáscar, Reyno de Granada , vacante por promof</t>
  </si>
  <si>
    <t>Tuan Manuel Cabello</t>
  </si>
  <si>
    <t>eces y Portaguiones de este mismo Cuerpo á D. Domingo de Torres, D. Francisco Gutiérrez de la Lama, D. Tuan Manuel Cabello, D. Manuel de la Torre, D. Ignacio Olarte, y D. Diego de Abarca, vecinos de aquella demarcación. Los sugetos que tengan equipages ó efectos de qualquiera clase detenidos en los al</t>
  </si>
  <si>
    <t>Tubil, Manuel Francisco</t>
  </si>
  <si>
    <t>Manuel Francisco Tubil</t>
  </si>
  <si>
    <t>ecimiento de D.. Juan Anselmo Medrano, á D. Josef Xavier de Torres.:;, para la Tesorería que dexa á D. Manuel Francisco Tubil: para su Canongía á: D. Juan. Garcés; y para la. Ración que este, dexará á D.. Tomas Francisco» Casañas, Medio-Racionero mas antiguo:, para una. Ración de la. Catedral de Mérida.</t>
  </si>
  <si>
    <t>Tur, Antonio</t>
  </si>
  <si>
    <t>Antonio Tur</t>
  </si>
  <si>
    <t>id ía Tí: ína zl Capitán D. Lázaro Fernandez, Ayudante de el dd Morro de la misma; y esta resulta a D. Antonio Tur, Teniente del Regimiento de infantería de la propia plaza. En la sacristía de PP. Trinitarios Calzados de esta Corte se tuvo el un. décimo .examen público del estudio de gramática</t>
  </si>
  <si>
    <t>Turreau, General</t>
  </si>
  <si>
    <t>General Turreau</t>
  </si>
  <si>
    <t>1 ■ ■■ ' ESTADOS-UNIDOS DE AMERICA. Nueva-Yorck ¿ de Diciembre de 1804. Ha llegado á Washington el General Turreau» Embaxador de Francia cerca del Gobierno de los Estados-Unidos. Durante su estancia en Annápoiis, donde ha desembarcado, ha recibido muchos obsequios , y todas las muestras de ate</t>
  </si>
  <si>
    <t>ZETA DE MADRID DEL VIERNES 3 DE MAYO DE 180J. ESTADOS-UNIDOS DE AMERICA. Washington jS de Enero. El General Turreau, Ministro Plenipotenciario de S. M. el Emperador de los Franceses cerca de los Estados-Unidos de América, ha llegado á la bahía de Cheseapick, frente de Annápolis, á bordo de la f</t>
  </si>
  <si>
    <t>Twedel</t>
  </si>
  <si>
    <t>han muerto víctimas de enfermedades epidémicas, ó han estado gravemente enfermos. El célebre Ingles Mr. Twedel y el Barón Kenigge han muerto. El General Ruso Sprengporten , el mismo que estuvo en París en calidad de Agente diplomático de Paulo 1, el Americano Smith, y el Coronel Ingles Poller</t>
  </si>
  <si>
    <t>Ulrico' Mayenfisch</t>
  </si>
  <si>
    <t>eniente al Subteniente D. Josef Greser : en el de Traxler á Subtenientes de compañía-y de bandera á D. Ulrico' Mayenfisch y D. Pedro á Marca: en el de Wimpnen á Teniente al Subteniente D. Pedro Debost; á Subteniente de granaderos al de fusileros Don Andrés Bonenzy ; y á Subteniente de bandera ál Cadete D</t>
  </si>
  <si>
    <t>Unzaga, Francisco</t>
  </si>
  <si>
    <t>Francisco Unzaga</t>
  </si>
  <si>
    <t>nuel ElzaurdiJ. En Cuenca............. Sres. viuda de Escolar y Noriega 6 hijo. En Granada......... D. Francisco Unzaga. En Gruadalaxara. D. Isidro García Plaza. En Jaén................ . D. Pedro y D. Juan Esponera. En León..................D. Pedro Gil de Tejada. En Málaga.......... . D. Juan Xim</t>
  </si>
  <si>
    <t>. T&gt;. Manuel Flzaurdi. ’ En Cuenca.Sres. viuda de EsCoIar y Noriegá é hijo. ' Eli Cf'ranada........ D. Francisco Unzaga. En-Quadalaxara. D. Isidro García Plaza. En Jaén............... D. Pedro y D. Juan Esponera. En León......... ...... D. Pedro Gil de Tejada. En Malaga.......... D. Juan Ximeno. En</t>
  </si>
  <si>
    <t>. Manuel Elzaiírdi. j * En Cuenca...... . Sres. viuda de Escolar , Noriega é hijo. En Granada...... D. Francisco Unzaga. ' 1 EnGüadalaxara. D. Isidoro García Plaza. f ’ ' En Jaén... ........... D. Pedro y D. Juán Esponera. En'Leon............... D. Pedro Gil de Tejada. ' En Málaga.......... D. Jtfa</t>
  </si>
  <si>
    <t>Urbano</t>
  </si>
  <si>
    <t>nombrar para una Ración de la Catedral de la Puebla, dé los Angeles , vacante por fallecimiento de D. Urbano j Antonio Diaz de las Cuevas, á D. Pedro josef de Herrera; y para la MediaRación que este dexa á D. Gaspar Mexías, Cura de la Parroquia de Acatzingo, en aquella Diócesi.</t>
  </si>
  <si>
    <t>Urbano, Papa</t>
  </si>
  <si>
    <t>Papa Urbano</t>
  </si>
  <si>
    <t>gorio xr trasladó la silla de S. Pedro de Aviñon á Roma*, en la segunda está la Santa predicando al Papa Urbano vi y Colegio de sagrados Purpurados; yen la tercera se ven quatro de sus discípulos escribir las sentencias que oían á la Santa hallándose en abstracción. Se hallarán en la librer</t>
  </si>
  <si>
    <t>Uri, Luis</t>
  </si>
  <si>
    <t>Luis Uri</t>
  </si>
  <si>
    <t>de la sexta compañía de dicho Cuerpo á D. Toribio Benavides; Portaestandartes en el mismo Cuerpo á D. Luis Uri.be y D= Gregorio Martin Velasco: Capitanes en el Regimiento deMiiicias urbanas de infantería de Moquegua á D. Juan Esteban de Peñalosa y D. Juan Marcos de Angulo: Capitán en el Re</t>
  </si>
  <si>
    <t>Uriarte y Borja, Francisco</t>
  </si>
  <si>
    <t>Francisco Uriarte y Borja</t>
  </si>
  <si>
    <t>rruca., Comandante, muerto en el Nepomuceno: D. Dionisio Alcalá Galiario, id., muerto en el Bahama: D. Francisco Uriarte y Borja, id., herido en el Trinidad: D. Felipe Jado Cagigal, id., herido en el S., Agustín: D. Cayetano Valaés, id., herido en el Neptuno: D. Josef de Vargas Varaez, id., herido en el S.</t>
  </si>
  <si>
    <t>Urias, Martín</t>
  </si>
  <si>
    <t>Martín Urias</t>
  </si>
  <si>
    <t>s id.: D. Luis Moreno id.: D. Rafael de Luna id. Tenientes de Fragata. D. Rafael Bobadilla, muerto; D. Martin Urias id.: D. Pedro Moriano id.: D. Josef Roso id.: D. Manuel Ribera, herido: D. Juan del Busto id.: D. Ignacio del Valle id. Teniente de Bornbarela. D. Juan de Medina, muerto. Alférece</t>
  </si>
  <si>
    <t>Urplas, Conde</t>
  </si>
  <si>
    <t>Conde Urplas</t>
  </si>
  <si>
    <t>del Rey de Suecia en Schonen en presencia de los Ministros de Rusia y de Inglaterra. Dícese que el Conde Urplas ha pasado de Stockolmo á S. Petersburgo para concluir el convenio. Sin embargo, se han dado órdenes á algunas tropas Suecas de marchar hácia Stralsund.” Con fecha de 23 de Julio e</t>
  </si>
  <si>
    <t>Urraca, Blas</t>
  </si>
  <si>
    <t>Blas Urraca</t>
  </si>
  <si>
    <t>M. se ha servido nombrar para una Ración de la Catedral de Sigiienza, vacante por fallecimiento de D. Blas Urraca, á D. JosefFelipe Mangudo: para una Canongía de la Colegial de Antequera, Diócesi de Málaga , vacante por muerte de D. Josef del Rio, á D. Josef López Mañas , Racionero de ella: p</t>
  </si>
  <si>
    <t>Urreta, Juan Bautista</t>
  </si>
  <si>
    <t>Juan Bautista Urreta</t>
  </si>
  <si>
    <t>á D. Benito de la Reguera; y sencillos á D. Josef Alcayde y Monge, D. Miguel Roxas, D. Rafael Arias,D. Juan Bautista Urreta, D. Francisco Chavez, D. Manuel Almonte, D. Genaro Torres, D.Mariano Ponce, D. Juan Jaén, D. Fernando Rosel, D. Vicente Vivanco y D. Anselmo de Arce; j de Portaestandartes á D. Eu</t>
  </si>
  <si>
    <t>V de Aragón, Alonso</t>
  </si>
  <si>
    <t>Alonso V de Aragón</t>
  </si>
  <si>
    <t>ula en latin, también inédita. = XV. Memorias históricas del mismo Jubileo, por el Capellán del Rey D. Alonso V de Aragón, inéditas.= XVI. Sínodo Diocesano de Valencia, por el B. Juan de Ribera, en Mayo de 15 99. TOMO III. I. Constituciones de D. Cenebruno, Arzobispo de Toledo, extendiendo el número</t>
  </si>
  <si>
    <t>V Juana, Felipe</t>
  </si>
  <si>
    <t>Felipe V Juana</t>
  </si>
  <si>
    <t>, y los sepulcros de los Srcs. Reyes con* quistadores D. Fernando y Doña Isabel, y de sus sucesores D. Felipe V Doña Juana; la vista, planta y corte ó perfiles de la Catedral de Córdoba en la forma que hoy está; planta de la mezquita antigua de la misma ciudad según estaba en tiempo de los Arabes, y a</t>
  </si>
  <si>
    <t>Va'dés, Juan de Dios</t>
  </si>
  <si>
    <t>Juan de Dios Va'dés</t>
  </si>
  <si>
    <t>, D. Matías Aguirre, D. Mariano Llanos, D. Lorenzo Portugal, D. Francisco Gamarra, D. Pedrb Godiel, D. Juan de Dios Va'dés, D. Matías Velazquez, D. Diego Mexía, Don Vicente Bellido y D. Diego Felipe Cevallos; y de Portaguiones á D. Pablo Portugal y Cevallos, D. Martin Pacheco, D. Juan Caracholi y D. J</t>
  </si>
  <si>
    <t>Vabl</t>
  </si>
  <si>
    <t>on. DINAMARCA. (;openhague 8 de lrHtro. ' Toda la Dinamarca se halla inconsolable por la pérdida de Mr. Vabl.. discípulo de Linneo) célebre entre los sabios por sus cOD9cimielltos e. historia natural, y particularmente en botánica. Se hallaba encargad. por el Gobierno de continaar la Flo</t>
  </si>
  <si>
    <t>Vaca, Miguel</t>
  </si>
  <si>
    <t>Miguel Vaca</t>
  </si>
  <si>
    <t>uan Vázquez y D. Josef Puertolas; y Ayundantía en el de la Corona al Teniente, graduado de Capitán, D. Miguel Vaca. El Rey se ha servido nombrar Subtenientes del Real Cuerpo de Ingenieros del Exército á los de igual clase de los Regimientos de infantería que siguen : D. Pedro Hermosilia del de</t>
  </si>
  <si>
    <t>Vaibuena, Andrés</t>
  </si>
  <si>
    <t>Andrés Vaibuena</t>
  </si>
  <si>
    <t>y á los Subtenientes D. Francisco de Oberto y D. Bartolomé Cordero; y de Subtenientes á los Cadetes D. Andrés Vaibuena , D. Josef de Cangas y D. Lorenzo de Cangas. El Teniente de Navio D. Manuel Moscoso Peñaranda ha dad© cuenta al Excmo. Sr. Generalísimo Príncipe de ja Paz del combate que sostuvo</t>
  </si>
  <si>
    <t>Val, Francisco</t>
  </si>
  <si>
    <t>Francisco Val</t>
  </si>
  <si>
    <t>por promoción de D. Francisco Ventura de Castro y Villegas al Deanato de ella, y renuncia que hizo D. Francisco Val verde, á quien nombró por decreto de 11 de Diciembre dei año pasado de 1803, á D. Santiago Luis Caxide: para una Media Ración de la de Sigüenza, vacante por premoción de D. Santia</t>
  </si>
  <si>
    <t>Valaés, Cayetano</t>
  </si>
  <si>
    <t>Cayetano Valaés</t>
  </si>
  <si>
    <t>Uriarte y Borja, id., herido en el Trinidad: D. Felipe Jado Cagigal, id., herido en el S., Agustín: D. Cayetano Valaés, id., herido en el Neptuno: D. Josef de Vargas Varaez, id., herido en el S. Ildefonso. Capitanes de Navio. D. Francisco de Alcedo y Bustamante, Comandante, muerto en el Montañés:</t>
  </si>
  <si>
    <t>Valcárcel, Gregorio</t>
  </si>
  <si>
    <t>Gregorio Valcárcel</t>
  </si>
  <si>
    <t>ra'rtin'Ber&gt;eíieio déTla villa de Hellin, en el Obispado de Cartagena, vacante por fállecimiento de D. Gregorio Valcárcel, á D. Pablo Hüéi‘tos: para el Beneficio simple servidero de . Santa María de la Cuesta del lugar, de Vezdeinarbah , Diócesi de Zamora, vacante por muerte de Don Francisco Alfageme</t>
  </si>
  <si>
    <t>io Préstamo del lugar de Romangordo y sus anexos, en la de Plasencia , vacante por fallecimiento de D. Gregorio Valcárcel, á D. Josef Estelrich, primer Sacristán de la Real Capilla: para el Beneficio servidero del lugar de Aspariegos, en la de Zamora, vacante por muerte de D. Jacobo Ibañez, á D. Vice</t>
  </si>
  <si>
    <t>Valcazar, Ana</t>
  </si>
  <si>
    <t>Ana Valcazar</t>
  </si>
  <si>
    <t>n 11 de Diciembre de 1803, nombrando por herederos á los parientes mas inmediatos de su difunta tia Doña Ana Valcazar, natural que fué de la villa de Loeches, en este Arzobispado; y siendo de este número los hijos, que tal vei existan, de Juana Valcazar, nacida en Loeches en i.° de Diciembre de 1</t>
  </si>
  <si>
    <t>Valdellon, Vicente</t>
  </si>
  <si>
    <t>Vicente Valdellon</t>
  </si>
  <si>
    <t>por promoción de D. Antonio Torregrosa á otra de la Parroquial de Bernegal, en la misma Diócesi, á D. Vicente Valdellon : para la Dignidad de Sacristán mayor de la Colegial de Monzon, en dicha. Diócesi, vacante por haber obtenido Don Antonio Rui y Sacases un Beneficio residencial de la Catedral de.</t>
  </si>
  <si>
    <t>Valdes Llanos, Ramón</t>
  </si>
  <si>
    <t>Ramón Valdes Llanos</t>
  </si>
  <si>
    <t>e S. Salvador, Dignidad de la Catedral de Palencia, vacante por fallecimiento de D. Pedro Trejo , á D. Ramón Valdes Llanos, con retención de la Canongía que obtiene en la propia Iglesia: para una Canongía dé la Colegial deLorca, en la Diócesi de Cartagena, vacante por muerte de D. Lorenzo Ximenez Ruiz</t>
  </si>
  <si>
    <t>Valdés, Cayetano</t>
  </si>
  <si>
    <t>Cayetano Valdés</t>
  </si>
  <si>
    <t>costa del Puerto de Santa María á los navios Asís y Neptuno en la noche del día 23.__ El Brigadier D. Cayetano Valdés , Comandante del Neptuno , se halla gravemente herido de resultas de tres balazos que recibió en la acción, é igualmente lo está el Teniente General D. Ignacio María de Alava, que</t>
  </si>
  <si>
    <t>Valdes, Francisco</t>
  </si>
  <si>
    <t>Francisco Valdes</t>
  </si>
  <si>
    <t>Id. id. Francisco Valdes. Hijo de Pedro y de Josefa García , na­</t>
  </si>
  <si>
    <t>Valdes, Juan Gerónimo</t>
  </si>
  <si>
    <t>Juan Gerónimo Valdes</t>
  </si>
  <si>
    <t>anónigo Magistral de ella: para una Radon de la Metropolitana de Lima, vacante por fallecimiento de D. Juan Gerónimo Valdes, á D. Josef Mariano Cardona; y para la Media-Ración que dexa á D. Manuel de San» tibañez,Cura en dicha ciudad; y para otra Media-Ración de la Catedral de la Puebla de los Angeles,</t>
  </si>
  <si>
    <t>Valdés, Rafael</t>
  </si>
  <si>
    <t>Rafael Valdés</t>
  </si>
  <si>
    <t>érez D. Vicente San Román: empleos de Alférez en los del Infante y Alcántara á los Portaestandartes D. Rafael Valdés y D. Josef García: Ayudantía en el de Montesa al Teniente, graduado de Capitán, D. Juan Monteagudo; y empleo de Portaestandarte al Sargento primero, graduado de Alférez, D.Juan de Pue</t>
  </si>
  <si>
    <t>Valdiri Sorallcs</t>
  </si>
  <si>
    <t>se «ieuen los ;» tos de testamentaría formados con motivo del fallecimiento de Valdiri Sorallcs, natural que parece fué de la ciudad de Barcelona, y de estado casado con Antonia, cuyo apellido se ignora, y de su matrimonio tenia una hija, las quales se cree residían en esta villa de</t>
  </si>
  <si>
    <t>Valdivieso, Pedro María</t>
  </si>
  <si>
    <t>Pedro María Valdivieso</t>
  </si>
  <si>
    <t>tes de granaderos D. Manuel Aysa y D. Josef del Campo;y Subtenencias en el de Guadalaxara al Cadete D. Pedro María Valdivieso: en el de Valencia al Cadete del Batallón de Voluntarios de Campomayor D. Francisco Satue, ai Sargento primero del mismo Regimiento D. Francisco de la Mata, á los Cadetes de los d</t>
  </si>
  <si>
    <t>Valdo</t>
  </si>
  <si>
    <t>a ante el Sr, Alcalde de Casa y Corte D. Ramón Navarro Pingarron, por la escribanía de provincia de D. Valdo* mero Moraleda. A voluntad de sus dueños se vende una casa sita en esta Corte, calle del Ave María, que vuelve á la de S, Simón, núm. 8, manz. 28, tasada en 161,087 rs. Quien quis</t>
  </si>
  <si>
    <t>Valdomerb</t>
  </si>
  <si>
    <t>ro Pingarron, del Consejo de S. M., y Alcalde de su Real Casa y Corte, y escribanía de provincia de D. Valdomerb. Moraleda, se ha señalado nuevamente el dia 15 del corriente para el remate de una casa sita en la calle de Calatrava á la de Ja Paloma, núm. 21, manz. 109, tasada en 2 5.0,364 rs</t>
  </si>
  <si>
    <t>Valdomero Mora</t>
  </si>
  <si>
    <t>ante el Sr. Alcalde de Casa v Corte P. Ramón Navarro Pingarron, y por la escribanía de provincia de D Valdomero Mora leda. a Se venden 2 tierras ert término del lugar de Vícálbaro, donde dicen 3a Cuesta de Lansa, la una con 3 fanegas y 24 estadales, tasada en 2794 rs., y la otra ccn 7 celemines,</t>
  </si>
  <si>
    <t>Valdomero Moraleda</t>
  </si>
  <si>
    <t>para que en el término de 8 días comparezcan ante dicho Señor, y por la escribanía de provincia de D. Valdomero Moraleda, á designar, con la legitimidad correspondiente, los reloxes que les pertenezcan; contándose dicho término desde el 24 del corriente. == Por el mismo Señor y citada escribanía se</t>
  </si>
  <si>
    <t>rro Pingarron, del Consejo de S. M., Alcalde de su Real Casa y Corte,, y escribanía de provincia de D. Valdomero Moraleda, se ha mandado sacar á-pública subasta, por término de 30 días contados desde e! 13 del corriente, una casa sita en la calle dei Escorial, esquina á la de la Madera alta, núms. 14</t>
  </si>
  <si>
    <t>ingarron, del Consejo de S. M., Alcalde de su Real Casa y Corte, y por la escribmía de provincia de D. Valdomero Moraleda, se ha señalado el dia 24 del corriente, en la audiencia de S. S., para los remates de dos casas sitas en esta Corte, calles de Francos y S. Agustín, barrios de Jesús: la primera,</t>
  </si>
  <si>
    <t>Valence</t>
  </si>
  <si>
    <t>r, Presidente del Colegio del Droma; á Mr. Papin, Presidente de la Asamblea del Cantón de Aire; y á Mr. Valence, Presidente del Cantón de Verry. También ha nombrado varias Damas de la Emperatriz, Gentrleshombres de Cámara y Gobernadores de los palacios Imperiales. El i.® de Febrero se prese</t>
  </si>
  <si>
    <t>Valentín Alegre</t>
  </si>
  <si>
    <t>e granaderos, graduado de Capitán, Don Francisco Diaz Galazo: Tenencia al Subteniente de granaderos D. Valentín Alegre ; y Subtenencias de bandera en el mismo al Cadete D. Manuel Miranda: en el de Zaragoza á los Cadetes de los de Burgos y Ordenes Militares D. Domingo Galludo y D. Felipe Santiago Z</t>
  </si>
  <si>
    <t>Valentín de la Cruz, Juan</t>
  </si>
  <si>
    <t>Juan Valentín de la Cruz</t>
  </si>
  <si>
    <t>cia, se manda á D Josef Subirats, Mosen Josef Soler, D. Vicente Ibarra, Dr. D. Pedro Juan Climent y D. Juan Valentín de la Cruz que comparezcan ante su Señoría á deducir el derecho que Ies competa en razón del .turno, colación y posesión de los respectivos Beneficios, déntió-jdeFtérmino'd£ 30-días, que emp</t>
  </si>
  <si>
    <t>Valentín Moreno, Manuel</t>
  </si>
  <si>
    <t>Manuel Valentín Moreno</t>
  </si>
  <si>
    <t>14. IJ. id. Manuel Valentín, Moreno.............S ció, natural de Agamilo de Cameros, Obispado de Calahorra....................... 270 I. 13.’ id. Juan</t>
  </si>
  <si>
    <t>Valentín Murugarrem, Bernardo</t>
  </si>
  <si>
    <t>Bernardo Valentín Murugarrem</t>
  </si>
  <si>
    <t>ministrador general.de*lg Real;Lotería, y en Tudela á D. Josef Tarazona , Oficial del Correo. »■:. *D. Bernardo Valentín Murugarrem* quei fué vecino y del comeréio Je la Pue-. bla de los Angeles, én el Reyno de México, ó sus herederos, si hubiese fallecido, conseguirán demostrar su derecho,, y con él los 'mas</t>
  </si>
  <si>
    <t>Valentín Rubio</t>
  </si>
  <si>
    <t>D. Pascual Rovira; y Subtenencia de bandera en el de la Princesa al Sargento primero de granaderos D. Valentín Rubio. El Rey se ha servido conceder por gracia particular á D. Antonio Sánchez Mondragon, Capitán del Regimiento Provincial de Guadix, Tenencia en el de infantería de Zamora y y Subten</t>
  </si>
  <si>
    <t>Valentín Toro</t>
  </si>
  <si>
    <t>ilva y Laguado, D. Manuel de la Barrera, D. Mariano Murguía, D. Ramón Paredes, D. Mariano Figueroa, D. Valentín Toro y D. Juan Valenzuela; empleo de Alférez de granaderos á D. Carlos Velarde; y sencillos á D. Mariano Mollinedo, D. Manuel Yañez Montenegro, D. Pedro Vicira Escovedo, D. Melchor de Sala</t>
  </si>
  <si>
    <t>Valenzuela, Juan</t>
  </si>
  <si>
    <t>Juan Valenzuela</t>
  </si>
  <si>
    <t>, D. Manuel Calvo, D. Antonio Arguero, D. Mariano Bustamante, D» Manuel García, D. Pedro Iraciburu, D. Juan Valenzuela, Don Silvestre de Arpe y D. Juan de Dios Fonce; empleo de Alférez de carabi</t>
  </si>
  <si>
    <t>Valer, Agustín</t>
  </si>
  <si>
    <t>Agustín Valer</t>
  </si>
  <si>
    <t>: Subtenientes en dicho Cuerpo á Don Francisco Vidad , D. Manuel Concha, D. Josef Antonio la Cueva, Don Agustín Valer, D. Manuel Perez, D. Francisco Vargas, D. Narciso del Barrio y D. Bartolomé Aguirre: Capítan de carabineros del Regimiento de caballería de Milicias urbanas de loa á D. Juan Garcí</t>
  </si>
  <si>
    <t>Valer, Manuel</t>
  </si>
  <si>
    <t>Manuel Valer</t>
  </si>
  <si>
    <t>ción de la Catedral de Sto.:pommgo de la Calzada, vacante por fallecimiento de D. Ignacio Cerezo, a D. Manuel Valer,Cura de a villa de Fuentes de Magaña, en aquella Diócesi: para un Beneficio simple servidero de S. Nicolás de Ubeda, en la de Jaén , vacante por muerte de D Tuan Antonio Monasteri</t>
  </si>
  <si>
    <t>Valeriano Subow, General</t>
  </si>
  <si>
    <t>General Valeriano Subow</t>
  </si>
  <si>
    <t>I. una Iglesia dedicada á San Valeriano Mártir, cerca del sitio en que está enterrado su hermano el General Valeriano Subow. Piensan construir en las inmediaciones de la Iglesia una casa, en la qual se han de mantener 4 Oficiales y 26 soldados inválidos, para cuya manutención anual han señalado la cant</t>
  </si>
  <si>
    <t>Valerio de la Vieja, Juan</t>
  </si>
  <si>
    <t>Juan Valerio de la Vieja</t>
  </si>
  <si>
    <t>Sánchez, al sitio del Paraíso, de una fan. y 4 cel., en 1200 rs. Otras seis de la memoria del Lie. D. Juan Valerio de la Vieja, la una en Vaciatroxes, de 3 fan. y 5 cel., en 2391 rs. 20 mrs.: otra en dicho sitio, de y\ cel., en 375 rs.: otra al camino viejo de la Vega, de una fan., en 90o rs.: otra al cam</t>
  </si>
  <si>
    <t>en Valdeserrano, de una fan. y 7$ cel., en 1218 rs. 25 mrs. Otras 7 tierras de la memoria del Lie. D. Juan Valerio de la Vieja: la una enVaciatroxes, de 3 fam y &lt;3 cel., tasada en 2391 rs. a o mrs;;: Otra en dicho sitió, de 7^ cel., en.3754-5.otra camino viejó, é la vega, de una fa*nega, en 900 rs.: otra</t>
  </si>
  <si>
    <t>Valerio Gareau</t>
  </si>
  <si>
    <t>ente al Sargento primero D. Josef Forster: en el de Traxler á Subtenientes á los Sargentos primeros D. Valerio Gareau y D. Aloysió Schaiber , y al Cadete Josef Antonio Cristen. Ei Rey ha conferido Compañía en el Regimiento de dragones de Numancia á D. Josef Muzquiz, Cadete de la Compañía Americana de</t>
  </si>
  <si>
    <t>Valí, Francisco</t>
  </si>
  <si>
    <t>Francisco Valí</t>
  </si>
  <si>
    <t>66. 12- Cabo....Francisco Valí.............Ludan. . . Francisca Altimira. San Quirch , Manresa , , 132. 24. Juan Miratglé............ Salvador. . Teresa N. , , , , Salonio , , ,, Tarragona , 6</t>
  </si>
  <si>
    <t>Valiñani, Pablo</t>
  </si>
  <si>
    <t>Pablo Valiñani</t>
  </si>
  <si>
    <t>nte, graduado de Capitán, D. Josef Carrillo: Tenencia en el de Ñapóles al Subteniente de granaderos D. Pablo Valiñani; y Subtenencia.de bandera en el desamora al Capitán de las Milicias urbanas del Campo deGibraltar D. Nicolás Rendon, y en el de Granada al Sargento primero D. Domingo Deigras. El</t>
  </si>
  <si>
    <t>Valladares, Gerónimo</t>
  </si>
  <si>
    <t>Gerónimo Valladares</t>
  </si>
  <si>
    <t>en los de Sevilla, Segoyia, Valladolid, Truxillo y Ronda, Tenencias de fusileros á los Subtenientes D. Gerónimo Valladares, D. Estéban Pastor, Don Santos Rábago, D. Josef Martinez Henao, y al Teniente agregado Don Ignacio Simó: en el de Lorca la Subtenencia de granaderos al Subteniente de fusileros D.</t>
  </si>
  <si>
    <t>Valldosera, Rafael</t>
  </si>
  <si>
    <t>Rafael Valldosera</t>
  </si>
  <si>
    <t>naderos; y á Capitán segundo en el segundo batallón de Voluntarios de Barcelona al segundo Ayudante D. Rafael Valldosera. El Rey se ha servido conferir en el Regimiento de infantería de León Compañía al Teniente, graduado de Capitán, D. Joaquín Villanueva; y en el de Málaga Subtenencias de bandera á</t>
  </si>
  <si>
    <t>Valleciilas, Manuel Santiago</t>
  </si>
  <si>
    <t>Manuel Santiago Valleciilas</t>
  </si>
  <si>
    <t>ha nombrado S. M. para el empleo de Teniente letrado y Auditor de Guerra del Gobierno de Popayan á D. Manuel Santiago Valleciilas, actual Corregidor de Mariquita. También ha nombrado el Rey para la plaza de Oficial quarto de la Secretaría del Consejo y Cámara de Indias , correspondiente á la negociación de N</t>
  </si>
  <si>
    <t>Valois, Pedro</t>
  </si>
  <si>
    <t>Pedro Valois</t>
  </si>
  <si>
    <t>tes enfermedades, la vacuna los ha mejorado de constituí cion, y entre ellos asistid á uno, hijo de D. Pedro Valois, vecino y del comercio de Chihuagua, que sufría una diarrea de quatro meses, acompa nada de los graves síntomas de inapetencia y calentura lenta, de la que temiéndose un término m</t>
  </si>
  <si>
    <t>Valterre, Coronel</t>
  </si>
  <si>
    <t>Coronel Valterre</t>
  </si>
  <si>
    <t>a cortado, y en su lugar se puso otro de barcas. El enemigo quiso defender la orilla izquierda ; el Coronel Valterre, del Regimiento 30, saltó de los primeros en- una barca, y pasó el rio. Al tiempo que el General Bisson daba las órdenes para pasar el rio, recibió un balazo en un brazo. . Otra d</t>
  </si>
  <si>
    <t>Van Hoey, General</t>
  </si>
  <si>
    <t>General Van Hoey</t>
  </si>
  <si>
    <t>al qual asistirán los sugetos mas condecorados, el Cuerpo diplomático, y los empleados públicos. El General Van Hoey, Gobernador de la colonia de Guinea, ha salido para su destino. SUIZA. Basilea 24 de Noviembre. El Consejo menor ha creado un Consejo de Estado, que tratará exclusivamente de toda</t>
  </si>
  <si>
    <t>Van-de, Barón</t>
  </si>
  <si>
    <t>Barón Van-de</t>
  </si>
  <si>
    <t>de rogativa general para todos los cultos de esta República; pero no es cierta aquella noticia: el Barón Van-de -Veide , antiguo Obispo de Rearmonda, está encargado de esta función, para cuyo efecto ha venido ai Haya. El Caballero D. Josef de Anduaga, Ministro plenipotenciario de S. M. Cató</t>
  </si>
  <si>
    <t>Van-der-Goes</t>
  </si>
  <si>
    <t>ciones exteriores Mr. Bascha, yen la antecámara por el Secretario de Estado del misino departamento Mr. Van-der-Goes , que</t>
  </si>
  <si>
    <t>Van-derGoes</t>
  </si>
  <si>
    <t>- Constitución, y á principiar sus funciones.’* EL Secretario de Estado de los Negocios extrangeros Mr. Van-derGoes, ha comunicado de oficio á los miembros del Gobierno, que la esT quadra Francesa de Tolon, compuesta de 12 navios de línea y de otros buques de menor porte, se reunió, á la visra</t>
  </si>
  <si>
    <t>Van-Grasveld</t>
  </si>
  <si>
    <t>S. M. Católica, su Enviado extraordinario y Ministro Plenipotenciario cerca del Rey de Prusia; y á Mr. Van-Grasveld, Ministro Plenipotenciario de la República Bátava en la Corte de Portugal. El 23 visitó el Santo Padre la escuela de sordo-mudos. Luego que entró en ella bendixo la nueva capilla,</t>
  </si>
  <si>
    <t>Van-Styrum</t>
  </si>
  <si>
    <t>, en qae se trató de tomar disposiciones para reorganizar el exército. El Presidente de SS. AA. PP. Mr. Van-Styrum dió ayer un gran banquete al Pensionario, á su familia, y á los principales funcionarios del Estado. Se han recibido noticias estos dias en Amsterdam de la esquadra del ALmirante</t>
  </si>
  <si>
    <t>Vancouver, Capitán</t>
  </si>
  <si>
    <t>Capitán Vancouver</t>
  </si>
  <si>
    <t>la isla de Owhyhee, la qual se ha aecho célebre por la muerte trágica del Capitán Cook. En 1790 el Capitán Vancouver sentó en aquella Lia la quilla del primer barco que allí se construyó, y en el dia el</t>
  </si>
  <si>
    <t>Vandamme, General</t>
  </si>
  <si>
    <t>General Vandamme</t>
  </si>
  <si>
    <t>amente. El 6 de Octubre la segunda división del cuerpo de exército del Mariscal Soult, que manda el General Vandamme, ha forzado su marcha: no se ha detenido mas que dos horas en Nordlingen; ha llegado á las 8 de la noche á Donawerth,y apoderádose del puente que defendía el Regimiento de Collore</t>
  </si>
  <si>
    <t>rouet. Ei Mariscal Soult, que mandaba la derecha del.exército, tenia á su izquierda la división del General Vandamme, en el centro la,división del General Saint-Hilaire,y á su derecha la división del General Legrand..__.El Mariscal Davoust estaba destacado sobre la derecha ¿el General Legrand, q</t>
  </si>
  <si>
    <t>Várela, Pedro</t>
  </si>
  <si>
    <t>Pedro Várela</t>
  </si>
  <si>
    <t>Id. id. Pedro Várela......... Hijo de Antonio y de Isabel de Cornide,</t>
  </si>
  <si>
    <t>Vareta, Bernardo</t>
  </si>
  <si>
    <t>Bernardo Vareta</t>
  </si>
  <si>
    <t>bre de 1804.................................. 274 20. 19.a Cabo 2.0 Bernardo Vareta.. natural de la Feligresía y Coto de San­ tiago de Bujan, Arzobispado de San­</t>
  </si>
  <si>
    <t>Várgas Machuca, Francisco</t>
  </si>
  <si>
    <t>Francisco Várgas Machuca</t>
  </si>
  <si>
    <t>mismo mes. Los do9 primeros libros de la Eneida de Virgilio, traducidos en octavas castellanas por D. Francisco Várgas Machuca: un tomo en 4.0 que consta de 254 páginas. Para que el público pueda formar una detenida comparación entre la traducción y el original, este va al frente de aquella. Se hallará en</t>
  </si>
  <si>
    <t>Vargas, Carlos</t>
  </si>
  <si>
    <t>Carlos Vargas</t>
  </si>
  <si>
    <t>s en el Regimiento de Milicias urbanas de infantería de Calca á D. Josef García, L). Vicente Rosas, D. Carlos Vargas, D. Tomas Zuñiga, D. Bernardo García y D. Eugenio Costilla: Subtenientes en dicho Cuerpo á Don Francisco Vidad , D. Manuel Concha, D. Josef Antonio la Cueva, Don Agustín Valer, D.</t>
  </si>
  <si>
    <t>Vargas, Francisco</t>
  </si>
  <si>
    <t>Francisco Vargas</t>
  </si>
  <si>
    <t>Francisco Vidad , D. Manuel Concha, D. Josef Antonio la Cueva, Don Agustín Valer, D. Manuel Perez, D. Francisco Vargas, D. Narciso del Barrio y D. Bartolomé Aguirre: Capítan de carabineros del Regimiento de caballería de Milicias urbanas de loa á D. Juan García Lobera; Capitán de la sexta compañía</t>
  </si>
  <si>
    <t>Vasallo, Domingo</t>
  </si>
  <si>
    <t>Domingo Vasallo</t>
  </si>
  <si>
    <t>movido el Rey á Brigadier al Subrigadier D. Francisco Liberatore : á Subrogad i er al Cadete Garzón D. Domingo Vasallo : á Cadetes de número ai Supernumerario D. Andrés Gómez, y Guardias D. Manuel Peynado y D. Josef Burone; y á Cadete Supernumerario al Guardia D. Juan Gómez. El Rey se ha servido c</t>
  </si>
  <si>
    <t>Vasualdo, Antonio</t>
  </si>
  <si>
    <t>Antonio Vasualdo</t>
  </si>
  <si>
    <t>antarranas, núms. 3,4 y 22, manzanas 23,1 y 513 2 , pertenecientes á la fundación establefeijda por D. Antonio Vasualdo, tasada la del núm." 3 en 190,832. rs., y comprehende 6719^ .pies quadrados superfipialesyla del numr 4,’ámbas deja, manz. 23 2 , en 79,5.44 rs. , y tiene de,sihio i3.974^‘pies qu</t>
  </si>
  <si>
    <t>Vázquez de Mondragon, Francisco</t>
  </si>
  <si>
    <t>Francisco Vázquez de Mondragon</t>
  </si>
  <si>
    <t>tados y cubiertas, y otros varios en la proa, tajamar y codaste. Terrible y del mando del Brigadier D. Francisco Vázquez de Mondragon: todo el velámen está estropeado, y mucha parte de la maniobra; tiene 2 obuses desmontados, y rotas sus cureñas, un balazo á lumbre de agua, y otras averías de menos monta. Améric</t>
  </si>
  <si>
    <t>Vázquez Pagóla, Ramón</t>
  </si>
  <si>
    <t>Ramón Vázquez Pagóla</t>
  </si>
  <si>
    <t>remonte; y á Portaguiones al Cadete D. Martin Josef Pestaña, y al Alférez agregado al propio Cuerpo D. Ramón Vázquez Pagóla. El día 24 de Diciembre del año próximo pasado falleció'en esta Cor</t>
  </si>
  <si>
    <t>Vázquez y Gálan, Francisco</t>
  </si>
  <si>
    <t>Francisco Vázquez y Gálan</t>
  </si>
  <si>
    <t>a; á Tenientes los Subtenientes de granaderos D. Francisco Ribera y D. Juan de Castro Palomino, y á D. Francisco Vázquez y Gálan^ Teniente que fue de Jas Mili</t>
  </si>
  <si>
    <t>Vázquez, Antonio</t>
  </si>
  <si>
    <t>Antonio Vázquez</t>
  </si>
  <si>
    <t>demas del Ecce Homo y Mater Dolorosa, de D. Bartolomé Vázquez, y el Cristo en la cruz, grabado por D. Antonio Vázquez, con otras obras Je los mismos, por dicho estilo de Bartolozi, en las librerías de Ramos, carrera de S. Gerónimo, y en la de Escribano, calle de las Carretas. Tres estampas de la</t>
  </si>
  <si>
    <t>Vázquez, Bartolomé</t>
  </si>
  <si>
    <t>Bartolomé Vázquez</t>
  </si>
  <si>
    <t>es sumamente expresiva y de devoción. Se hillará, con las demas del Ecce Homo y Mater Dolorosa, de D. Bartolomé Vázquez, y el Cristo en la cruz, grabado por D. Antonio Vázquez, con otras obras Je los mismos, por dicho estilo de Bartolozi, en las librerías de Ramos, carrera de S. Gerónimo, y en la d</t>
  </si>
  <si>
    <t>Vázquez, Blas</t>
  </si>
  <si>
    <t>Blas Vázquez</t>
  </si>
  <si>
    <t>á D. Diego María Badíllos. Igualmente ha venido S. M., en atención á la aptitud y circunstancias de D. Blas Vázquez, Abogado de los Reales Consejos, en conferirle el Corregimiento de Letras de la ciudad de Alhama, vacante por ascenso de Don Antonio Minoves á la Vara de Alcalde mayor primero de</t>
  </si>
  <si>
    <t>Vázquez, Francisco</t>
  </si>
  <si>
    <t>Francisco Vázquez</t>
  </si>
  <si>
    <t>opia del Santo Doctor, y la distribuye en los dias de la semana: nueva edición, corregida por ei P. D. Francisco Vázquez, Clérigo Reglar de S. Cayetano: un tomo en;B.°, á 10 rs. en pasta. =Dtrectorio espiritual de los santos Sacramentos de la Confesión y Comunión, y del santo sacrificio de la Misa,</t>
  </si>
  <si>
    <t>oro de Almeyda, de la Congregación del Oratorio de S. Felipe Neri de Lisboa, y traducidos por el P. D. Francisco Vázquez, Prepósito de S. Cayetano, y Lector de Teología. En este libro da á conocer el autor los tesoros de amor divino que tenemos en el Corazón de Jesús, que se nos da en el Santísimo S</t>
  </si>
  <si>
    <t>Vázquez, Francisco Pablo</t>
  </si>
  <si>
    <t>Francisco Pablo Vázquez</t>
  </si>
  <si>
    <t>de Isamendi, Cura de la Iglesia matriz de Salta: para la Lectoral de la de Puebla de los Angeles á D. Francisco Pablo Vázquez, Cura de esta ciudad; y para una Ración de la del Nuevo Rcyno de León, vacante por ascenso de D. Domingo de Ugarte, á D. Juan Francisco de Arce y Rosales, Cura del Obispad© de Dur</t>
  </si>
  <si>
    <t>Vázquez, Juan</t>
  </si>
  <si>
    <t>Juan Vázquez</t>
  </si>
  <si>
    <t>s en los Regimientos de infantería de la Reyna y Guadalaxara á los Ayudantes, graduados de Capitán, Don Juan Vázquez y D. Josef Puertolas; y Ayundantía en el de la Corona al Teniente, graduado de Capitán, D. Miguel Vaca. El Rey se ha servido nombrar Subtenientes del Real Cuerpo de Ingenieros del Exé</t>
  </si>
  <si>
    <t>Vázquez, Ricardo Ramón</t>
  </si>
  <si>
    <t>Ricardo Ramón Vázquez</t>
  </si>
  <si>
    <t>Id. Art, Ricardo Ramon-^ Hijo de Nicolás y de Isabel González</t>
  </si>
  <si>
    <t>Vecina, Sebastián</t>
  </si>
  <si>
    <t>Sebastián Vecina</t>
  </si>
  <si>
    <t>nientes de bandera en los Regimientos de infantería de Saboya y de Córdoba á los Sargentos primeros D. Sebastian Vecina y D. Jacinto Montero, este de granaderos; y á Capitán segundo en el segundo batallón de Voluntarios de Barcelona al segundo Ayudante D. Rafael Valldosera. El Rey se ha servido conferi</t>
  </si>
  <si>
    <t>Vejarano, Pedro</t>
  </si>
  <si>
    <t>Pedro Vejarano</t>
  </si>
  <si>
    <t>á Teniente de granaderos á D. Mariano Lechuga, y de fusileros á los Subtenientes Don Narciso Yabar, D. Pedro Vejarano y D. Pedro la Hermosa; á Subtenientes de fusileros á D. Bernardino Toledo, y á los Sargentos primeros D. Faustino Valdés, D. Mariano Gamboa, D-. Felipe Borbolla, D. Gregorio Fernandez</t>
  </si>
  <si>
    <t>Vejerano, Andrés</t>
  </si>
  <si>
    <t>Andrés Vejerano</t>
  </si>
  <si>
    <t>duado de Coronel, D. Jayme María de Carvajal; Tenencia en dicho Cuerpo al Subteniente de granaderos D. Andrés Vejerano; y en el de Burgos á los Subtenientes D. Josef Talens y D. Antonio Madera, este de granaderos; y Subtenencia de bandera en el de Soria al Cadete D. Josef Golf. El Rey se ha servid</t>
  </si>
  <si>
    <t>Vela y Olmo, Manuel</t>
  </si>
  <si>
    <t>Manuel Vela y Olmo</t>
  </si>
  <si>
    <t>tres primeros tomos. Historia filosófica de lá sociedad humana; traducción postuma del toscano, por D. Manuel Vela y Olmo, Abogado que fijé del Colegio de esta Corte ,1.* y 2 * parte \ un tomo en 8.® mayor, E$ obra muy interesante á toda clase de personas, pues enseña lo que debe ser la vida social ?</t>
  </si>
  <si>
    <t>Vela, Antonio</t>
  </si>
  <si>
    <t>Antonio Vela</t>
  </si>
  <si>
    <t>os de fusileros D. Juan Roldan, y D. Salvador Buergo ; á Tenientes de -fusileros á los Subtenientes D. Antonio Vela, y D. Ramón Aiisoategui, este de granaderos, y á Subteniente de fusileros al Cadete D. Jo-sef Martínez. - • -‘un ) S. M. se ha -dignado -conceder'en el Regimiento de Milicias prov</t>
  </si>
  <si>
    <t>Vela, María</t>
  </si>
  <si>
    <t>María Vela</t>
  </si>
  <si>
    <t>de Arribas, calle de las Carretas, á 2 rs. cada una. Verdadero retrato de la venerable muger fuerte Doña María Vela, Monja Bernarda en el Real Monasterio de Santa Ana de la ciudad de Avila. Murió el dia 24 de Setiembre de 1617, á los 5ó de su edad, siendo los 41 Monja. Se vende á 2 rs* cada est</t>
  </si>
  <si>
    <t>Velarde, Carlos</t>
  </si>
  <si>
    <t>Carlos Velarde</t>
  </si>
  <si>
    <t>edes, D. Mariano Figueroa, D. Valentín Toro y D. Juan Valenzuela; empleo de Alférez de granaderos á D. Carlos Velarde; y sencillos á D. Mariano Mollinedo, D. Manuel Yañez Montenegro, D. Pedro Vicira Escovedo, D. Melchor de Salas Vaidés, D. Narciso Roseiió, Don Pablo Salgüeyro., D. Isidro Miranda,</t>
  </si>
  <si>
    <t>Velarde, Joaquín</t>
  </si>
  <si>
    <t>Joaquín Velarde</t>
  </si>
  <si>
    <t>rpo de Artillería ha promovido S. M. á Capitanes segundos á los Tenientes D. Vicente Ten de Arista, D. Joaquín Velarde, D. Gonzalo Cueto, D. Julián Solana, D. Braulio Henriquez y D. Josef Jalón; y á Tenientes á los Subtenientes D. Luis Mazuelo, D. Antonio Ortiz de Zarate, D. Domingo Antonio Loriga</t>
  </si>
  <si>
    <t>ería se ha servid© S. M* nombrar Ayudante mayor del quinto Regimiento al Capitán segundo del quarto Don Joaquín Velarde; y Capitán segundo del quinto al Tendente D. Manuel González. En los Regimientos de caballería de línea se ha servido el Rey conferir en el de Montesa Compañía al Ayudante, gradua</t>
  </si>
  <si>
    <t>Velazquez, Matías</t>
  </si>
  <si>
    <t>Matías Velazquez</t>
  </si>
  <si>
    <t>Mariano Llanos, D. Lorenzo Portugal, D. Francisco Gamarra, D. Pedrb Godiel, D. Juan de Dios Va'dés, D. Matías Velazquez, D. Diego Mexía, Don Vicente Bellido y D. Diego Felipe Cevallos; y de Portaguiones á D. Pablo Portugal y Cevallos, D. Martin Pacheco, D. Juan Caracholi y D. Juan de Dios Valdés. S</t>
  </si>
  <si>
    <t>Velez de Guevara, Luis</t>
  </si>
  <si>
    <t>Luis Velez de Guevara</t>
  </si>
  <si>
    <t>tillo y Ramos. El Diablo coxuelo, verdades soñadas y novelas de la otra vida, traducidas á esta por D. Luis Velez de Guevara, añadida con 8 enigmas y 2 novelas: la invención de esta obra ha merecido siempre elogio; se vale el autor de diferentes figuras para apartar á los incautos de las falsedades de l</t>
  </si>
  <si>
    <t>Velorado, Carlos</t>
  </si>
  <si>
    <t>Carlos Velorado</t>
  </si>
  <si>
    <t>Teniente de Artillería dé Exército.... D. Miguel Cebriari. Alférez de Artillería de Exército...... D. Cárlos Velorado. Heridos. Capitán del Regimiento de la Corona. D. Timoteo OkifF. Alféreces de la Corona............. ........ D. Mariano González. D. Juan Mendivil. Alférez de Artillería.........</t>
  </si>
  <si>
    <t>Venancio Diez</t>
  </si>
  <si>
    <t>Id. id. . Venancio Diez.... , Hijo de Francisco y de María Guayo,</t>
  </si>
  <si>
    <t>Ventades, Pablo</t>
  </si>
  <si>
    <t>Pablo Ventades</t>
  </si>
  <si>
    <t>on* Antonio Isasi, D; Antonio Cásanos D. Antonio Escalera, Di Mateo Ghar-1 denoux, D. Pedro Argaiz, D. Pablo Ventades, D. Agustín Salazar, Don Juan Pusterla, D. Pedro del Barco, D. Francisco Saravia y D. Manuel Cebi-ian¿ En Iqs Cuerposde Milicias Provinciales ha promovido el Rey á Tenientes, en e</t>
  </si>
  <si>
    <t>Ventara Escalante</t>
  </si>
  <si>
    <t>ría al Teniente General de sus Exércitos D. Ventara Escalante. También se ha servido el Rey promover á Mariscal de Campo de sus Exércitos al Brigadier D. Benito San Juan. El Capitán General del exército y Reyno de Valencia ha dado cuenta al</t>
  </si>
  <si>
    <t>Venturi</t>
  </si>
  <si>
    <t>IZA. Soleure 20 de Enero. El 12 del corriente llegaron aquí Mr. Do verger , Embaxador de Baviefa, y Mr. Venturi, Ministro de la República Italiana. El 13 visitaron ai Land-Ammán , y este les volvió la visita con acompañamiento militar y diplomático.__ El ió al anochecer llegó el Sr. Caamaño</t>
  </si>
  <si>
    <t>Venuti</t>
  </si>
  <si>
    <t>, una obra que represente en pequeño á Pompeya con quanto este parage célebre encierra de singular. Mr. Venuti ha executado ya un modelo semejante de los templos de Pestum , que aprecia mucho la Reyna, y se manifiesta al público en palacio. Nuestra Soberana ha recompensado al autor con una</t>
  </si>
  <si>
    <t>Veraier, General</t>
  </si>
  <si>
    <t>General Veraier</t>
  </si>
  <si>
    <t>to de detener las tropas que podían baxar de ios valles del Adige y de Polisello. Había ordenado al General Veraier, que mandaba á mi derecha la indivisión , que maniobrase con las tropas que la componen y 4 Regimientos de caballería desde Ronco hasta Albaro, para inquietar al enemigo. En el mo</t>
  </si>
  <si>
    <t>Verástegui, Joaquín</t>
  </si>
  <si>
    <t>Joaquín Verástegui</t>
  </si>
  <si>
    <t>nacio Fl'orez , D. Genaro Chaple , D. Jósef María Bermudez,D[. Francisco Goel, D. Ildefonso Pozo; y D. Joaquín Verástegui ; en Geometría1 elemental D. Josef Demblans: en la elemental y práctica D. Antonio Salazar, D. Miguel Horcasitas y D. Pedro Giroud; en Cosmografía y Geografía D. Juan Villapol, y</t>
  </si>
  <si>
    <t>Verdejo Oonzalez, Francisco</t>
  </si>
  <si>
    <t>Francisco Verdejo Oonzalez</t>
  </si>
  <si>
    <t>2 en pergamino. = Compendio de matemáticas puras y mixtas, para la instrucción de la juventud, por D. Francisco Verdejo Oonzalez, Catedrático de Matemáticas de los Reales Estudios de esta Corte: 2 tomos en 4.0, á 65 ss. en pasta. Se hallarán en la librería de Gómez, calle de las Carretas. Historia de los tr</t>
  </si>
  <si>
    <t>Verdier, General</t>
  </si>
  <si>
    <t>General Verdier</t>
  </si>
  <si>
    <t>to que por su izquierda la división del General Seras pasaba el Adige ett Polo, y por la derecha el General Verdier maniobraba desde Ronco hasta Albaro, las divisiones de los Generales Gardanne y Duhesme, desplegándose delante del puente del castillo viejo de Verona, acometiéron á las alturas d</t>
  </si>
  <si>
    <t>Vérhuél</t>
  </si>
  <si>
    <t>e SS. AA. PP. El Vice-Almirante Dewínter parece qué ha pasado de Dunkerque á Boloña, á avocarse con Mr. Vérhuél, Comandante de la flotilla. Se asegura que el hermano de este Comandante, que es un Oficial de mucho mérito y talento , se pondrá al frente de nuestra marina. Por un buque America</t>
  </si>
  <si>
    <t>Verhuel</t>
  </si>
  <si>
    <t>na, lo que se hubiera efectuado á no haberse suspendido esta operación, con motivo de la amencia de Mr. Verhuel.</t>
  </si>
  <si>
    <t>Verhuel, Almirante</t>
  </si>
  <si>
    <t>Almirante Verhuel</t>
  </si>
  <si>
    <t>os en la isla de Valcheren, que se han reunido ya con la esquadrilla que manda en Dunkerque el Vice-Almirante Verhuel___ Han salido de nuestras plazas algunas tropas para ir á bordo de la esquadrilla. ITALIA. 1loma 1.° de Marzo, El Santo Padre,condescendiendo con los deseos de S. M. C., ha confer</t>
  </si>
  <si>
    <t>Vérhüel, Almirante</t>
  </si>
  <si>
    <t>Almirante Vérhüel</t>
  </si>
  <si>
    <t>será un día de ayuno y de oración en acción de gracias generales al Todopoderoso. ' ; '• ■ El Vice-Almirante Vérhüel ha sido nombrado Ministró de la marina Bátava. ; El campo de Zeist está ya ocupado por 3©® hombres; las tropas qué deben completarlo están ya en marcha. Al principio de esta seman</t>
  </si>
  <si>
    <t>o Plenipotenciario de la Corte de Rusia. FRANCIA. Parts 2j de Julio. El combate que ha sostenido el Almirante Verhuel en los dias 17 y 18 del corriente contra los cruceros Ingleses, es sin duda uno de los muchos que hacen tanto honor á este marino Holandés en la serie de su carrera. Insertaremos la</t>
  </si>
  <si>
    <t>Vert, Juan</t>
  </si>
  <si>
    <t>Juan Vert</t>
  </si>
  <si>
    <t>Diócesi de Mallorca, unido con otro de la misma Iglesia, vacante por fallecimiento de D.Juan Bou, á D. Juan Vert: para otro simple fundado en la Parroquial de Santa Eulalia de la ciudad de Palma, de la propia Diócesi, unido con otro de la misma Iglesia, vacante por muerte de D. Matías Pons,</t>
  </si>
  <si>
    <t>Vi, Almirante</t>
  </si>
  <si>
    <t>Almirante Vi</t>
  </si>
  <si>
    <t>ha quedado en París por falta de carruages. El'Ministfo de la Marina ha recibidor pliegos del Vice-Almirante Vi- lleneuve, con fecha de 17 de Mayo, conducidos por la corbeta el Lynx, que llegó ¿ Burdeos el 7 del corriente. Villeneuve da cuenta al Ministro que desde su salida de Tolon, el 30</t>
  </si>
  <si>
    <t>Vial</t>
  </si>
  <si>
    <t>Austria y dé Baviera están ya dé vuelta • en Berna, adonde se; espera también al General y Ministro Mr. Vial dentro de aígunos dias. ITALIA. Milán 4 de Julio, En execucion de las órdenes del Emperador y Rey, el Gran Juez, Ministro dé la Justicia, Mr. Luosi, ha formado tres comisiones: la pr</t>
  </si>
  <si>
    <t>Vial, General</t>
  </si>
  <si>
    <t>General Vial</t>
  </si>
  <si>
    <t>de la Suiza para que no residan en Bellinzona los tribunales superiores del Cantón del Tessino. —El General Vial se halla en Berna, y se cree que 110 irá á Paris, como se había dicho. El Barón de Crumpipen, Ministro Austríaco en Suiza, está encargado de arreglar definitivamente las relacione</t>
  </si>
  <si>
    <t>en,las fronteras donde está el teatro de la guerra, de la qual es imposible prever el paradero. El General Vial ha pasado á Milán, y luego que vuelva á Suiza quedará de Ministro plenipotenciario ¿él Rey de Italia cerca de la Confederación Helvética* '• i .. ■ ? ’ ' Francfort 6de Maym • • ■</t>
  </si>
  <si>
    <t>del Land-Amman tenia su puesto el Consejero de la Legación Francesa Mr. Rouvere ,. en ausencia del General Vial, y á sus lados, estaban el jCaballero Caamaño, Enviado de España., y el Nuncio del Papa. A la izquierda del mismo Land-Amman estaba el Ministro de Ajus.tjri» Mr. Crumpipen, acompa</t>
  </si>
  <si>
    <t>la silla de Mr. Rouyer, Secretario de la Legación Francesa, Encaré gado de Negocios en ausencia del General Vial.’ Los demas Secretarios y acompañantes de cada Legación tuviéron sus asientos en la segunda línea detras del Gefe respectivo de cada Ministerio. Berna 16 de Agosto. El General Via</t>
  </si>
  <si>
    <t>oviembre. Habiendo sabido el General en gefe por diversos informes, y en especial por una carta del General Vial, Embaxador de S. M. I. y R. en Berna, que un cuerpo de.l exéréito Austríaco, que se hallaba cortado en conseqüencia de las maniobras deí exército grande , debía1 baxar de los mont</t>
  </si>
  <si>
    <t>Vialannes, General</t>
  </si>
  <si>
    <t>General Vialannes</t>
  </si>
  <si>
    <t>ndroen las cercanías, si dicho Soberano ratifica él convenio, está también pronto á ratificarlo. El General Vialannes, que manda la caballería del Mariscal Davoust, ha entrado en Presburgo. El General Conde de Palffy ha escrito una carta, á que ha contestado el Mariscal Davoust, y ambas son del t</t>
  </si>
  <si>
    <t>Vice-AImitante Verhuél</t>
  </si>
  <si>
    <t>mandadas por el General Tolftoy. ; Haya / § de Setiembre» ' Ha llegado aquí e! Vice-AImitante Verhuél, Secretario de Estado de Marina, y Ayudante del Emperador de los Franceses,y ha tenido una conférencta ¡con el Secretario de Estado y el Vice-Almisante Dewinter. También ha tenido una audienc</t>
  </si>
  <si>
    <t>Vicedo, Andrés</t>
  </si>
  <si>
    <t>Andrés Vicedo</t>
  </si>
  <si>
    <t>luntarios primero de Barcelona y de Valencia al Sargento primero D. Bart¿ lome Vilardelly al Cadete D. Andrés Vicedo; y en el de Gampomáyor Tenencia al Subteniente D, Vicente Jbañez; y Subtenencia de bandera ai Cadete JD. Manuel, de Mendoza González. El Rey se ha servido conceder Tenencias en le</t>
  </si>
  <si>
    <t>Vicente Agustín</t>
  </si>
  <si>
    <t>é la Colegial deLorca, en la Diócesi de Cartagena, vacante por muerte de D. Lorenzo Ximenez Ruiz, á D. Vicente Agustín, Cura de la Villa de Málaga, en el Arzobispado de Toledo: para el Beneficio de Sta. Eulalia dé la ciudad de Murcia, en dicha Diócesi de Cartagena, vacante por promoción de Don Ant</t>
  </si>
  <si>
    <t>Vicira Escovedo, Pedro</t>
  </si>
  <si>
    <t>Pedro Vicira Escovedo</t>
  </si>
  <si>
    <t>de granaderos á D. Carlos Velarde; y sencillos á D. Mariano Mollinedo, D. Manuel Yañez Montenegro, D. Pedro Vicira Escovedo, D. Melchor de Salas Vaidés, D. Narciso Roseiió, Don Pablo Salgüeyro., D. Isidro Miranda, D. Mariano Sánchez, D. Angel Santa María Perez, D. Santiago Montesinos, D. Nicolás Perale</t>
  </si>
  <si>
    <t>Víctor Bourg</t>
  </si>
  <si>
    <t>Juan Delaris; á Cadete de número- al supernumeraria D. Juan de Macia; y á supernumerario al Guardia D. Víctor Bourg : y eñ Ja Compañía Americana del propio Real Cuerpo ha conferido el empleo de Alférez al Exento D. Francisco Carmona; el de Exento de número al supernumerario D. Francisco Arteaga</t>
  </si>
  <si>
    <t>Víctor Gugger</t>
  </si>
  <si>
    <t>ente de bandera al Cadete D. Notkerp Soldat; y en el de Wimpffen á Subteniente de bandera al Cadete D. Víctor Gugger. V Al Capitán primero del tercer Regimiento del Real Cuerpo de Artillería D. Josef de la Serna se ha servido S. M. conferir la Sargentía mayor del segundo Regimiento del propio Cu</t>
  </si>
  <si>
    <t>Víctor Marina</t>
  </si>
  <si>
    <t>Teniente D. Clemente de Várgas : en el de Toledo la Tenencia de granaderos al Teniente de fusileros D. Víctor Marina: en los de Sevilla, Segoyia, Valladolid, Truxillo y Ronda, Tenencias de fusileros á los Subtenientes D. Gerónimo Valladares, D. Estéban Pastor, Don Santos Rábago, D. Josef Martine</t>
  </si>
  <si>
    <t>Víctor Wirtz</t>
  </si>
  <si>
    <t>ería de Saboya: á Teniente Coronel del de infantería Suizo de Wimpffen al Capitán primero del mismo D. Víctor Wirtz, graduado de Teniente Coronel: á Teniente en el de Ruttiman al Subteniente de granaderos D. Josef Fariola: á Capitanes segundos en el de Traxler al Ayudante, graduado de Capitán,</t>
  </si>
  <si>
    <t>Víctor, General</t>
  </si>
  <si>
    <t>General Víctor</t>
  </si>
  <si>
    <t>neda que se acuñaba en Ginebra quando era República.—_En otro del 20 Mr. Francisco Beauharnais y el General Víctor han sido nombrados Ministros : el primero cerca de S. M. el Rey de Etruria, y el segundo en Dinamarca. El dia 24 hubo una audiencia diplomática, en la que varios Ministros de las</t>
  </si>
  <si>
    <t>Victorian de Villaba</t>
  </si>
  <si>
    <t>68 Lecciones de comercio, ó bien de economía civil, del Abate Antonio Genovesi, traducidas por D. Victorian de Villaba :■ segunda .edición : 3 tomos en 4.0 La buena acogida que mereció al público esta obra, y el haberse hecho tan raros •los cxemplares de ella , son los motivos que han dado lugar á</t>
  </si>
  <si>
    <t>Vidad, Francisco</t>
  </si>
  <si>
    <t>Francisco Vidad</t>
  </si>
  <si>
    <t>s Vargas, D. Tomas Zuñiga, D. Bernardo García y D. Eugenio Costilla: Subtenientes en dicho Cuerpo á Don Francisco Vidad , D. Manuel Concha, D. Josef Antonio la Cueva, Don Agustín Valer, D. Manuel Perez, D. Francisco Vargas, D. Narciso del Barrio y D. Bartolomé Aguirre: Capítan de carabineros del Re</t>
  </si>
  <si>
    <t>Vidal, Domingo</t>
  </si>
  <si>
    <t>Domingo Vidal</t>
  </si>
  <si>
    <t>s, arreglado, para instrucción de los alumnos del Real Colegio de Cirugía de Barcelona, por el Lie. D. Domingo Vidal: 3.a impresión: 2 tomos en uno en 8.°, á 14 rs. en pasta y 1 2 en pergamino. = Compendio de matemáticas puras y mixtas, para la instrucción de la juventud, por D. Francisco Verdej</t>
  </si>
  <si>
    <t>Vidal, Francisco</t>
  </si>
  <si>
    <t>Francisco Vidal</t>
  </si>
  <si>
    <t>66. 12» Francisco Vidal......... Antonio... Teresa Mabar. . .. Juncadella, , Manresa , , 66; 12» Agustín Viladas. . . . Salvador... Maria Serrá, , , ,, Cardona,,,,</t>
  </si>
  <si>
    <t>Vidal, Lorenzo</t>
  </si>
  <si>
    <t>Lorenzo Vidal</t>
  </si>
  <si>
    <t>66. 12. Lorenzo Vidal.. .... Salvador. ..María Miró, , , , Rocafort, , , Montblanc., 66. 12.</t>
  </si>
  <si>
    <t>Vidal, Manuel</t>
  </si>
  <si>
    <t>Manuel Vidal</t>
  </si>
  <si>
    <t>rez D. Josef Ma^ría Alba; á Alférez: al;Portaguión D. Pedro de la Erran Linares, y á Portaguiones á D. Manuel Vidal, y á D. Guillermo Marurir en el de Queretaro á Capitán al Teniente D. Tomas Beña; á Teniente al Alférez: D. . Francisco Xavier Quintana; á Alférez al Portaguión D. Manuel Peñuñuri</t>
  </si>
  <si>
    <t>Vigier, Juan</t>
  </si>
  <si>
    <t>Juan Vigier</t>
  </si>
  <si>
    <t>de la Academia de lengua Francesa establecida por la Sociedad, que baxo la dirección de su maestro D. Juan Vigier, sostuvieron D. Josef Martínez, D. Manuel Campos y D. Josef Escovar, habiendo sido preguntados de todas las partes de la gramática Francesa, y respondido con facilidad é inteligen</t>
  </si>
  <si>
    <t>Vigil, Joaquín</t>
  </si>
  <si>
    <t>Joaquín Vigil</t>
  </si>
  <si>
    <t>v re: en él de milicias de las quatro Villas, en dicha isla, á Capitán ai Subteniente de granaderos D. Joaquín Vigil ; á Subteniente de granaderos al de •fusileros D. Diego Ximenez, y á Subteniente de bandera al Savgento segundo D. Juan Josef López : en el mismo Batallón á Teniente veterano al ¿</t>
  </si>
  <si>
    <t>Vignolle, General</t>
  </si>
  <si>
    <t>General Vignolle</t>
  </si>
  <si>
    <t>os Obispos Católicos.” HOLANDA. Haya 6 de Diciembre. Toda la guarnición Francesa, á las órdenes del General Vignolle, que manda por ausencia del General Marmont, ha celebrado la tiesta de la coronación del Emperador Napoleón. Ha habido salvas de artillería; y el domingo próximo hay convite en ca</t>
  </si>
  <si>
    <t>Viiieneuve, Almirante</t>
  </si>
  <si>
    <t>Almirante Viiieneuve</t>
  </si>
  <si>
    <t>de los Negocios extrangeros, que la esquadra que salió de Tolon el 30 de Marzo, mandada por el Vice-Almirante Viiieneuve, que se componía de it navios delinea, 6 fragatas y 2 corbetas, se presentó el 7 de Abril á la altura de Cartagena, y el 9 en las aguas de Cádiz, donde se le reunieron un navio de</t>
  </si>
  <si>
    <t>Vilanova, Francisco</t>
  </si>
  <si>
    <t>Francisco Vilanova</t>
  </si>
  <si>
    <t>ich , , , , 66. 12» Francisco Vilanova... Pedro........ Francisca Empuyá, Areu ,, , , , Talarn, , , 66. 12» Juan Amorós. ..... Gerónimo. Antonia, , , , , ,.Pla,»,,,,, Tarra</t>
  </si>
  <si>
    <t>Vilches, Gerónimo</t>
  </si>
  <si>
    <t>Gerónimo Vilches</t>
  </si>
  <si>
    <t>Carretas. Las Consideraciones para ántes y después de la sagrada Comunión, que compuso el M. R. P. D. Gerónimo Vilches, del Orden de S. Basilio, cuya primera impresión en letra gorda y tamaño cómodo para la Iglesia se había acabado, se han reimpreso en el mismo, adornadas con dos laminitas, y añad</t>
  </si>
  <si>
    <t>Villa y Olier, Juan</t>
  </si>
  <si>
    <t>Juan Villa y Olier</t>
  </si>
  <si>
    <t>e 30 dias, contados desde 28 de Marzo próximo pasado, acudan ante dicho Señor, por la escribanía de D. Juan Villa y Olier, á pedir lo que estimen en justicia cn razón de su derecho, y de la pretensión que en él tiene instaurada el Sr. Marques de Sales, sobre que se declaren no compre hendí dos en la</t>
  </si>
  <si>
    <t>4® rs. cada año. La persona que quiera comprarlas, acudirá á tomar las noticias que le convengan á D. Juan Villa y Olier, Escribano del número de esta Villa y Corte, quien vive calle del Príncipe, núm. 12, quarto principal, y tiene su escribanía dentro de la casa de Ayuntamiento de la Villa. Memoria</t>
  </si>
  <si>
    <t>Villafaae, Tomás</t>
  </si>
  <si>
    <t>Tomás Villafaae</t>
  </si>
  <si>
    <t>e seis opositores, se habían adjudicado á D. Eustasio González Castañeda, D. Josef Junco y Perez, y D. Tomas Villafaae. Fue muy lucido y numeroso el concurso, habiendo asistido el Ayuntamiento de Madrid, .representado por dos caballeros Regidores, dos Diputados, y el Síndico Pexsonero, las Reales</t>
  </si>
  <si>
    <t>Villalba, Manuel</t>
  </si>
  <si>
    <t>Manuel Villalba</t>
  </si>
  <si>
    <t>o Domínguez; á Ayudante* al Teniente D. Francisco Espinosa; á Teniente al Subteniente de granaderos D. Manuel Villalba;á Subteniente* de granaderos al de fusileros JD. Josef Castro Palomino, y á Subteniente de bandera al Sargento primero distinguido* D. Juan de Cádiz.En eL Regimiento de dragones P</t>
  </si>
  <si>
    <t>Villanova, Tomás</t>
  </si>
  <si>
    <t>Tomás Villanova</t>
  </si>
  <si>
    <t>3 rs. = Explicación de los calendarios Español, Francés, y de la reducción mútua de sus fechas, por D. Tomas Villanova, Médico: su precio 4 rs. Se hallarán en la librería de Castillo, frente á las gradas de San Felipe. Seis contradanzas nuevas para el clave ó piano y salterio, de Pleyel, señaladas</t>
  </si>
  <si>
    <t>Villanueva, Joaquín</t>
  </si>
  <si>
    <t>Joaquín Villanueva</t>
  </si>
  <si>
    <t>servido conferir en el Regimiento de infantería de León Compañía al Teniente, graduado de Capitán, D. Joaquín Villanueva; y en el de Málaga Subtenencias de bandera á ios Cadetes D. Antonio Ximenez de la Cerda, que lo era de la Compañía fiza de Rosas, y D. Josef Berrio, y al Sargento primero de grana</t>
  </si>
  <si>
    <t>Villapol, Juan</t>
  </si>
  <si>
    <t>Juan Villapol</t>
  </si>
  <si>
    <t>l y práctica D. Antonio Salazar, D. Miguel Horcasitas y D. Pedro Giroud; en Cosmografía y Geografía D. Juan Villapol, y en Trigonometría plana y esférica, Cosmografía, Geografía y Navegación D. Pedro Villar y D. Lorenzo Sagra. Todos los quales resolvieron en sus respectivas clases quantos proble</t>
  </si>
  <si>
    <t>Villar, Juan</t>
  </si>
  <si>
    <t>Juan Villar</t>
  </si>
  <si>
    <t>ido nombrar para la Canongía que en la Iglesia de Ciudad-Rodrigo ha resultado vacante por muerte ae D. Juan Villar ¿ a Don Felipe Melendez Gutiérrez, Capellán dei Regimiento de caballería de María Luisa, en consideración á sus servicios, y conformidad al Reglamento de 30 de Enero del año próxi</t>
  </si>
  <si>
    <t>Villar, Pedro</t>
  </si>
  <si>
    <t>Pedro Villar</t>
  </si>
  <si>
    <t>eografía D. Juan Villapol, y en Trigonometría plana y esférica, Cosmografía, Geografía y Navegación D. Pedro Villar y D. Lorenzo Sagra. Todos los quales resolvieron en sus respectivas clases quantos problemas se les han mandado resolver;y se presentaron al público varios quadros,que representaban e</t>
  </si>
  <si>
    <t>Villarino, Bernardo</t>
  </si>
  <si>
    <t>Bernardo Villarino</t>
  </si>
  <si>
    <t>^Bernardo Viüarino. Hijo de Francisco, nat, del lugar de Vas etn</t>
  </si>
  <si>
    <t>Villarprego, Ventura</t>
  </si>
  <si>
    <t>Ventura Villarprego</t>
  </si>
  <si>
    <t>se ha servido nombrar Teniente de la compañía fixa del castillo de S. Juan del Reyno de Goatemala á D. Ventura Villarprego, Subteniente del extinguido Regimiento fixo del mismo Reyno, concediéndole al mismo tiempo el grado de Capitán de infantería: Subteniente de la misma compañía á D. Julián Arroyo:</t>
  </si>
  <si>
    <t>Villeneuf, Almirante</t>
  </si>
  <si>
    <t>Almirante Villeneuf</t>
  </si>
  <si>
    <t>se que por el último correo y con recha del 18 había dado cuenta á V. E. el General Gravina como el Almirante Villeneuf le había manifestado que estaba resuelto á dar la vela al siguiente dia, y que deseaba saber si la Armada Española estaba en disposición de verilicario. V. E. no ignora quáí fué l</t>
  </si>
  <si>
    <t>9H bre nuestra esquadra con dirección al centro y retaguardia, por lo que el Almirante Villeneuf ordenó una virada por redondo á un tiempo, resultando de este movimiento qué quedase á retaguardia la esquadra de observación del mando del General Gravina. A esto se siguió La se</t>
  </si>
  <si>
    <t>entes, se dirigió á cortar la línea entre la popa del Trinidad , y la proa del navio Bucentáuro del Almirante Villeneuf. El General Cisneros mandó meter en facha las gavias del Trinidad, y se estrechó tanto con el navio Francés, que así por esto como por el terrible fuego de que fue seguida esta ma</t>
  </si>
  <si>
    <t>Villeneuve, Almirante</t>
  </si>
  <si>
    <t>Almirante Villeneuve</t>
  </si>
  <si>
    <t>y ya se le han reunido ios navios de línea Agincourt y Zeloso. FRANCIA. París 11 de Agosto. El Vice-Almirante Villeneuve, Comandante de la esquadra combinada, ha remitido al Ministro de la Marina la relación siguiente de lo acaecido en el combate naval de 22 de Julio. „Muy Señor mió: Tengo el honor</t>
  </si>
  <si>
    <t>dra que he combatido, le hubiéramos escarmentado bien.”__ El estado que ofrece en el parte el V ice-Almirante Villeneuve al Mi nistro de la Marina consiste en 44 muertos y 95 heridos en los navios Franceses. PORTUGAL. Lisboa 20 de Agosto. En la mañana de hoy ha entrado en este puerto la fragata Fran</t>
  </si>
  <si>
    <t>ónigos en el Reyno de Italia, y sobre la tropa de Casa Real; reflexiones sobre el parte dado por ei Almirante Villeneuve desde la Martinica; tíf. iv del lib. 3.0 del Código civil; Real Cédula en que se manda exigir temporalmente el arbitrio de 4 mrs. sobre cada quartillo de vino; noticia sobre el terri</t>
  </si>
  <si>
    <t>Villon</t>
  </si>
  <si>
    <t>s hace la frontera extrema del Cantón de Basilea. ITALIA. Génova i&lt;&gt; de Enero. El Teniente de Navio Mr. Villon, Comandante de la goleta Francesa , nombrada la Elisa , ha sostenido un reñido combate con algunas chalupas Inglesas de la fragata Phebea. Los enemigos intentáron el abordage ; pe</t>
  </si>
  <si>
    <t>Vinagre, Juan</t>
  </si>
  <si>
    <t>Juan Vinagre</t>
  </si>
  <si>
    <t>Juan Vinagre........ Hijo de Alonso, nat. de Berlanga, partido!</t>
  </si>
  <si>
    <t>Viñals, Juan</t>
  </si>
  <si>
    <t>Juan Viñals</t>
  </si>
  <si>
    <t>ncisco Xavier Sánchez; á Subteniente al Cadete B. Nicolás Viilalon, y á Alférez al Sargento segundo D. Juan Viñals: finalmente, á Alférez de la Compañía urbana de caballería de la ciudad de Trinidad, en la referida isla, al Sargento D. Josef Manuel Barceló. En el Regimiento de dragones de Espa</t>
  </si>
  <si>
    <t>Vinet, Carlos</t>
  </si>
  <si>
    <t>Carlos Vinet</t>
  </si>
  <si>
    <t>usa, D¿ Maiwel Quarteraro y Doá Josef Alvarez:; y'Subtenencia de bandereen eh de^;Murcia* al Cadete Don Carlos Vinet. *■;?: '• ’• *En el Regimiento de infantería de Zaragoza* se ha-servido el&lt; Rey conferir Compañía al Ayudante, graduado de Capitana D. Josef de Ortega; y Subtenencia de bansíera e</t>
  </si>
  <si>
    <t>Vintzingerode, General</t>
  </si>
  <si>
    <t>General Vintzingerode</t>
  </si>
  <si>
    <t>revocado por otra orden el permiso que tenían los Oficiales de infantería de vender sus plazas. El General Vintzingerode tuvo el 16 por la mañana su audiencia de despedida de S. M., el Emperador y Rey, y al día siguiente emprendió el camino de Petérsburgo acompañado de su Secretario. Creíamos que pe</t>
  </si>
  <si>
    <t>Vivanco, Vicente</t>
  </si>
  <si>
    <t>Vicente Vivanco</t>
  </si>
  <si>
    <t>isco Chavez, D. Manuel Almonte, D. Genaro Torres, D.Mariano Ponce, D. Juan Jaén, D. Fernando Rosel, D. Vicente Vivanco y D. Anselmo de Arce; j de Portaestandartes á D. Eusebio Goizueta, D. Manuel Muñiz, D. Matías Salazar y D. Vicente Rodriguez. En el Regimiento de Milicias urbanas de dragones de Carab</t>
  </si>
  <si>
    <t>Vivas, Andrés</t>
  </si>
  <si>
    <t>Andrés Vivas</t>
  </si>
  <si>
    <t>r á 'Capitán al Teniente de granaderos D. Patricio Prieto; á Teniente de granaderos al de fusileros D. Andrés Vivas; á Teniente al Subteniente de granaderos D. Pedro Góngora; á Sub* teniente de granaderos al de fusileros!).Francisco de Falla, y á Subteniente de bandera al Cadete D. Juan Canseco</t>
  </si>
  <si>
    <t>VIVÍS, Francisco</t>
  </si>
  <si>
    <t>Francisco VIVÍS</t>
  </si>
  <si>
    <t>Subteniente de granaderos al de fusileros Don Andrés Bonenzy ; y á Subteniente de bandera ál Cadete D. Francisco VIVÍS. ' - ■ ^ ’ : y •' S. M. se ha servido conferir el Gobierno militar y político de la. plaza de S. Fernando de Figüeras al Brigadier D. Antonio Casano, Coronel del primer Régimíentó</t>
  </si>
  <si>
    <t>Vizconde de Melville, Lord</t>
  </si>
  <si>
    <t>Lord Vizconde de Melville</t>
  </si>
  <si>
    <t>ía de 238 votos contra 229, „que á diligencia del Fiscal general se proceda criminalmente contra el Lord Vizconde de Melville , por dilapidaciones hechas en el departamento de la marina.”__ Se ha observado que los amigos de Lord Sídmouth (Addington) han votado como Mr. Pitt.... Se pidió la prisión baxo f</t>
  </si>
  <si>
    <t>Vizconde MeiviUe, Lord</t>
  </si>
  <si>
    <t>Lord Vizconde MeiviUe</t>
  </si>
  <si>
    <t>no Unido de la Gran*.'Bretaña y de Irlanda, juntos en Parlamento, me han mandado acusar á Henri-jue Lord Vizconde MeiviUe de altos crímenes y de malversaciones; y yo acuso aquí en su nombre y en el de todos los Comunes del Reyno Unido de la Gran Bretaña al' dicno Henrique Lord Vizconde MeiviUe de altos</t>
  </si>
  <si>
    <t>Vizconde MelviHe, Lord</t>
  </si>
  <si>
    <t>Lord Vizconde MelviHe</t>
  </si>
  <si>
    <t>o: y luego que se le presentó, el Rey borró con una pluma, de su propio puño, el nombre de Hénrique Lord Vizconde MelviHe. Parece que ha salido de Rochefort otra esquadra.__ En el café de Lloyd se ha puesto una carta de Plimouth que sigue: „E1 Capitán del navio Justicia declara que la víspera de su s</t>
  </si>
  <si>
    <t>Vizconde Melville, Lord</t>
  </si>
  <si>
    <t>Lord Vizconde Melville</t>
  </si>
  <si>
    <t>n contra el Lord Melville. Consta de 8 cargos principales, y concluye con estás palabras: „HehrÍqüe Lord Vizconde Melville, por todos y por cada uno de los hechos arriba mencionados, se ha hecho y es reo de altos crk menes y de malversaciones.” Ayer se ha prorogado el Parlamento hasta el dia 2% de Ago</t>
  </si>
  <si>
    <t>Vngt</t>
  </si>
  <si>
    <t>onseqiiencias muy peligrosas. El Elector Archi-Canciiler del Imperio Germánico ha llamado á París á Mr. Vngt, profesor de Aschaffenburgo, escritor político, y el mas recomendable estadista de Alemania. Se le ha encargado la redacción definitiva del Concordato del Imperio Germánico con la</t>
  </si>
  <si>
    <t>Voisin</t>
  </si>
  <si>
    <t>muchos sugetos distinguidos por sus luces, vacunó 26 ovejas y carneros, tanto merinos como churros, Mr. Voisin, con la vacuna sacada, en el instante mismo, por su compañero el Dr. Chailly de las pústulas de 4 niños vacunados el dia 9, y cuyo virus fué reconocido de buena calidad por los Co</t>
  </si>
  <si>
    <t>Volta</t>
  </si>
  <si>
    <t>Setiembre. S. M. el Emperador y Rey, por su decreto dado en Boloña en 14 de Agosto, ha concedido á Mr. Volta una pensión de 3® pesetas sobre la Mitra de Adria, á título de recompensa, por los servicios que ha hecho á las ciencias, y en atención á su distinguido talento. Una carta de Flor</t>
  </si>
  <si>
    <t>Voss</t>
  </si>
  <si>
    <t>678 Mr. Voss retiene asimismo la pensión que le señaló, y le paga constantemente el Duque de Oldemburgo. Los dos mas acreditados grabadores de medallas de Berlín han ejecutado cada uno una en</t>
  </si>
  <si>
    <t>Voute</t>
  </si>
  <si>
    <t>de 1795. Se asegura haberse recibido en Amsterdam noticias favorables del resultado de la misión de Mr. Voute, comisionado por el comercio de esta ciudad en Viena para reclamar cerca del Ministerio del Emperador de Alemania contra las ultimas operaciones de hacienda de la Corte Imperial.</t>
  </si>
  <si>
    <t>VV, Luis</t>
  </si>
  <si>
    <t>Luis VV</t>
  </si>
  <si>
    <t>ro Riedy y D. Gaspar de la Tour; y en el de Traxler á Subtenientes al Cadete D. Luis VV irch y á D. Julio Alberto Vincenz. . ._ Edicto~ llamando á oposicio)l á 5 Cátedras vacantes en la Real Casa de Pages. =</t>
  </si>
  <si>
    <t>V’iál, General</t>
  </si>
  <si>
    <t>General V’iál</t>
  </si>
  <si>
    <t>basas establecidas en algunos parages dé la Suiza'‘para la redención délos diezmos. . . ; ‘ \ r El General V’iál ha venido á esta ciudad de vuelta de su viage. Se asegura que está encargado de comunicar á la Dieta Helvética asuntos muy • importantes. 'Berna 7 de Julio. La Dieta terminará pro</t>
  </si>
  <si>
    <t>W-ithbread</t>
  </si>
  <si>
    <t>a, y 216 en contra: el voto del Orador de la Cámara decidió la qü^stion á favor de! la propuesta de Mr. W-ithbread. Después Mr. Withbread propuso á la* Cámara que se pidiese al Rey la separación del Lord Melville; pero Mr. Pitt consiguió se suspendiese esto por ahora, á pesar de la opinión de</t>
  </si>
  <si>
    <t>Wagstaíf</t>
  </si>
  <si>
    <t>Ilustre y el Minotauro de 74, para reforzar la dei Almirante Cochrane delante del Ferrol. El corre© Mr. Wagstaíf, que salió el 7 de esta capital con pliegos para Petersburgo y Berlín, ha sido robado el 11 entre Lubeck y Mecklemburgo-Schwerin. El gefe de los ladrones solo le quitó los pliegos</t>
  </si>
  <si>
    <t>Wales, Capitán</t>
  </si>
  <si>
    <t>Capitán Wales</t>
  </si>
  <si>
    <t>istinguidas. No sondas noticias de las Indias Orientales, traídas por el paquebot el Teignmouth, su Capitán Wales,tan satisfactorias como se habían anunciado*. Se cun parece el audaz Holkar no está aun enteramente sojuzgado, pues tiene freqüentes conferencias con Scindiah, con él objeto, como</t>
  </si>
  <si>
    <t>Walter, General</t>
  </si>
  <si>
    <t>General Walter</t>
  </si>
  <si>
    <t>han tomado 500 prisioneros, entre ellos 100 Rusos. El dia i.° da parte el Príncipe Murat de que el General Walter con su divison de caballería ha tomado posesión de Weis. La división de dragones del General Beaumont, y la i.a división del Mariscal Davoust, mandada por el General Bisson, se ha</t>
  </si>
  <si>
    <t>habia dexado en Ebersberg 300 6 400 hombres para retardar el paso del Traun ; pero los dragones del General Walter entráron: en algunos barcos, y protegidos por la artillería embistieron con ímpetu? la .ciudad. El Teniente Villaudet, del Regimiento 13 de dragones; pasóel primero .ebrio en una ba</t>
  </si>
  <si>
    <t>Walterbeek, Capitán</t>
  </si>
  <si>
    <t>Capitán Walterbeek</t>
  </si>
  <si>
    <t>avio de línea de oo cañones y 650 hombres de tripulación. El mando de este navio se ha conferido al Capitán Walterbeek, que mandaba el Eurodice. La misma orden se ha dado para armar el Pedro Pablo, navio de 68 cañones y 450 hombres de tripulación. Siete grandes navios de línea hacen en el dia part</t>
  </si>
  <si>
    <t>Waltther, General</t>
  </si>
  <si>
    <t>General Waltther</t>
  </si>
  <si>
    <t>poco mas ó menos, con intento de defender la reunión de los.caminos de Briinn y de Olmutz; pero el General Waltther los contuvo todo el dia, y acometiéndoles varias veces, les obligó en fin á ceder el campo.-El Prín-r cipe Murat mandó avanzar la división de coraceros del Generalid’Hautpoult y;quatr</t>
  </si>
  <si>
    <t>Washington, General</t>
  </si>
  <si>
    <t>General Washington</t>
  </si>
  <si>
    <t>iento. Entre otras cosas lo acusan de haber violado la constitución, de haber calumniado al difunto General Washington &amp;c. Por cartas de Cayena sabemos que reyna en aquella colonia la mayor tranquilidad, y que nada temen de qualquier tentativa de los Ingleses. Un corsario, armado en la Rochela , h</t>
  </si>
  <si>
    <t>lioteca, y la preciosa colección de arados y otros instrumentos de labranza, que fuéron del difunto General Washington. El modo de gobernarse, el número y sucesión de sus individuos, el capital que puede poseer (especificado en medidas de trigo), toda su organización acaba de terminarse de un modo</t>
  </si>
  <si>
    <t>Water, Coronel</t>
  </si>
  <si>
    <t>Coronel Water</t>
  </si>
  <si>
    <t>pe Murat con la división de dragones que manda el General Watter, se dirige al Lech, manda pasar al Coronel Water al frente de 200 dragones del 4.0 Regimiento , quien se apodera del puente de Lech después de un ataque muy brillante , y arroja al enemigo, que tenia dobles fuerzas. La noche de</t>
  </si>
  <si>
    <t>Wateville, General</t>
  </si>
  <si>
    <t>General Wateville</t>
  </si>
  <si>
    <t>en Ansp&amp;cH; paz en el Indostan; los exéreitos Franceses pasan por territorio prusiano; proclama del General Wateville alas tropas federales; organización de 4a guardia nacional en Francia; diarios de los exéreitos hasta 19 de.Octubre. De España, Real Cédula en que se declara corresponde al Consej</t>
  </si>
  <si>
    <t>Watter, General</t>
  </si>
  <si>
    <t>General Watter</t>
  </si>
  <si>
    <t>agones: al punto se reparó el puente ; y el Príncipe Murat con la división de dragones que manda el General Watter, se dirige al Lech, manda pasar al Coronel Water al frente de 200 dragones del 4.0 Regimiento , quien se apodera del puente de Lech después de un ataque muy brillante , y arroja a</t>
  </si>
  <si>
    <t>Watteville</t>
  </si>
  <si>
    <t>rriente abrió la Dieta sus sesiones. Desde luego se ocupó en la formación del Estado mayor general. Mr. Watteville, que fué LandAmman el año ultimo, ha sido nombrado General en gefe: Mr. Muller de Schwitz, Gefe del Estado mayor; y Mr. Finsler, Tesorero del exército. El quartel general se estab</t>
  </si>
  <si>
    <t>Wattier, Coronel</t>
  </si>
  <si>
    <t>Coronel Wattier</t>
  </si>
  <si>
    <t>fantería ligera han padecido infinito: los Coroneles del 100 y 103 han sido heridos ligeramente. El Coronel Wattier, del 4.0Regimiento de dragones, ha muerto: S. M. le había nombrado uno de sus Caballerizos: era un Oficial de gran valor. A pesar de los obstáculos que presentaba el terreno, habí</t>
  </si>
  <si>
    <t>dirigía los movimientos de los Rusps, quedó muerto, como también des Generales Rusos, Parece que el Coronel Wattier no ha muerto , sino que habiéndole matado el caballo quedo* prisionero, cuya noticia ha sido de mucha satisfacción para el Emperador,por quanto estima particularmente á este Ofici</t>
  </si>
  <si>
    <t>WeLíesley, General</t>
  </si>
  <si>
    <t>General WeLíesley</t>
  </si>
  <si>
    <t>en marcha en la estación del año menos favorable para operaciones ofensivas en aquellos climas. El General WeLíesley ha vuelto al exército de Poonah; y la conseqiiencia de esta actividad del Gobierno de la India ha sido haber casi reducido á Holkar á próxima sumisión. Las noticias recibidas de G</t>
  </si>
  <si>
    <t>Wellesley, General</t>
  </si>
  <si>
    <t>General Wellesley</t>
  </si>
  <si>
    <t>familia de Holkar, y se miraba como el baluarte de sus Estados._A -fines de Julio llegó á Madras el General Wellesley* habiendo-dexadó sfc exército en las provincias baxas del Mala-? bar, y salió para Calcuta'él 2 dé Agosto. £1 tó del mismo mes se ’en^ viárón de Madras y de Vellore dos batallones</t>
  </si>
  <si>
    <t>Welshaar</t>
  </si>
  <si>
    <t>stadas en Stuttgard, á fines del mes pasado, son el Consejero de Regencia Barón de Seckendorf, y el Dr. Welshaar, de Stuttgard; Mr. de Blankenstein, de Francfort; y el Consejero de Regencia Sainclair, al servicio del Landgrave de Hesse-Hamburgo, quien, p. petición del Elector de Wurtemberg,</t>
  </si>
  <si>
    <t>Wenceslao de Colloredo, Conde</t>
  </si>
  <si>
    <t>Conde Wenceslao de Colloredo</t>
  </si>
  <si>
    <t>el Landgrave de Furstemberg, el Príncipe Cirios de Auersperg,el Príncipe Nicolás de Esterhazy y el Conde Wenceslao de Colloredo. En un coche de palacio venia la Camarera mayor, y en otros dos las 8 Damas. Cerraban esta marcha una compañía de granaderos y un destacamento de caballería. Desde 15 de Junio has</t>
  </si>
  <si>
    <t>Werlé, General</t>
  </si>
  <si>
    <t>General Werlé</t>
  </si>
  <si>
    <t>su posición, los carabineros del Regimiento 27 de infantería ligera la acometieron con denuedo. El General Werlé hizo tomar la vuelta al fuerte por el Capitán Campobane por sendas intransitables. Quedaron- prisioneros 5© hombres, entre ellos tres Oficiales. La coluna enemiga, que era; de 3®</t>
  </si>
  <si>
    <t>Werly, Juan</t>
  </si>
  <si>
    <t>Juan Werly</t>
  </si>
  <si>
    <t>leros al Subteniente de granaderos D. Francisco Scolar; á Subteniente de granaderos al de fusileros D. Juan Werly; y á Subteniente de bandera á D. Francisco Josef Weissembach: en el de Betschart á Subteniente al Cadete D. Domingo Schnuringer; y en el de Reding á Subteniente al Cadete D. Bonif</t>
  </si>
  <si>
    <t>ubteniente al Sargento primero D. Matías Genaux; y á Tenientes en el de Wimpífen á los Subtenientes D. Juan Werly y D. Luis Wisety; y á Subteniente de granaderos al de fusileros D. Samuel Ginther. El Mercurio de España de 15 de Agosto, núm. 15, se hallará en el despacho de la Imprenta Real; en el</t>
  </si>
  <si>
    <t>Werneck, General</t>
  </si>
  <si>
    <t>General Werneck</t>
  </si>
  <si>
    <t>urgo, y el General Hohenzollern. Este último quedo sin embargo comprehendido en la capitulación del General Werneck. HOLANDA. Haya 30 de Octubre. Desde el momento que se supieron aquí las victorias conseguidas por los exércitos Franceses en Alemania, han principiado á subir diariamente núes* tr</t>
  </si>
  <si>
    <t>Wernek, General</t>
  </si>
  <si>
    <t>General Wernek</t>
  </si>
  <si>
    <t>en esta noche para Augsburgo y Munich después que haya des- . pachado sus correos. Capitulación del General Wernek. Se ha convenido entre el General de división Belliard, Gefe del Estado mayor general de S. A. S. el Príncipe Murat, Mariscal del Imperio, Teniente de S. M. el Emperador de los Fr</t>
  </si>
  <si>
    <t>enemos 300 heridos levemente. Diario del exército. Augsburgo zo, de Octubre. Al mismo tiempo que el General Wernek capitulaba cerca de Nordlingéfl, el Príncipe Fernando, con un cuerpo de 1© caballos y una parte del párque, se puso en huida: desde luego se arrojó en los países Prusianos, y se d</t>
  </si>
  <si>
    <t>bres, comprehendiendo los que mandaba el General Wernek al tiempo de su capitulación, y de mucho número de banderas. Diez y ocho Generales han rendido las armas, y tres fuéron muertos.__ Los Coroneles Morlandde los cazadores.de caballe</t>
  </si>
  <si>
    <t>Wernek, Teniente General</t>
  </si>
  <si>
    <t>Teniente General Wernek</t>
  </si>
  <si>
    <t>Murat, Mariscal del Imperio, Teniente de S. M. el Emperador de los Franceses y Rey de Italia, y el Teniente General Wernek, Comendador y Gentilhombre de S. M. el Emperador de Alemania, y Comandante de un cuerpo de exército: i.° Que el. cuerpo de exército á las órdenes del General Wernek entregará las</t>
  </si>
  <si>
    <t>Weyman, Benito</t>
  </si>
  <si>
    <t>Benito Weyman</t>
  </si>
  <si>
    <t>mayor á D. Josef Schmid, Capitán primero del mismo: en el de Traxier á Capitán segundo al Teniente D. Benito Weyman; á Teniente al Subteniente D. Jacobo Bueller; á Ayudante al Teniente D. Francisco Peyer: en el ele Reding á Capitán segundo al Teniente de granaderos D. Antonio Mabillard. En el R</t>
  </si>
  <si>
    <t>Weyrotter, General</t>
  </si>
  <si>
    <t>General Weyrotter</t>
  </si>
  <si>
    <t>lgunos dias á esta parte. Por cartas de Viena hemos sabido la funesta noticia del fallecimiento del General Weyrotter, que había ido á Gallitzia encargado de recibir á los Rusos. Este Oficial era uno de los mas sobresalientes del exército Austríaco-, y había acompañado á S. A. R. el Archiduque Cá</t>
  </si>
  <si>
    <t>de la Orden de María Teresa, en premio del valor que ha mostrado en el combate de Direnstein; y al General Weyrotter le ha nombrado Quartel-Maestre general cerca del exército Ruso.—S. A. R. el Archiduque Fernando salid de Praga el 17 del corriente., y se encaminó hacia la parte meridional de la</t>
  </si>
  <si>
    <t>Whi</t>
  </si>
  <si>
    <t>ue hubo después de haberse retirado de la Cámara han excitado grande ínteres. ,,El noble Lord, dixo Mr. Whi "bread, se queja de que su conducta ha excitado la indignación de sus Pares y tla de todo el Reyno: no hay en esto enemistad personal. Se queja de que se le juzgue dos veces. Una</t>
  </si>
  <si>
    <t>Whitbread</t>
  </si>
  <si>
    <t>a, sino del Consejo y de la presencia de S. M. Sin embargo , después de muy vivos debates consintió Mr. Whitbread en recoger su propuesta, con condición de que se presentasen á S. M. las resoluciones adoptadas el lunes 8, y se diese cuenta de los debates que hubo en esta ocasión; lo qué se apro</t>
  </si>
  <si>
    <t>o era mas que,Mr. Dundas. La otra es, que el número de votos á favor y en contra de la propuesta de Mr. Whitbread ha sido tan igual de una y otra parte , que ha sido preciso que votase el Orador de la Cámara, lo que raras veces sucede, para determinar la pluralidad. Pero no es ménos singular</t>
  </si>
  <si>
    <t>oble Lord de todo apuro. Se ha decidido que los 21 individuos deda junta se nombrarán á escrutinio. Mr. Whitbread, que prevee todas las conseqiiencias, se ha opuesto á esta enmienda con todas sus fuerzas. Ha manifestado que esto daba á los Ministros los medios de formar la junta según les con</t>
  </si>
  <si>
    <t>5°4: conveniente propuso Mr. Whitbread otra enmienda, prohibiendo la circulación de listas semejantes á las que denunciaba, y que leyó. Se desestimó su enmienda á la mayoría de 154 votos contra 45. Del 8 de Mayo* La Ga</t>
  </si>
  <si>
    <t>os de caballería tendrán 2© plazas en su estado completo. GRAN BRETAÑA. Londres 1.° de Junio. El 28 Mr. Whitbread anuncio en la Cámara de los Comunes que e! juéves próximo haría una nueva propuesta sobre Lord Melvilie. Al dia siguiente Air. H. S. Dundas declaró que el noble Lord pedia se le o</t>
  </si>
  <si>
    <t>cusación ante sus Pares) al procedimiento criminal decretad® contra dicho ex-Ministro. . El 26 pasó Mr. Whitbread á la Cámara de los Pares acompañado de unos 100 vocales., para presentar la acta dé acusación contra Lord Melville» Lord Temple y Mr. Grey iban á su derecha é izquierda: seguíanle</t>
  </si>
  <si>
    <t>probar ios tribunales superiores de ambos Estados. GRAN BRETAÑA. Londres ig de Julio. El 4 de Julio Mr. Whitbread ha presentado en la Cámara de ios Comunes el informe de la Junta encargada de extender la acta de acusación contra el Lord Melville. Consta de 8 cargos principales, y concluye con</t>
  </si>
  <si>
    <t>Wiborg</t>
  </si>
  <si>
    <t>gelatina de huesos, han excitado á Mr. Rafu, individuo del Colegio de comercio de Copenhague, y al Profesor Wiborg, la idea de hacer muchos ensayos , cuyas resultas se han comunicado á la Sociedad establecida en París para el fomento de la industria nacional, y han sido recibidos con la mas vi</t>
  </si>
  <si>
    <t>Wiiliam Campbell, Capitán</t>
  </si>
  <si>
    <t>Capitán Wiiliam Campbell</t>
  </si>
  <si>
    <t>z con la Gran Bretaña, fue apresado en el puerto de Coquimbo et bergantín Español el Washington, su'Capitán Wiiliam Campbell, quien dirigiéndose después al.puerto de Copiapó, batió á metralla el 30 del mismo mes á la goleta de. S. M. nombrada Estremeña, cuyo Comandante, el Teniente de Navio D. Mariano.I</t>
  </si>
  <si>
    <t>Wiiliam Jones</t>
  </si>
  <si>
    <t>s 6 de Abril, El 29 de Marzo de 1804 ¡se celebró junta pública en el Colegio de Calcuta. El célebre Sir Wiiliam Jones fue el fundador ,;en 1789, del Colegio y Academia de Calcuta, y el Marques de Wellesley, Gobernado* general de la India Británica, es ahora Protector de este establecimiento, erig</t>
  </si>
  <si>
    <t>Willaninetz, Almirante</t>
  </si>
  <si>
    <t>Almirante Willaninetz</t>
  </si>
  <si>
    <t>aido en el navio Almirante del Lord Cornwallis. — Ayer la esquadra ligera, á las órdenes del Contra-Almirante Willaninetz, ha tenido un combate de hora y media con algunos navios de la armada Inglesa, y parece que el enemigo ha recibido mucho daño. Tolosa 22 de Agosto. El domingo último verificó Mada</t>
  </si>
  <si>
    <t>William Myers, Teniente General</t>
  </si>
  <si>
    <t>Teniente General William Myers</t>
  </si>
  <si>
    <t>esquadra, para defender la isla. Lord Nelson ancló durante 12 hoyas para embarcar las tropas que el Teniente General William Myers le habia ofrecido para socorrer las islas amenazadas, y toda la esquadra se hizo á la vela el 5 de Junio* Al día siguiente llegó á Tabago, y una goleta hi2© una señal de que el en</t>
  </si>
  <si>
    <t>Willich</t>
  </si>
  <si>
    <t>e vomitivo.__* A mas de esto hay 2 tapones de corcho, y 2 impresos en español y francés,, en que el Dr. Willich, inventor de este engaño, usa de la posible charlatanería para vender su remedio.__ El comercio Ingles, muy cuidadoso de. nuestra salud, hizo una remesa para España de 30® de esta</t>
  </si>
  <si>
    <t>Wilson, Capitán</t>
  </si>
  <si>
    <t>Capitán Wilson</t>
  </si>
  <si>
    <t>ba en Ja de Berard. Relación de las islas de Pelew, deducida de los diarios y noticias verbales del Capitán Wilson, y algunos Oficiales que por su naufragio en 1783 disfrutaron por 3 meses en ellas la protección de aquel Soberano y el favor de sus vasallos. La importancia que generalmente se d</t>
  </si>
  <si>
    <t>Windbam</t>
  </si>
  <si>
    <t>tando la Irlanda, y que todos los proyectos de Mr. Pitt han producido, á todo mas, 25C0 reclutas.__ Mr. Windbam contestó á la reconvención que le hizo Mr. Pitt, de que ahora se oponía á las disposiciones que había aprobado como miembro del Gabinete, diciendo que la arrogancia y vanidad de M</t>
  </si>
  <si>
    <t>Windhain</t>
  </si>
  <si>
    <t>ara se forme en junta para tratar de este negocio.__ Lora Castlereagh defendió el sistema actual; y Mr. Windhain apoyó la propuesta de Mr. Crawfurd. El Secretario de la Guerra dixo que el exercito en i.° de Enero de 180)• se componía de 105© hombres, y en i.° de Junio de 119©, y «pie en el a</t>
  </si>
  <si>
    <t>Windham</t>
  </si>
  <si>
    <t>que la salud de la patria exige se prolongue el efecto de esta disposición, que él llama saludable. Mr. Windham. „No se trata ahora de examinar en sí misma la disposición propuesta, sino de saber si puede adoptarse sin motivo. ¿Nos es permitido tratar un negocio tan serio como una cosa corr</t>
  </si>
  <si>
    <t>ha aumentado: que hay 170 navios de todos- portes empleados; y que la guerra ha mudado de- objeto. Mr. Windham opina que el Parlamento no debe separarse quando granrdes males amenazan á la patria; que estos no se han prevenido, y que ninguna confianza sé tiene en los Ministros. Mr. Fox apo</t>
  </si>
  <si>
    <t>Wirtz, Francisco</t>
  </si>
  <si>
    <t>Francisco Wirtz</t>
  </si>
  <si>
    <t>do al Teniente D. Antonio Desvignes; á Tenientes de granaderos á los de fusileros D. Josef Rubel, y D. Francisco Wirtz ; á Teniente de fusileros al Subteniente de granaderos D. Francisco Scolar; á Subteniente de granaderos al de fusileros D. Juan Werly; y á Subteniente de bandera á D. Francisco Jo</t>
  </si>
  <si>
    <t>Withbread</t>
  </si>
  <si>
    <t>• En los debates que ha .habido el 8 de este mes en la Cámara de los Comunes sobre la propuesta de Mr. Withbread contra el Lo r d Melville, hablaron á favor de ella Mr. Fox, Sheridan, Tierney, Windham 8cc., .y en qontra Mr. Pitt y todo el partido del Lord Sidmouth (Addington). A las 5 de la</t>
  </si>
  <si>
    <t>Wolfskehl, General</t>
  </si>
  <si>
    <t>General Wolfskehl</t>
  </si>
  <si>
    <t>asilea 25 de Setiembre. El cuerpo de eriército que estaba en las cercanías de Bregentz al mando del General Wolfskehl, se ha dirigido el 17 de este mes hacia la Alta Suabia, io qual prueba que los Austríacos no piensan entrar en el territorio dé la Suiza. • . FRANCIA. Strasburgo jo de Setiembre.</t>
  </si>
  <si>
    <t>Wradé, General</t>
  </si>
  <si>
    <t>General Wradé</t>
  </si>
  <si>
    <t>de 6322 hombres, mandados por el General Wradéjpero los Austríacos no han logrado su intento, y el General Wradé' há podido retirarse hacia la Franconia, y juntarse con las demas tropas Bávaras que ya estarán allí, ó marchando para ello, y entonces compondrán un exército de 30 á 32© hombres.</t>
  </si>
  <si>
    <t>Wradéjpero los Austríacos, General</t>
  </si>
  <si>
    <t>General Wradéjpero los Austríacos</t>
  </si>
  <si>
    <t>ortar la retirada y hacer prisionera una brigada Bávara, compuesta de 6322 hombres, mandados por el General Wradéjpero los Austríacos no han logrado su intento, y el General Wradé' há podido retirarse hacia la Franconia, y juntarse con las demas tropas Bávaras que ya estarán allí, ó marchando para ello, y entonc</t>
  </si>
  <si>
    <t>Wranishy</t>
  </si>
  <si>
    <t>que goza en el dia de perfecta salud. Habiendo escrito Mr. André, Maestro de Capilla de Darmstad, á Mr. Wranishy, de Viena: le ha contestado este asegurándole positivamente que Haydn vive, y que si este ilustre artista hubiese sabido antes los honores fúnebres que se le han hecho, hubiera ve</t>
  </si>
  <si>
    <t>Wreden, General</t>
  </si>
  <si>
    <t>General Wreden</t>
  </si>
  <si>
    <t>nguió en él. El General Mack pasó en posta por la Baviera para ir á Viena, y habiendo encontrado al General Wreden en los puestos avanzados cerca deL Inn, tuviéron una larga conversación sobre el modo como los Franceses tratan al exército Bávaro.__ ,, Estamos (le dixo el General Wreden) mejor qu</t>
  </si>
  <si>
    <t>lberg, está cortado. El Mariscal Bernadotte ocupa á lglau. Sus patrullas han entrado-eu Bohemia. El General Wreden , Comandante de los Bávaros, ha tomado una compañía de artilleros Austríacos, 100 caballos de montar, 50 coraceros y varaos Oñciales. Se ha apoderado de un almacén considerable de</t>
  </si>
  <si>
    <t>inserto en la Gazeta, anterior, debe añadirse lo que sigue , que se omitió por falta de lagar. : El General Wreden, que manda los Bávaros, ha tenido en Bohemia varios encuentros con el Archiduque Fernando, y le ha tomado algunos centenares de prisioneros. El Príncipe de Roham, al frente dé ó®</t>
  </si>
  <si>
    <t>Wulfen, Barón</t>
  </si>
  <si>
    <t>Barón Wulfen</t>
  </si>
  <si>
    <t>cibir la sagrada Eucaristía: variedades, chiste de un marino, la esposa virtuosa, y una noticia del Barón Wulfen. Se hallará á 3 rs. suelto, con los dos tomos que van publicados, á 26 rs. cada uno, en la librería de Escribano, calle de las Carretas, y en la de Argueta, calle de la Montera, d</t>
  </si>
  <si>
    <t>Wurmser, Feld-Mariscal</t>
  </si>
  <si>
    <t>Feld-Mariscal Wurmser</t>
  </si>
  <si>
    <t>odos se .acuerdan -que después de las maniobras señaladas del Br.enta quedó prisionero en Mantua el Feld-Mariscal Wurmser: Melas lo fue en Alejandría; y Mack lo es en Ulma. El exército Austríaco era uno de los mejores que ha tenido el Austria. -Componíase de 14 Regimientos de infantería que formaban</t>
  </si>
  <si>
    <t>Xannes, Mariscal</t>
  </si>
  <si>
    <t>Mariscal Xannes</t>
  </si>
  <si>
    <t>io dia habia hecho 6qo prisioneros, y tomado un parque de 40 piezas de artillería con sus tiros. El Mariscal Xannes ha llegado á Jas 2 de la tarde á Stokerau, donde ha encontrado un-almacén grandísimo de vestuario, 8© pares de zapatos y botines, y paño para hacer capotes á todo el exército-----</t>
  </si>
  <si>
    <t>Xaraqúemada, Francisco</t>
  </si>
  <si>
    <t>Francisco Xaraqúemada</t>
  </si>
  <si>
    <t>tán, D. Ignacio Texero: en el de la Reyna Compañía al Teniente de granaderos, con grado de Capitán, D. Francisco Xaraqúemada: en el de Zamora Ayudantía al Teniente , graduado de Capitán , D. Manuel Bolangero: en el de Sevilla Tenencia al Subteniente de granaderos D. Manuel Aroche; y en el de Irlanda Sub</t>
  </si>
  <si>
    <t>Xaverna</t>
  </si>
  <si>
    <t>ón pronunció un discurso el. Ministro dé. lo Interior , y otro el Presidente del Cuerpo Legislativo Mr. Xaverna.__ El mismo dia y el anterior visitáron á S. M. varios Prelados y Caballeros particulares, y ademas tuviéron audiencia para presentar sus credenciales .el Príncipe Corsini y el Ca</t>
  </si>
  <si>
    <t>Xereda, Dionisio</t>
  </si>
  <si>
    <t>Dionisio Xereda</t>
  </si>
  <si>
    <t>enientes D. Josef Marcos González y D. Josef María Mendez; á Teniente de granaderos ai de fusileros D. Dionisio Xereda, y de fusileros á los Subtenientes D. Josef Francisco Romero , D. Francisco Mendieta y D. Juan Josef Romero: á Capitanes en el Esquadron de drago* cíes de aquella capital al Alfér</t>
  </si>
  <si>
    <t>Xetrero y Torrado, Juan Ignacio</t>
  </si>
  <si>
    <t>Juan Ignacio Xetrero y Torrado</t>
  </si>
  <si>
    <t>a Colegial de S. Salvador de la ciudad de Sevilla, vacante por muerte de D. Pedro Julián Donado , á D. Juan Ignacio Xetrero y Torrado , Cura de la Parroquial de Santiago el Mayor dé aquella ciudad : para un Beneficio de la villa de Pareja, en el</t>
  </si>
  <si>
    <t>Ximenea, Manuel</t>
  </si>
  <si>
    <t>Manuel Ximenea</t>
  </si>
  <si>
    <t>ubre último falleció en la ciudad &lt;de Orduña, su patria, á los 63 años cumplidos de su edad, el Sr. D. Manuel Ximenea! Bretón , Caballero pensionado de la Real'distinguida Orden Española de Carlos 111, del Consejo de S. M. en el Supremo de Hacienda, y su Secretario con voto en la Real y Suprema J</t>
  </si>
  <si>
    <t>Ximenez de la Cerda, Antonio</t>
  </si>
  <si>
    <t>Antonio Ximenez de la Cerda</t>
  </si>
  <si>
    <t>graduado de Capitán, D. Joaquín Villanueva; y en el de Málaga Subtenencias de bandera á ios Cadetes D. Antonio Ximenez de la Cerda, que lo era de la Compañía fiza de Rosas, y D. Josef Berrio, y al Sargento primero de granaderos D. Andrés García. En el Estado militar de este año se omitió expresar que el Tenie</t>
  </si>
  <si>
    <t>Ximenez de Segura, Pedro</t>
  </si>
  <si>
    <t>Pedro Ximenez de Segura</t>
  </si>
  <si>
    <t>o Garcés, sobre ciertas quejas que contra él tenia el Cabildo de su Iglesia, inedita. = Elección de D. Pedro Ximenez de Segura para Obispo de Segorve y Albarracin\ hecha;por el Cabildo en el año 1273 , inédita. r= Bula del Papa Gregorio xnr, sobre la división de las Iglesias de Segorve y f Albarracin , in</t>
  </si>
  <si>
    <t>Ximenez Padilla, Salvador</t>
  </si>
  <si>
    <t>Salvador Ximenez Padilla</t>
  </si>
  <si>
    <t>uín Barrena Caballero : para otra de la Colegiata de S. Hipólito de Córdoba, vacante por ascenso ae D. Salvador Ximenez Padilla á Canónigo de la Iglesia de Málaga á D. Benito Hidalgo Amores, Cura de la Parroquia de la villa de Yalenzuela en el-mismo Obispado: para una Ración de la Iglesia de Tuy, vacante p</t>
  </si>
  <si>
    <t>Ximenez Pedrero, Ángel</t>
  </si>
  <si>
    <t>Ángel Ximenez Pedrero</t>
  </si>
  <si>
    <t>mpostela y Ciudad-Real á D. Francisco Xavier Losada Pardo de Figueroa, Capitán del de Santiago; y á D. Angel Ximenez Pedrero, Capitán de granaderos del de Alcázar de S. Juan. En los Regimientos de. Milicias Provinciales ha conferido el Rey empleo de Sargento mayor del de Cuenca ai Teniente Coronel D. Pe</t>
  </si>
  <si>
    <t>Ximenez Ruiz, Lorenzo</t>
  </si>
  <si>
    <t>Lorenzo Ximenez Ruiz</t>
  </si>
  <si>
    <t>glesia: para una Canongía dé la Colegial deLorca, en la Diócesi de Cartagena, vacante por muerte de D. Lorenzo Ximenez Ruiz, á D. Vicente Agustín, Cura de la Villa de Málaga, en el Arzobispado de Toledo: para el Beneficio de Sta. Eulalia dé la ciudad de Murcia, en dicha Diócesi de Cartagena, vacante po</t>
  </si>
  <si>
    <t>Ximenez y Padilla, Salvador</t>
  </si>
  <si>
    <t>Salvador Ximenez y Padilla</t>
  </si>
  <si>
    <t>cruz para excitarlo á su pronta conversión: su autor el Doctor en sagrada Teología, Canon-s y Leyes D. Salvador Ximenez y Padilla, Cura Rector de la Matriz de la Imperial villa de Poton &amp;c. Se hallará en la librería de Ramos, calle de las Carretas, y en la de Campo, frente al Buen-Suceso, á 4 rs. en pasta. .</t>
  </si>
  <si>
    <t>Ximenez, Andrés</t>
  </si>
  <si>
    <t>Andrés Ximenez</t>
  </si>
  <si>
    <t>sco de la Guardia y al Sargento primero.D. Andrés de Leon^ y á Portaguión al Soldado distifi*guido. D. Andrés Ximenez: en la Compañía urbana de Caballería de la ciudad de Cuba á Capitán al Subteniente D. Josef María Justiz; á Teniente</t>
  </si>
  <si>
    <t>Ximenez, Antonio</t>
  </si>
  <si>
    <t>Antonio Ximenez</t>
  </si>
  <si>
    <t>itan al Teniente D. Francisco Morejon; á Tenientes ai Subteniente Don Felipe Ximenez, al Portaguión D. Antonio Ximenez, y al Cadete D. Antonio del Junco; á Subtenientes al Cadete D. Francisco de la Guardia y al Sargento primero.D. Andrés de Leon^ y á Portaguión al Soldado distifi*guido. D. Andrés</t>
  </si>
  <si>
    <t>Ximenez, Diego</t>
  </si>
  <si>
    <t>Diego Ximenez</t>
  </si>
  <si>
    <t>apitán ai Subteniente de granaderos D. Joaquín Vigil ; á Subteniente de granaderos al de •fusileros D. Diego Ximenez, y á Subteniente de bandera al Savgento segundo D. Juan Josef López : en el mismo Batallón á Teniente veterano al ¿argento primero D. Juan Estanislao Montes: en. el esquadron desm</t>
  </si>
  <si>
    <t>Ximenez, Felipe</t>
  </si>
  <si>
    <t>Felipe Ximenez</t>
  </si>
  <si>
    <t>n montado del propio Cuerpo á 7Capitan al Teniente D. Francisco Morejon; á Tenientes ai Subteniente Don Felipe Ximenez, al Portaguión D. Antonio Ximenez, y al Cadete D. Antonio del Junco; á Subtenientes al Cadete D. Francisco de la Guardia y al Sargento primero.D. Andrés de Leon^ y á Portaguión al</t>
  </si>
  <si>
    <t>Ximenez, Juan</t>
  </si>
  <si>
    <t>Juan Ximenez</t>
  </si>
  <si>
    <t>Cerda; y de Subtenientes de bandera en los de León, Lorca y Toro á D. Antonio González de Cevallos, D. Juan Ximenez y D. Manuel Ezequiel Diez. S. M. se ha servido nombrar para la plaza de Oidor de la Audiencia de Aragón, vacante por fallecimiento de D. Josef Regales y Cregenzan, á D. Juan Garrido L</t>
  </si>
  <si>
    <t>engol, Sargento mayor del de Zaragoza; y Ayudantías en el de Burgos ai Capitán D. Mateo Galludo y á D. Juan Ximenez , Tenientes del mismo Cuerpo. Igualmente ha promovido S. M. á Teniente en el Batallón de Voluntarios de Barbastro al Subteniente D. Mariano Calafell; y á Subtenientes de bandera e</t>
  </si>
  <si>
    <t>Ximeno, Juan</t>
  </si>
  <si>
    <t>Juan Ximeno</t>
  </si>
  <si>
    <t>D. Pedro y D. Juan Esponera. En León..................D. Pedro Gil de Tejada. En Málaga.......... . D. Juan Ximeno. En Mahon..............Doña Catalina Germán y Hugalde. En Murcia.............Sres. Moreda y Ladalid. En Oviedo............. D. Manuel Rubiano. En Patencia.......... D. Nicolás Cal</t>
  </si>
  <si>
    <t>.. D. Pedro y D. Juan Esponera. En León......... ...... D. Pedro Gil de Tejada. En Malaga.......... D. Juan Ximeno. En Mahon............ Doña Caialina Germán y Llugalde. En Murcia........... Sres. Moreda y Iadalid. En Oviedo............. D. Manuel Rubiano. En Palencia......... Viuda de D. Nico</t>
  </si>
  <si>
    <t>Xirhenez Padilla, Salvador</t>
  </si>
  <si>
    <t>Salvador Xirhenez Padilla</t>
  </si>
  <si>
    <t>ascenso á Racionero-Medio de la Catedral de la misma ciudad de D. Juan Antonio de Castro y Baena,á D. Salvador Xirhenez Padilla, Cura Rector de la Parroquia de la villa del Potosí, en el Reyno dél Perú, Arzobispado de Charcas: para el Beneficio residencial titulado Arci•prestazgo de Maderuelo, en el Obispa</t>
  </si>
  <si>
    <t>y Cañizal, Fernando Alonso</t>
  </si>
  <si>
    <t>Fernando Alonso y Cañizal</t>
  </si>
  <si>
    <t>dicha postura, acudan ante el Sr. Presidente del expresado Consistorio por el oficio del Escribano D. Fernando Alonso y Cañizal. En la villa de Casarubios del Monte, distante y leguas de Madrid, se halla vacante'la plaza de Cirujano de estuche, con el sueldo de 10 rs. diarios, pagados de los propios de dic</t>
  </si>
  <si>
    <t>y Estrada, Julián Alonso</t>
  </si>
  <si>
    <t>Julián Alonso y Estrada</t>
  </si>
  <si>
    <t>So provincia del cargo de D. Julián Alonso y Estrada, en donde penden dichos autos, á deducir de su derecho y percibo de su herencia. La Real Dirección de Abastos de esta Corte arrendará el almacén de aceyte que tiene en la calle de</t>
  </si>
  <si>
    <t>exerce D. Julián Alonso y Estrada, que se le admitirán las que hicieren,-tío baxando de las dos terceras partes de su valor, ya sea á dinero metálico, á vales, ú á uno y otro; siendo de cargo del posturante la pér</t>
  </si>
  <si>
    <t>y Isabel, Fernando</t>
  </si>
  <si>
    <t>Fernando y Isabel</t>
  </si>
  <si>
    <t>l de Granada; Capilla del Sagrario y Sacristía, y los sepulcros de los Srcs. Reyes con* quistadores D. Fernando y Doña Isabel, y de sus sucesores D. Felipe V Doña Juana; la vista, planta y corte ó perfiles de la Catedral de Córdoba en la forma que hoy está; planta de la mezquita antigua de la misma ciuda</t>
  </si>
  <si>
    <t>y Justo Torrijos, Domingo</t>
  </si>
  <si>
    <t>Domingo y Justo Torrijos</t>
  </si>
  <si>
    <t>haud: en Granada D. Juan Manuel García de Tejada y compañía: en Córdoba D. Ventura AuJe: en Sevilla D. Domingo y Justo Torrijos; y en Cádiz D. Juan Ingrand. j* Joan. Laurentli Berti Fr. Erem. Aug., libror. 37 de Thcologicis disciplinis accurata, synopsis á Fr. Hieronymo Maria Buzio, ejusd. Ordinis, concinn</t>
  </si>
  <si>
    <t>ud; en, G ranada-D. Juan Manuel García de Tejada y compañía; en,Córdoba D. Ventura Aule: en Sevilla D. Domingo y Justo Torrijos; y en Cádiz en la imprenta y librería de Pajáres; agregando ahora en Pamplona; al Administrador general.de*lg Real;Lotería, y en Tudela á D. Josef Tarazona , Oficial del Correo. »</t>
  </si>
  <si>
    <t>y Santiago, Felipe</t>
  </si>
  <si>
    <t>Felipe y Santiago</t>
  </si>
  <si>
    <t>uida nobleza de D. Juan Clemente Nuñez del Castillo y de Molina , Marques de S. Felipe y Santiago, natural de la Havana, ha venido S. M. en concederle los honores de' Grande de España, con el título de Conde del Castillo, para sí y su casa; de que se le ha expedido el diploma correspon</t>
  </si>
  <si>
    <t>y Vidal, Pedro Benito</t>
  </si>
  <si>
    <t>Pedro Benito y Vidal</t>
  </si>
  <si>
    <t>udad de Murcia á D. Pablo Jover y Placies: para la de la ciudad de Almuñecar y villa de Salobreña á D, Pedro Benito y Vidal: para la de la Población de Algeciras á D. Josef García Infante: para la de la villa de Fortuna á D. Agustín Tosantos; y para la de la Población de los Barrios , en el Campo de Ro</t>
  </si>
  <si>
    <t>y Zíiñiga, Luis Carlos</t>
  </si>
  <si>
    <t>Luis Carlos y Zíiñiga</t>
  </si>
  <si>
    <t>teraria contiene épocas de varias monedas antiguas Españolas, de letras Celtibéricas y Bélicas, por D. Luis Carlos y Zíiñiga. Por decreto de 30 de Julio próximo pasado, del Sr. Intendente de esta Provincia D. Ped ro de Mora y Lomas, se han señalado 30 dias para la mejora del quarto, contados desde el 7</t>
  </si>
  <si>
    <t>Yañez Montenegro, Manuel</t>
  </si>
  <si>
    <t>Manuel Yañez Montenegro</t>
  </si>
  <si>
    <t>alenzuela; empleo de Alférez de granaderos á D. Carlos Velarde; y sencillos á D. Mariano Mollinedo, D. Manuel Yañez Montenegro, D. Pedro Vicira Escovedo, D. Melchor de Salas Vaidés, D. Narciso Roseiió, Don Pablo Salgüeyro., D. Isidro Miranda, D. Mariano Sánchez, D. Angel Santa María Perez, D. Santiago Mon</t>
  </si>
  <si>
    <t>Yañez Ribadeneyra, Ignacio</t>
  </si>
  <si>
    <t>Ignacio Yañez Ribadeneyra</t>
  </si>
  <si>
    <t>o ha acordado se publique la relación siguiente: . - &lt;E1 Corregidor de la villa de Molina de Aragón D. Ignacio Yañez Ribadeneyra y D. Rafael Garces de Marcilla, vecino de la misma, promoviéron en el año de 1803 la erección de una Junta de Caridad, con el fin de atender al alivio de los enfermos y convalecientes</t>
  </si>
  <si>
    <t>Yaques, Antonio</t>
  </si>
  <si>
    <t>Antonio Yaques</t>
  </si>
  <si>
    <t>nes de Almansa Compañía al Ayudante, graduado de Capitán, D. Francisco Cardona; Tenencia al Alférez D. Antonio Yaques, y empleos de Alférez á los Cadetes D. Josef Moreno del Castillo y D. Cárlos Rubira. Deseosa la Real Junta de hospitales General y Pasión de esta Corte de promover y mejorar el im</t>
  </si>
  <si>
    <t>Yorke</t>
  </si>
  <si>
    <t>ord Meiville. Dicen que será su sucesor el Conde de Buckinghamshire: otros dicen que le reemplazará Mr. Yorke. El Gobierno ha mandado enviar Inmediatamente á las Indias Occidentales y ai Mediterráneo grande cantidad de provisiones y municiones. El sábado se despacharon órdenes á Portsmout</t>
  </si>
  <si>
    <t>Yuste, Francisco Martín</t>
  </si>
  <si>
    <t>Francisco Martín Yuste</t>
  </si>
  <si>
    <t>oja: para la Dignidad de Prior de la Catedral de Segovia, vacante por muerte de D. Pedro Sagrado, á Don Francisco Martin Yuste: para una Ración de la Catedral de Sigiienza, por fallecimiento de D. Julián Barbajosa, á D. Santiago Fernandez de Bulnes, Medio-Racionero de ella : para otra de la de Santander p</t>
  </si>
  <si>
    <t>Yuste, Manuel</t>
  </si>
  <si>
    <t>Manuel Yuste</t>
  </si>
  <si>
    <t>pitaiíe's dé fusilerds-al Ayudante D. Ffancisí co Arosemena, y á tos: Tenientes D. Rafael Zorrilla, D. Manuel Yuste f D. Josef de Fabrega; á Ayudante y* Teniente de granaderos á los de fusU leros D. Nicolás Reinon y D. Baltasar de Áyala; á Tenientes de fusileros á los Subtenientes D. Antonio de</t>
  </si>
  <si>
    <t>Zach Jas, Teniente General</t>
  </si>
  <si>
    <t>Teniente General Zach Jas</t>
  </si>
  <si>
    <t>al General Mayor Conde de Grun he encargado la parte política, las promociones y nombramientos: al Teniente General Zach Jas operaciones propias de la guerra: al Teniente Coronel Picard la policía del exército; y al Feld-Mariscal Barón de Skal todo lo relativo á la administración y subsistencia del exér</t>
  </si>
  <si>
    <t>Zach, General</t>
  </si>
  <si>
    <t>General Zach</t>
  </si>
  <si>
    <t>to enteramente. No sabemos quando saldrá el Archiduque Cárlos; pero su Quartel-Maestre general ; el General Zach, ha salido ya para Padua. Dícese que el Conde de Apraxin ha sido nombrado Generalísimo de to-f das las tropas Rusas, y que vendrán baxo sus órdenes los Generales; Michelson, Sucht</t>
  </si>
  <si>
    <t>Zainudio, Antonio</t>
  </si>
  <si>
    <t>Antonio Zainudio</t>
  </si>
  <si>
    <t>Apodaca; Tenencia de granaderos á Di Josef de Noya ; y de-fusileros á D. Francisco García deJPonce, D. Antonio Zainudio, D. Francisco de Lira, Don Josef Zarate y D. Manuel Nuñez; Subtenencia de granaderos á D. Fermín Albares; de fusileros á IX Dámaso Mesa, D. Marcelo Sanabria , Don Miguel Parra, D.</t>
  </si>
  <si>
    <t>Zamora, Felipe</t>
  </si>
  <si>
    <t>Felipe Zamora</t>
  </si>
  <si>
    <t>ente, graduado de Capitán, D.Tomas López *. áTeniente en el de Navarra al Subteniente de granaderos D. Felipe Zamora; y ú Ayudante en el de Voluntarios de Estado al Teniente, graduado de Capitán, D. Julián Romero. En el Real Cuerpo de Ingenieros del exército se ha servido el Rey promover á Capit</t>
  </si>
  <si>
    <t>Zapatero, Manuel</t>
  </si>
  <si>
    <t>Manuel Zapatero</t>
  </si>
  <si>
    <t>onarse de ella D. Matías Casado, á quien nombré por decreto de 20 de Mayo del año próximo pasado, á D. Manuel Zapatero, Capellán de la Parroquia de la Santísima Trinidad de la propia villa de Roa: para la plaza de Capellán Penitenciario del Real Monasterio de la Visitación de esta villa, vacante p</t>
  </si>
  <si>
    <t>Zappino, Cayetano</t>
  </si>
  <si>
    <t>Cayetano Zappino</t>
  </si>
  <si>
    <t>eniente Coronel D. Francisco Hurtado, Sargento mayor de Brigada: este empleo los Capitanes primeros D. Cayetano Zappino, D. Antonio Sangenis, y D. Josef Torras y Pellicer, graduado de Teniente Coronel; á Capitán primero D. Juan Sociats, Capitán segundo; y á este empleo el Teniente D. Tomas Pascual</t>
  </si>
  <si>
    <t>Zarzal, Alonso</t>
  </si>
  <si>
    <t>Alonso Zarzal</t>
  </si>
  <si>
    <t>m. 5 * manz. 414, propia de las fundaciones pías que en la villa de Valdemorillo estableció el Lie. D. Alonso Zarzal: su area comprehende 4111 pies superficiales; el edificio se compone de quartos baxos, principales y segundos, con las obras conducentes de limpieza y pozo de aguas claras, y se h</t>
  </si>
  <si>
    <t>Zasrrow, General</t>
  </si>
  <si>
    <t>General Zasrrow</t>
  </si>
  <si>
    <t>umplimentar, en su nombre, á S. M. I. El Oficial Prusiano que desempeñará esta comisión es el Mayor-General Zasrrow. El verdadero objeto de estas comisiones es un secreto de ambos Gabinetes. SUIZA. Schaffhussa 2$ de Marzo. Dase por cierto que las negociaciones, reiativas á las incameraciones, s</t>
  </si>
  <si>
    <t>Zastrow, General</t>
  </si>
  <si>
    <t>General Zastrow</t>
  </si>
  <si>
    <t>Núm. 64. GAZETA DE MADRID DEL VIERNES 9 DE AGOSTO DE i8of. PRUSIA. Berlín 29 de Junio, El Mayor General Zastrow, que fue á Petersburgo con una comisión diplomática de suma importancia, se hace lenguas al describir la buena acogida y el recibimiento lleno de bondad que ha tenido del Emperado</t>
  </si>
  <si>
    <t>General Zastrow á Alexandersbad, é ihmediatam2iite tuvo audiencia de S. M., á la qual asístiéron Mrs. de Hardenberg y de Lucchesini; duro tres horas largas. Dase por seguro que el Emperador de Ru</t>
  </si>
  <si>
    <t>Zavaleta, Juan</t>
  </si>
  <si>
    <t>Juan Zavaleta</t>
  </si>
  <si>
    <t>fio Domingo Clavaríoo; á Tenientes á los Subtenientes de granaderos D. Juan Zavaleta y D. Antonio Espejo, y al de fusileros D. Antonio de Hosta; á Subtenientes de granaderos á los de fusileros D. Josef Galindo y D. Benigno Morales, y á Subtenientes de bandera á los Ca</t>
  </si>
  <si>
    <t>Zea, Francisco Antonio</t>
  </si>
  <si>
    <t>Francisco Antonio Zea</t>
  </si>
  <si>
    <t>Botánica, leído en ei Rea! Jardín el 17 de Abril, para dar principio á las lecciones públicas, por D. Francisco Antonio Zea, Gefe y primer Profesor del mismo Real establecimiento, miembro de la Sociedad médica de emulación, de ia Filomática, de la de Farmacia,, de la de ^oS Observadores del hofnbre,de</t>
  </si>
  <si>
    <t>Zegeri Bernardi Van-Espen</t>
  </si>
  <si>
    <t>uenas costumbres: 2 tomos en 8.°, enquadernados en un volúmen, á 12 rs. en pergamino y 14 en pasta.=D. Zegeri Bernardi Van-Espen, celeberrimi Jurisconsulti Lovaniensis jus ecclesiasticum in epitomen redactum, á D. P. Benedicto Oberhauser, J. V. D. Reverendissimi ac Celsissimí S. R. I., Prineípis ae Archiepí</t>
  </si>
  <si>
    <t>Zenon Alonso</t>
  </si>
  <si>
    <t>cederle honores y antigüedad de su Supremo Consejo de las Indias. También ha conferido S. M. ai Sr. D. Zenon Alonso, Oficial mayor segundo de la misma Secretaría del Despacho, la plaza de Ministro de Capa y Espada, vacante en dicho Consejo, por fallecimiento del Sr. Don Manuel Josef de Ayala. Y</t>
  </si>
  <si>
    <t>Zequeira, Manuel</t>
  </si>
  <si>
    <t>Manuel Zequeira</t>
  </si>
  <si>
    <t>ía igual empleo en el de Cuba ; y ha promovido á Capitán al graduado de esta clase y Ayudante mayor D. Manuel Zequeira: «i Ayudantes mayores los Tenientes D. Ignacio Salazar, de granaderos, y D. Josef Claudio Zuñiga; á Teniente de granaderos al de fusileros D. Manuel Molina; á Tenientes los Subten</t>
  </si>
  <si>
    <t>Ziriza, Pedro</t>
  </si>
  <si>
    <t>Pedro Ziriza</t>
  </si>
  <si>
    <t>. Introducción al estudio de la Astronomía física, escrita en francés por Mr. Cousin, traducida por D. Pedro Ziriza, á 30 rs. en pasta. Uranografía, ó Descripción del cielo, por D. Josef Garriga: un tomo en 4.0, y 3 planisferios grandes, á 48 rs. en pasta. Curso elemental de Meteorología, por e</t>
  </si>
  <si>
    <t>Zito, Joaquín</t>
  </si>
  <si>
    <t>Joaquín Zito</t>
  </si>
  <si>
    <t>. Joan Antonio de Arcos: en el de Aragón á Ayudante ai Teniente de granaderos, graduado de Capitán, D. Joaquín Zito; y á Teniente al Subteniente D. Manuel Arcada: en el de Jaén á Tenientes á los Subtenientes de granaderos D. Juan Nepomuceno Osorno y D. Francisco Echegaraya ; y á Capitán segundo</t>
  </si>
  <si>
    <t>Zixianow, Príncipe</t>
  </si>
  <si>
    <t>Príncipe Zixianow</t>
  </si>
  <si>
    <t>a, á 80 verstas mas allá del campo de batalla, pidiendo socorro á su padre Baba-Kan. Entre tanto el Príncipe Zixianow cercó con sus Rusos la fortaleza de Erivan , y el 5 de Julio empezó á bombardear la ciudad. El 15, ai rayar ei día, ios Persas acome1</t>
  </si>
  <si>
    <t>Zizianow, Príncipe</t>
  </si>
  <si>
    <t>Príncipe Zizianow</t>
  </si>
  <si>
    <t>rosa caballería , con el objeto de cortar los víveres á los Rusos. Esto y la noticia que recibió el Príncipe Zizianow de haberse rebelado los pueblos que habitan los peñascos del Cáucaso, movidos por Baba-Kan y por los Príncipes Grusiniosjulem, Parnaos y Alexandro (el último está en nuestro poder),</t>
  </si>
  <si>
    <t>nos la pintan como una conseqiiencia necesaria de la celeridad con que el exército, mandado por el Príncipe Zizianow, se había internado en laPersia sin consultar sus fuerzas. Muy distante para recibir socorros, pudo muy bien firmar una tregua de siete meses, sin descrédito alguno del nombre Rus</t>
  </si>
  <si>
    <t>Georgia no será extraño que haya un descontento general, á causa de su sistema duro y riguroso. El Príncipe Zizianow ha puesto presos á 60 de los sugetos principales de Teflis, y dos hijos del Príncipe Heraclio se han visto precisados á huir á la Persia. RUSIA. Arcdngelo jo de Julio. El 11 del c</t>
  </si>
  <si>
    <t>Zizinof, Príncipe</t>
  </si>
  <si>
    <t>Príncipe Zizinof</t>
  </si>
  <si>
    <t>ración del Reiss-Eifendi , Ministro de Negocios extranjeros. RUSIA. Petersburgo 2$ de Noviembre. El Príncipe Zizinof, que manda el exercito de Pérsia, y del qual no teníamos noticias mucho tiempo hace, acaba de enviar pliegos, dando cuenta de haber vuelto las tropas de su mando á Tiflis; y. añad</t>
  </si>
  <si>
    <t>Zorrilla de Velasen, Francisco</t>
  </si>
  <si>
    <t>Francisco Zorrilla de Velasen</t>
  </si>
  <si>
    <t>ción de piedra, cascote, y demas materiales para acabarla. Quien quisiere tratar de ajuste, acuda á D. Francisco Zorrilla de Velasen, calle de D.Pedro,núm. 10,á puerta de Moros, quien tiene las llaves pora enseñarla. En la villa de Azpeitia, Provincia de Guipúzcoa, se halla vacante la plaza de Maestro de Primer</t>
  </si>
  <si>
    <t>Zorrilla, Rafael</t>
  </si>
  <si>
    <t>Rafael Zorrilla</t>
  </si>
  <si>
    <t>. Juan Aldrete; á Gapitaiíe's dé fusilerds-al Ayudante D. Ffancisí co Arosemena, y á tos: Tenientes D. Rafael Zorrilla, D. Manuel Yuste f D. Josef de Fabrega; á Ayudante y* Teniente de granaderos á los de fusU leros D. Nicolás Reinon y D. Baltasar de Áyala; á Tenientes de fusileros á los Subtenien</t>
  </si>
  <si>
    <t>Zuloaga, Gregorio</t>
  </si>
  <si>
    <t>Gregorio Zuloaga</t>
  </si>
  <si>
    <t>ileros á D. Evaristo Franco, D. Diego Aliaga, D. Juan Cáceres, D. Josef Camacho, D. Martin Terroba, D. Gregorio Zuloaga, D. Josef García y D. Juan Peralta; Ayudantía á D. Josef Romero; Tenencia de granaderos á D. Juan Estevez,y de fusileros á D. Tomas Carreri,D. Juan Anglés, Don Pascual Toledo, D.</t>
  </si>
  <si>
    <t>Zuñiga, Tomás</t>
  </si>
  <si>
    <t>Tomás Zuñiga</t>
  </si>
  <si>
    <t>de Milicias urbanas de infantería de Calca á D. Josef García, L). Vicente Rosas, D. Carlos Vargas, D. Tomas Zuñiga, D. Bernardo García y D. Eugenio Costilla: Subtenientes en dicho Cuerpo á Don Francisco Vidad , D. Manuel Concha, D. Josef Antonio la Cueva, Don Agustín Valer, D. Manuel Perez, D.</t>
  </si>
  <si>
    <t>Fuentes y criterio de elaboración</t>
  </si>
  <si>
    <t>Páginas impresas</t>
  </si>
  <si>
    <t>Registros</t>
  </si>
  <si>
    <t>Fascículo oficial (PDF)</t>
  </si>
  <si>
    <t>1–12</t>
  </si>
  <si>
    <t>13–24</t>
  </si>
  <si>
    <t>25–32</t>
  </si>
  <si>
    <t>33–44</t>
  </si>
  <si>
    <t>45–56</t>
  </si>
  <si>
    <t>57–68</t>
  </si>
  <si>
    <t>69–80</t>
  </si>
  <si>
    <t>81–92</t>
  </si>
  <si>
    <t>93–104</t>
  </si>
  <si>
    <t>105–112</t>
  </si>
  <si>
    <t>113–124</t>
  </si>
  <si>
    <t>125–132</t>
  </si>
  <si>
    <t>133–140</t>
  </si>
  <si>
    <t>141–148</t>
  </si>
  <si>
    <t>149–160</t>
  </si>
  <si>
    <t>161–168</t>
  </si>
  <si>
    <t>169–180</t>
  </si>
  <si>
    <t>181–188</t>
  </si>
  <si>
    <t>18 (supl.)</t>
  </si>
  <si>
    <t>sin numerar (4 págs. PDF)</t>
  </si>
  <si>
    <t>189–200</t>
  </si>
  <si>
    <t>201–212</t>
  </si>
  <si>
    <t>213–224</t>
  </si>
  <si>
    <t>225–236</t>
  </si>
  <si>
    <t>237–248</t>
  </si>
  <si>
    <t>249–260</t>
  </si>
  <si>
    <t>261–268</t>
  </si>
  <si>
    <t>25 (supl.)</t>
  </si>
  <si>
    <t>sin numerar (2 págs. PDF)</t>
  </si>
  <si>
    <t>269–280</t>
  </si>
  <si>
    <t>281–292</t>
  </si>
  <si>
    <t>293–304</t>
  </si>
  <si>
    <t>305–316</t>
  </si>
  <si>
    <t>317–324</t>
  </si>
  <si>
    <t>325–336</t>
  </si>
  <si>
    <t>337–344</t>
  </si>
  <si>
    <t>345–356</t>
  </si>
  <si>
    <t>357–364</t>
  </si>
  <si>
    <t>34 (supl.)</t>
  </si>
  <si>
    <t>365–368</t>
  </si>
  <si>
    <t>369–380</t>
  </si>
  <si>
    <t>381–392</t>
  </si>
  <si>
    <t>393–404</t>
  </si>
  <si>
    <t>405–412</t>
  </si>
  <si>
    <t>413–424</t>
  </si>
  <si>
    <t>425–432</t>
  </si>
  <si>
    <t>433–444</t>
  </si>
  <si>
    <t>445–456</t>
  </si>
  <si>
    <t>457–464</t>
  </si>
  <si>
    <t>465–476</t>
  </si>
  <si>
    <t>477–488</t>
  </si>
  <si>
    <t>489–500</t>
  </si>
  <si>
    <t>501–512</t>
  </si>
  <si>
    <t>513–524</t>
  </si>
  <si>
    <t>525–532</t>
  </si>
  <si>
    <t>533–544</t>
  </si>
  <si>
    <t>545–552</t>
  </si>
  <si>
    <t>553–564</t>
  </si>
  <si>
    <t>565–572</t>
  </si>
  <si>
    <t>573–580</t>
  </si>
  <si>
    <t>581–588</t>
  </si>
  <si>
    <t>55 (supl.)</t>
  </si>
  <si>
    <t>589–592</t>
  </si>
  <si>
    <t>593–604</t>
  </si>
  <si>
    <t>605–616</t>
  </si>
  <si>
    <t>617–624</t>
  </si>
  <si>
    <t>58 (supl.)</t>
  </si>
  <si>
    <t>sin numerar (8 págs. PDF)</t>
  </si>
  <si>
    <t>625–636</t>
  </si>
  <si>
    <t>637–648</t>
  </si>
  <si>
    <t>649–656</t>
  </si>
  <si>
    <t>657–664</t>
  </si>
  <si>
    <t>665–676</t>
  </si>
  <si>
    <t>677–688</t>
  </si>
  <si>
    <t>689–700</t>
  </si>
  <si>
    <t>701–712</t>
  </si>
  <si>
    <t>713–720</t>
  </si>
  <si>
    <t>721–732</t>
  </si>
  <si>
    <t>733–740</t>
  </si>
  <si>
    <t>741–748</t>
  </si>
  <si>
    <t>749–760</t>
  </si>
  <si>
    <t>761–768</t>
  </si>
  <si>
    <t>769–776</t>
  </si>
  <si>
    <t>777–788</t>
  </si>
  <si>
    <t>789–800</t>
  </si>
  <si>
    <t>801–808</t>
  </si>
  <si>
    <t>809–820</t>
  </si>
  <si>
    <t>77 (supl.)</t>
  </si>
  <si>
    <t>821–828</t>
  </si>
  <si>
    <t>829–840</t>
  </si>
  <si>
    <t>841–852</t>
  </si>
  <si>
    <t>853–860</t>
  </si>
  <si>
    <t>861–872</t>
  </si>
  <si>
    <t>873–884</t>
  </si>
  <si>
    <t>885–892</t>
  </si>
  <si>
    <t>84 (supl.)</t>
  </si>
  <si>
    <t>893–904</t>
  </si>
  <si>
    <t>85 (supl.)</t>
  </si>
  <si>
    <t>905–916</t>
  </si>
  <si>
    <t>917–928</t>
  </si>
  <si>
    <t>929–940</t>
  </si>
  <si>
    <t>941–956</t>
  </si>
  <si>
    <t>957–968</t>
  </si>
  <si>
    <t>969–980</t>
  </si>
  <si>
    <t>981–988</t>
  </si>
  <si>
    <t>989–1000</t>
  </si>
  <si>
    <t>1001–1012</t>
  </si>
  <si>
    <t>1013–1024</t>
  </si>
  <si>
    <t>95 (supl.)</t>
  </si>
  <si>
    <t>1025–1032</t>
  </si>
  <si>
    <t>96 (supl.)</t>
  </si>
  <si>
    <t>1033–1036</t>
  </si>
  <si>
    <t>1037–1048</t>
  </si>
  <si>
    <t>1049–1060</t>
  </si>
  <si>
    <t>1061–1072</t>
  </si>
  <si>
    <t>99 (supl.)</t>
  </si>
  <si>
    <t>1073–1084</t>
  </si>
  <si>
    <t>1085–1096</t>
  </si>
  <si>
    <t>1097–1108</t>
  </si>
  <si>
    <t>1109–1116</t>
  </si>
  <si>
    <t>1117–1128</t>
  </si>
  <si>
    <t>1129–1140</t>
  </si>
  <si>
    <t>Alcance</t>
  </si>
  <si>
    <t>Índice de personas citadas en los 105 números y sus documentos asociados publicados durante el año 1805.</t>
  </si>
  <si>
    <t>Cobertura</t>
  </si>
  <si>
    <t>Periodo solicitado: 1 de enero–31 de diciembre de 1805. La Gazeta publicó el número 1 el 1 de enero y el número 105 el 31 de diciembre.</t>
  </si>
  <si>
    <t>Documentos</t>
  </si>
  <si>
    <t>Se han procesado 116 PDF: 105 números y 11 suplementos o documentos asociados; no hubo número extraordinario.</t>
  </si>
  <si>
    <t>Paginación</t>
  </si>
  <si>
    <t>La numeración principal llega a la página 1140. Los suplementos de los números 34, 55 y 96 continúan la paginación general del volumen.</t>
  </si>
  <si>
    <t>Facsímiles</t>
  </si>
  <si>
    <t>Varios suplementos reúnen más páginas impresas que imágenes PDF; la hoja de fuentes conserva el rango impreso y cada registro enlaza con la imagen PDF correspondiente.</t>
  </si>
  <si>
    <t>Suplementos independientes</t>
  </si>
  <si>
    <t>Los documentos asociados a los números 18, 25, 58, 77, 84, 85, 95 y 99 tienen paginación independiente y se indican por página del PDF.</t>
  </si>
  <si>
    <t>Relaciones militares</t>
  </si>
  <si>
    <t>Los suplementos independientes de los números 25, 85 y 99 se procesaron también por columnas y filas para recuperar 229 registros de sus relaciones.</t>
  </si>
  <si>
    <t>Ordenación</t>
  </si>
  <si>
    <t>La primera columna reordena de forma estimada apellidos y nombre para facilitar la búsqueda; «Nombre leído» conserva el orden de lectura.</t>
  </si>
  <si>
    <t>OCR</t>
  </si>
  <si>
    <t>La tipografía histórica y el estado del facsímil pueden producir confusiones de letras, tildes, partículas y guiones de final de línea.</t>
  </si>
  <si>
    <t>Estado</t>
  </si>
  <si>
    <t>«Revisado» = lectura comprobada; «Cotejo puntual» = contexto estable; «Cotejar OCR» = verificar en el facsímil antes de citar.</t>
  </si>
  <si>
    <t>Facsímil</t>
  </si>
  <si>
    <t>Todos los enlaces conducen a los PDF oficiales de la Gazeta histórica conservados por el Boletín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</si>
</sst>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20"/>
      <color rgb="FFFFFFFF"/>
      <name val="Aptos"/>
    </font>
    <font>
      <sz val="11"/>
      <color rgb="FFFFFFFF"/>
      <name val="Aptos"/>
    </font>
    <font>
      <b/>
      <sz val="10"/>
      <color rgb="FF17365D"/>
      <name val="Aptos"/>
    </font>
    <font>
      <i/>
      <sz val="10"/>
      <color rgb="FF7F6000"/>
      <name val="Aptos"/>
    </font>
    <font>
      <b/>
      <sz val="10"/>
      <color rgb="FFFFFFFF"/>
      <name val="Aptos"/>
    </font>
    <font>
      <sz val="9"/>
      <name val="Aptos"/>
    </font>
    <font>
      <sz val="9"/>
      <color rgb="FF0563C1"/>
      <name val="Aptos"/>
    </font>
    <font>
      <sz val="10"/>
      <name val="Aptos"/>
    </font>
    <font>
      <sz val="10"/>
      <color rgb="FF0563C1"/>
      <name val="Aptos"/>
    </font>
  </fonts>
  <fills count="6">
    <fill>
      <patternFill patternType="none"/>
    </fill>
    <fill>
      <patternFill patternType="gray125"/>
    </fill>
    <fill>
      <patternFill patternType="solid">
        <fgColor rgb="FF17365D"/>
      </patternFill>
    </fill>
    <fill>
      <patternFill patternType="solid">
        <fgColor rgb="FF1F4E78"/>
      </patternFill>
    </fill>
    <fill>
      <patternFill patternType="solid">
        <fgColor rgb="FFD9EAF7"/>
      </patternFill>
    </fill>
    <fill>
      <patternFill patternType="solid">
        <fgColor rgb="FFFFF2CC"/>
      </patternFill>
    </fill>
  </fills>
  <borders count="11">
    <border>
      <left/>
      <right/>
      <top/>
      <bottom/>
      <diagonal/>
    </border>
    <border>
      <left style="thin">
        <color rgb="FFA6B7C8"/>
      </left>
      <right style="thin">
        <color rgb="FFA6B7C8"/>
      </right>
      <top style="thin">
        <color rgb="FFA6B7C8"/>
      </top>
      <bottom style="thin">
        <color rgb="FFA6B7C8"/>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s>
  <cellStyleXfs count="1">
    <xf numFmtId="0" fontId="0" fillId="0" borderId="0"/>
  </cellStyleXfs>
  <cellXfs count="35">
    <xf numFmtId="0" fontId="0" fillId="0" borderId="0" xfId="0"/>
    <xf numFmtId="0" fontId="5" fillId="2" borderId="1" xfId="0" applyFont="1" applyFill="1" applyBorder="1" applyAlignment="1">
      <alignment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3" xfId="0" applyFont="1" applyBorder="1" applyAlignment="1">
      <alignment horizontal="center" vertical="top" wrapText="1"/>
    </xf>
    <xf numFmtId="0" fontId="6" fillId="0" borderId="6" xfId="0" applyFont="1" applyBorder="1" applyAlignment="1">
      <alignment horizontal="center" vertical="top" wrapText="1"/>
    </xf>
    <xf numFmtId="0" fontId="6" fillId="0" borderId="9" xfId="0" applyFont="1" applyBorder="1" applyAlignment="1">
      <alignment horizontal="center" vertical="top"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6" fillId="0" borderId="4" xfId="0" applyFont="1" applyBorder="1" applyAlignment="1">
      <alignment horizontal="center" vertical="top" wrapText="1"/>
    </xf>
    <xf numFmtId="0" fontId="6" fillId="0" borderId="7" xfId="0" applyFont="1" applyBorder="1" applyAlignment="1">
      <alignment horizontal="center" vertical="top" wrapText="1"/>
    </xf>
    <xf numFmtId="0" fontId="6" fillId="0" borderId="10" xfId="0" applyFont="1" applyBorder="1" applyAlignment="1">
      <alignment horizontal="center" vertical="top" wrapText="1"/>
    </xf>
    <xf numFmtId="0" fontId="8" fillId="0" borderId="3"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3" fillId="4" borderId="6" xfId="0" applyFont="1" applyFill="1" applyBorder="1" applyAlignment="1">
      <alignment vertical="top"/>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xf>
    <xf numFmtId="0" fontId="4" fillId="5" borderId="0" xfId="0" applyFont="1" applyFill="1" applyAlignment="1">
      <alignment vertical="center" wrapText="1"/>
    </xf>
    <xf numFmtId="0" fontId="8" fillId="0" borderId="6" xfId="0" applyFont="1" applyBorder="1" applyAlignment="1">
      <alignment vertical="top" wrapText="1"/>
    </xf>
  </cellXfs>
  <cellStyles count="1">
    <cellStyle name="Normal" xfId="0" builtinId="0"/>
  </cellStyles>
  <dxfs count="2">
    <dxf>
      <font>
        <color rgb="FF375623"/>
      </font>
      <fill>
        <patternFill patternType="solid">
          <bgColor rgb="FFE2F0D9"/>
        </patternFill>
      </fill>
    </dxf>
    <dxf>
      <font>
        <color rgb="FF7F60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05" displayName="IndiceOnomasticoAnual1805" ref="A6:K6280" totalsRowShown="0">
  <autoFilter ref="A6:K6280"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Nº Gazeta"/>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05" displayName="FuentesGacetaAnual1805" ref="A3:E119" totalsRowShown="0">
  <autoFilter ref="A3:E119" xr:uid="{00000000-0009-0000-0100-000002000000}"/>
  <tableColumns count="5">
    <tableColumn id="1" xr3:uid="{00000000-0010-0000-0100-000001000000}" name="Nº Gazeta"/>
    <tableColumn id="2" xr3:uid="{00000000-0010-0000-0100-000002000000}" name="Fecha"/>
    <tableColumn id="3" xr3:uid="{00000000-0010-0000-0100-000003000000}" name="Páginas impresas"/>
    <tableColumn id="4" xr3:uid="{00000000-0010-0000-0100-000004000000}" name="Registros"/>
    <tableColumn id="5" xr3:uid="{00000000-0010-0000-0100-000005000000}" name="Fascículo oficial (PDF)"/>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K6280"/>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14" customWidth="1"/>
    <col min="7" max="7" width="13" customWidth="1"/>
    <col min="8" max="8" width="38" customWidth="1"/>
    <col min="9" max="9" width="45" customWidth="1"/>
    <col min="10" max="10" width="18" customWidth="1"/>
    <col min="11" max="11" width="17" customWidth="1"/>
  </cols>
  <sheetData>
    <row r="1" spans="1:11" ht="32.1" customHeight="1">
      <c r="A1" s="30" t="s">
        <v>0</v>
      </c>
      <c r="B1" s="30"/>
      <c r="C1" s="30"/>
      <c r="D1" s="30"/>
      <c r="E1" s="30"/>
      <c r="F1" s="30"/>
      <c r="G1" s="30"/>
      <c r="H1" s="30"/>
      <c r="I1" s="30"/>
      <c r="J1" s="30"/>
      <c r="K1" s="30"/>
    </row>
    <row r="2" spans="1:11" ht="24" customHeight="1">
      <c r="A2" s="31" t="s">
        <v>1</v>
      </c>
      <c r="B2" s="31"/>
      <c r="C2" s="31"/>
      <c r="D2" s="31"/>
      <c r="E2" s="31"/>
      <c r="F2" s="31"/>
      <c r="G2" s="31"/>
      <c r="H2" s="31"/>
      <c r="I2" s="31"/>
      <c r="J2" s="31"/>
      <c r="K2" s="31"/>
    </row>
    <row r="3" spans="1:11">
      <c r="A3" s="32" t="s">
        <v>2</v>
      </c>
      <c r="B3" s="32"/>
      <c r="C3" s="32"/>
      <c r="D3" s="32" t="s">
        <v>3</v>
      </c>
      <c r="E3" s="32"/>
      <c r="F3" s="32"/>
      <c r="G3" s="32"/>
      <c r="H3" s="32"/>
      <c r="I3" s="32"/>
      <c r="J3" s="32"/>
      <c r="K3" s="32"/>
    </row>
    <row r="4" spans="1:11" ht="30" customHeight="1">
      <c r="A4" s="33" t="s">
        <v>4</v>
      </c>
      <c r="B4" s="33"/>
      <c r="C4" s="33"/>
      <c r="D4" s="33"/>
      <c r="E4" s="33"/>
      <c r="F4" s="33"/>
      <c r="G4" s="33"/>
      <c r="H4" s="33"/>
      <c r="I4" s="33"/>
      <c r="J4" s="33"/>
      <c r="K4" s="33"/>
    </row>
    <row r="6" spans="1:11" ht="33.950000000000003" customHeight="1">
      <c r="A6" s="1" t="s">
        <v>5</v>
      </c>
      <c r="B6" s="1" t="s">
        <v>6</v>
      </c>
      <c r="C6" s="1" t="s">
        <v>7</v>
      </c>
      <c r="D6" s="1" t="s">
        <v>8</v>
      </c>
      <c r="E6" s="1" t="s">
        <v>9</v>
      </c>
      <c r="F6" s="1" t="s">
        <v>10</v>
      </c>
      <c r="G6" s="1" t="s">
        <v>11</v>
      </c>
      <c r="H6" s="1" t="s">
        <v>12</v>
      </c>
      <c r="I6" s="1" t="s">
        <v>13</v>
      </c>
      <c r="J6" s="1" t="s">
        <v>14</v>
      </c>
      <c r="K6" s="1" t="s">
        <v>15</v>
      </c>
    </row>
    <row r="7" spans="1:11" ht="42" customHeight="1">
      <c r="A7" s="2" t="s">
        <v>16</v>
      </c>
      <c r="B7" s="3" t="s">
        <v>16</v>
      </c>
      <c r="C7" s="3" t="s">
        <v>17</v>
      </c>
      <c r="D7" s="3" t="s">
        <v>18</v>
      </c>
      <c r="E7" s="3" t="s">
        <v>19</v>
      </c>
      <c r="F7" s="8">
        <v>86</v>
      </c>
      <c r="G7" s="8">
        <v>916</v>
      </c>
      <c r="H7" s="3" t="s">
        <v>20</v>
      </c>
      <c r="I7" s="3" t="s">
        <v>21</v>
      </c>
      <c r="J7" s="11" t="str">
        <f>HYPERLINK("https://www.boe.es/gazeta/dias/1805/10/25/pdfs/GMD-1805-86.pdf#page=12","Abrir facsímil")</f>
        <v>Abrir facsímil</v>
      </c>
      <c r="K7" s="14" t="s">
        <v>22</v>
      </c>
    </row>
    <row r="8" spans="1:11" ht="42" customHeight="1">
      <c r="A8" s="4" t="s">
        <v>23</v>
      </c>
      <c r="B8" s="5" t="s">
        <v>23</v>
      </c>
      <c r="C8" s="5" t="s">
        <v>17</v>
      </c>
      <c r="D8" s="5" t="s">
        <v>18</v>
      </c>
      <c r="E8" s="5" t="s">
        <v>24</v>
      </c>
      <c r="F8" s="9">
        <v>11</v>
      </c>
      <c r="G8" s="9">
        <v>123</v>
      </c>
      <c r="H8" s="5" t="s">
        <v>20</v>
      </c>
      <c r="I8" s="5" t="s">
        <v>25</v>
      </c>
      <c r="J8" s="12" t="str">
        <f>HYPERLINK("https://www.boe.es/gazeta/dias/1805/02/05/pdfs/GMD-1805-11.pdf#page=11","Abrir facsímil")</f>
        <v>Abrir facsímil</v>
      </c>
      <c r="K8" s="15" t="s">
        <v>22</v>
      </c>
    </row>
    <row r="9" spans="1:11" ht="42" customHeight="1">
      <c r="A9" s="4" t="s">
        <v>26</v>
      </c>
      <c r="B9" s="5" t="s">
        <v>26</v>
      </c>
      <c r="C9" s="5" t="s">
        <v>17</v>
      </c>
      <c r="D9" s="5" t="s">
        <v>18</v>
      </c>
      <c r="E9" s="5" t="s">
        <v>27</v>
      </c>
      <c r="F9" s="9">
        <v>37</v>
      </c>
      <c r="G9" s="9">
        <v>403</v>
      </c>
      <c r="H9" s="5" t="s">
        <v>20</v>
      </c>
      <c r="I9" s="5" t="s">
        <v>28</v>
      </c>
      <c r="J9" s="12" t="str">
        <f>HYPERLINK("https://www.boe.es/gazeta/dias/1805/05/07/pdfs/GMD-1805-37.pdf#page=11","Abrir facsímil")</f>
        <v>Abrir facsímil</v>
      </c>
      <c r="K9" s="15" t="s">
        <v>22</v>
      </c>
    </row>
    <row r="10" spans="1:11" ht="42" customHeight="1">
      <c r="A10" s="4" t="s">
        <v>26</v>
      </c>
      <c r="B10" s="5" t="s">
        <v>26</v>
      </c>
      <c r="C10" s="5" t="s">
        <v>29</v>
      </c>
      <c r="D10" s="5" t="s">
        <v>30</v>
      </c>
      <c r="E10" s="5" t="s">
        <v>31</v>
      </c>
      <c r="F10" s="9">
        <v>65</v>
      </c>
      <c r="G10" s="9">
        <v>700</v>
      </c>
      <c r="H10" s="5" t="s">
        <v>20</v>
      </c>
      <c r="I10" s="5" t="s">
        <v>32</v>
      </c>
      <c r="J10" s="12" t="str">
        <f>HYPERLINK("https://www.boe.es/gazeta/dias/1805/08/13/pdfs/GMD-1805-65.pdf#page=12","Abrir facsímil")</f>
        <v>Abrir facsímil</v>
      </c>
      <c r="K10" s="15" t="s">
        <v>22</v>
      </c>
    </row>
    <row r="11" spans="1:11" ht="42" customHeight="1">
      <c r="A11" s="4" t="s">
        <v>33</v>
      </c>
      <c r="B11" s="5" t="s">
        <v>34</v>
      </c>
      <c r="C11" s="5" t="s">
        <v>35</v>
      </c>
      <c r="D11" s="5" t="s">
        <v>36</v>
      </c>
      <c r="E11" s="5" t="s">
        <v>37</v>
      </c>
      <c r="F11" s="9">
        <v>54</v>
      </c>
      <c r="G11" s="9">
        <v>579</v>
      </c>
      <c r="H11" s="5" t="s">
        <v>20</v>
      </c>
      <c r="I11" s="5" t="s">
        <v>38</v>
      </c>
      <c r="J11" s="12" t="str">
        <f>HYPERLINK("https://www.boe.es/gazeta/dias/1805/07/05/pdfs/GMD-1805-54.pdf#page=7","Abrir facsímil")</f>
        <v>Abrir facsímil</v>
      </c>
      <c r="K11" s="15" t="s">
        <v>22</v>
      </c>
    </row>
    <row r="12" spans="1:11" ht="42" customHeight="1">
      <c r="A12" s="4" t="s">
        <v>39</v>
      </c>
      <c r="B12" s="5" t="s">
        <v>39</v>
      </c>
      <c r="C12" s="5" t="s">
        <v>29</v>
      </c>
      <c r="D12" s="5" t="s">
        <v>30</v>
      </c>
      <c r="E12" s="5" t="s">
        <v>40</v>
      </c>
      <c r="F12" s="9">
        <v>59</v>
      </c>
      <c r="G12" s="9">
        <v>635</v>
      </c>
      <c r="H12" s="5" t="s">
        <v>20</v>
      </c>
      <c r="I12" s="5" t="s">
        <v>41</v>
      </c>
      <c r="J12" s="12" t="str">
        <f>HYPERLINK("https://www.boe.es/gazeta/dias/1805/07/23/pdfs/GMD-1805-59.pdf#page=11","Abrir facsímil")</f>
        <v>Abrir facsímil</v>
      </c>
      <c r="K12" s="15" t="s">
        <v>22</v>
      </c>
    </row>
    <row r="13" spans="1:11" ht="42" customHeight="1">
      <c r="A13" s="4" t="s">
        <v>42</v>
      </c>
      <c r="B13" s="5" t="s">
        <v>43</v>
      </c>
      <c r="C13" s="5" t="s">
        <v>17</v>
      </c>
      <c r="D13" s="5" t="s">
        <v>18</v>
      </c>
      <c r="E13" s="5" t="s">
        <v>44</v>
      </c>
      <c r="F13" s="9">
        <v>29</v>
      </c>
      <c r="G13" s="9">
        <v>313</v>
      </c>
      <c r="H13" s="5" t="s">
        <v>20</v>
      </c>
      <c r="I13" s="5" t="s">
        <v>45</v>
      </c>
      <c r="J13" s="12" t="str">
        <f>HYPERLINK("https://www.boe.es/gazeta/dias/1805/04/09/pdfs/GMD-1805-29.pdf#page=9","Abrir facsímil")</f>
        <v>Abrir facsímil</v>
      </c>
      <c r="K13" s="15" t="s">
        <v>22</v>
      </c>
    </row>
    <row r="14" spans="1:11" ht="42" customHeight="1">
      <c r="A14" s="4" t="s">
        <v>46</v>
      </c>
      <c r="B14" s="5" t="s">
        <v>47</v>
      </c>
      <c r="C14" s="5" t="s">
        <v>17</v>
      </c>
      <c r="D14" s="5" t="s">
        <v>18</v>
      </c>
      <c r="E14" s="5" t="s">
        <v>48</v>
      </c>
      <c r="F14" s="9">
        <v>35</v>
      </c>
      <c r="G14" s="9">
        <v>379</v>
      </c>
      <c r="H14" s="5" t="s">
        <v>20</v>
      </c>
      <c r="I14" s="5" t="s">
        <v>49</v>
      </c>
      <c r="J14" s="12" t="str">
        <f>HYPERLINK("https://www.boe.es/gazeta/dias/1805/04/30/pdfs/GMD-1805-35.pdf#page=11","Abrir facsímil")</f>
        <v>Abrir facsímil</v>
      </c>
      <c r="K14" s="15" t="s">
        <v>22</v>
      </c>
    </row>
    <row r="15" spans="1:11" ht="42" customHeight="1">
      <c r="A15" s="4" t="s">
        <v>50</v>
      </c>
      <c r="B15" s="5" t="s">
        <v>51</v>
      </c>
      <c r="C15" s="5" t="s">
        <v>52</v>
      </c>
      <c r="D15" s="5" t="s">
        <v>53</v>
      </c>
      <c r="E15" s="5" t="s">
        <v>54</v>
      </c>
      <c r="F15" s="9">
        <v>99</v>
      </c>
      <c r="G15" s="9" t="s">
        <v>55</v>
      </c>
      <c r="H15" s="5" t="s">
        <v>20</v>
      </c>
      <c r="I15" s="5" t="s">
        <v>56</v>
      </c>
      <c r="J15" s="12" t="str">
        <f>HYPERLINK("https://www.boe.es/gazeta/dias/1805/12/10/pdfs/GMD-C-1805-99.pdf#page=4","Abrir facsímil")</f>
        <v>Abrir facsímil</v>
      </c>
      <c r="K15" s="15" t="s">
        <v>22</v>
      </c>
    </row>
    <row r="16" spans="1:11" ht="42" customHeight="1">
      <c r="A16" s="4" t="s">
        <v>57</v>
      </c>
      <c r="B16" s="5" t="s">
        <v>58</v>
      </c>
      <c r="C16" s="5" t="s">
        <v>35</v>
      </c>
      <c r="D16" s="5" t="s">
        <v>36</v>
      </c>
      <c r="E16" s="5" t="s">
        <v>59</v>
      </c>
      <c r="F16" s="9">
        <v>21</v>
      </c>
      <c r="G16" s="9">
        <v>221</v>
      </c>
      <c r="H16" s="5" t="s">
        <v>20</v>
      </c>
      <c r="I16" s="5" t="s">
        <v>60</v>
      </c>
      <c r="J16" s="12" t="str">
        <f>HYPERLINK("https://www.boe.es/gazeta/dias/1805/03/12/pdfs/GMD-1805-21.pdf#page=9","Abrir facsímil")</f>
        <v>Abrir facsímil</v>
      </c>
      <c r="K16" s="15" t="s">
        <v>22</v>
      </c>
    </row>
    <row r="17" spans="1:11" ht="42" customHeight="1">
      <c r="A17" s="4" t="s">
        <v>61</v>
      </c>
      <c r="B17" s="5" t="s">
        <v>62</v>
      </c>
      <c r="C17" s="5" t="s">
        <v>17</v>
      </c>
      <c r="D17" s="5" t="s">
        <v>18</v>
      </c>
      <c r="E17" s="5" t="s">
        <v>63</v>
      </c>
      <c r="F17" s="9">
        <v>101</v>
      </c>
      <c r="G17" s="9">
        <v>1091</v>
      </c>
      <c r="H17" s="5" t="s">
        <v>20</v>
      </c>
      <c r="I17" s="5" t="s">
        <v>64</v>
      </c>
      <c r="J17" s="12" t="str">
        <f>HYPERLINK("https://www.boe.es/gazeta/dias/1805/12/17/pdfs/GMD-1805-101.pdf#page=7","Abrir facsímil")</f>
        <v>Abrir facsímil</v>
      </c>
      <c r="K17" s="15" t="s">
        <v>22</v>
      </c>
    </row>
    <row r="18" spans="1:11" ht="42" customHeight="1">
      <c r="A18" s="4" t="s">
        <v>65</v>
      </c>
      <c r="B18" s="5" t="s">
        <v>66</v>
      </c>
      <c r="C18" s="5" t="s">
        <v>35</v>
      </c>
      <c r="D18" s="5" t="s">
        <v>36</v>
      </c>
      <c r="E18" s="5" t="s">
        <v>67</v>
      </c>
      <c r="F18" s="9">
        <v>98</v>
      </c>
      <c r="G18" s="9">
        <v>1059</v>
      </c>
      <c r="H18" s="5" t="s">
        <v>20</v>
      </c>
      <c r="I18" s="5" t="s">
        <v>68</v>
      </c>
      <c r="J18" s="12" t="str">
        <f>HYPERLINK("https://www.boe.es/gazeta/dias/1805/12/06/pdfs/GMD-1805-98.pdf#page=11","Abrir facsímil")</f>
        <v>Abrir facsímil</v>
      </c>
      <c r="K18" s="15" t="s">
        <v>22</v>
      </c>
    </row>
    <row r="19" spans="1:11" ht="42" customHeight="1">
      <c r="A19" s="4" t="s">
        <v>69</v>
      </c>
      <c r="B19" s="5" t="s">
        <v>70</v>
      </c>
      <c r="C19" s="5" t="s">
        <v>17</v>
      </c>
      <c r="D19" s="5" t="s">
        <v>18</v>
      </c>
      <c r="E19" s="5" t="s">
        <v>71</v>
      </c>
      <c r="F19" s="9">
        <v>33</v>
      </c>
      <c r="G19" s="9">
        <v>352</v>
      </c>
      <c r="H19" s="5" t="s">
        <v>20</v>
      </c>
      <c r="I19" s="5" t="s">
        <v>72</v>
      </c>
      <c r="J19" s="12" t="str">
        <f>HYPERLINK("https://www.boe.es/gazeta/dias/1805/04/23/pdfs/GMD-1805-33.pdf#page=8","Abrir facsímil")</f>
        <v>Abrir facsímil</v>
      </c>
      <c r="K19" s="15" t="s">
        <v>22</v>
      </c>
    </row>
    <row r="20" spans="1:11" ht="42" customHeight="1">
      <c r="A20" s="4" t="s">
        <v>73</v>
      </c>
      <c r="B20" s="5" t="s">
        <v>74</v>
      </c>
      <c r="C20" s="5" t="s">
        <v>17</v>
      </c>
      <c r="D20" s="5" t="s">
        <v>18</v>
      </c>
      <c r="E20" s="5" t="s">
        <v>59</v>
      </c>
      <c r="F20" s="9">
        <v>21</v>
      </c>
      <c r="G20" s="9">
        <v>220</v>
      </c>
      <c r="H20" s="5" t="s">
        <v>20</v>
      </c>
      <c r="I20" s="5" t="s">
        <v>75</v>
      </c>
      <c r="J20" s="12" t="str">
        <f>HYPERLINK("https://www.boe.es/gazeta/dias/1805/03/12/pdfs/GMD-1805-21.pdf#page=8","Abrir facsímil")</f>
        <v>Abrir facsímil</v>
      </c>
      <c r="K20" s="15" t="s">
        <v>22</v>
      </c>
    </row>
    <row r="21" spans="1:11" ht="42" customHeight="1">
      <c r="A21" s="4" t="s">
        <v>73</v>
      </c>
      <c r="B21" s="5" t="s">
        <v>74</v>
      </c>
      <c r="C21" s="5" t="s">
        <v>17</v>
      </c>
      <c r="D21" s="5" t="s">
        <v>18</v>
      </c>
      <c r="E21" s="5" t="s">
        <v>76</v>
      </c>
      <c r="F21" s="9">
        <v>66</v>
      </c>
      <c r="G21" s="9">
        <v>707</v>
      </c>
      <c r="H21" s="5" t="s">
        <v>20</v>
      </c>
      <c r="I21" s="5" t="s">
        <v>77</v>
      </c>
      <c r="J21" s="12" t="str">
        <f>HYPERLINK("https://www.boe.es/gazeta/dias/1805/08/16/pdfs/GMD-1805-66.pdf#page=7","Abrir facsímil")</f>
        <v>Abrir facsímil</v>
      </c>
      <c r="K21" s="15" t="s">
        <v>22</v>
      </c>
    </row>
    <row r="22" spans="1:11" ht="42" customHeight="1">
      <c r="A22" s="4" t="s">
        <v>78</v>
      </c>
      <c r="B22" s="5" t="s">
        <v>79</v>
      </c>
      <c r="C22" s="5" t="s">
        <v>80</v>
      </c>
      <c r="D22" s="5" t="s">
        <v>81</v>
      </c>
      <c r="E22" s="5" t="s">
        <v>82</v>
      </c>
      <c r="F22" s="9">
        <v>25</v>
      </c>
      <c r="G22" s="9">
        <v>261</v>
      </c>
      <c r="H22" s="5" t="s">
        <v>20</v>
      </c>
      <c r="I22" s="5" t="s">
        <v>83</v>
      </c>
      <c r="J22" s="12" t="str">
        <f>HYPERLINK("https://www.boe.es/gazeta/dias/1805/03/26/pdfs/GMD-1805-25.pdf#page=1","Abrir facsímil")</f>
        <v>Abrir facsímil</v>
      </c>
      <c r="K22" s="15" t="s">
        <v>22</v>
      </c>
    </row>
    <row r="23" spans="1:11" ht="42" customHeight="1">
      <c r="A23" s="4" t="s">
        <v>84</v>
      </c>
      <c r="B23" s="5" t="s">
        <v>84</v>
      </c>
      <c r="C23" s="5" t="s">
        <v>85</v>
      </c>
      <c r="D23" s="5" t="s">
        <v>86</v>
      </c>
      <c r="E23" s="5" t="s">
        <v>87</v>
      </c>
      <c r="F23" s="9">
        <v>14</v>
      </c>
      <c r="G23" s="9">
        <v>145</v>
      </c>
      <c r="H23" s="5" t="s">
        <v>20</v>
      </c>
      <c r="I23" s="5" t="s">
        <v>88</v>
      </c>
      <c r="J23" s="12" t="str">
        <f>HYPERLINK("https://www.boe.es/gazeta/dias/1805/02/15/pdfs/GMD-1805-14.pdf#page=5","Abrir facsímil")</f>
        <v>Abrir facsímil</v>
      </c>
      <c r="K23" s="15" t="s">
        <v>22</v>
      </c>
    </row>
    <row r="24" spans="1:11" ht="42" customHeight="1">
      <c r="A24" s="4" t="s">
        <v>89</v>
      </c>
      <c r="B24" s="5" t="s">
        <v>90</v>
      </c>
      <c r="C24" s="5" t="s">
        <v>17</v>
      </c>
      <c r="D24" s="5" t="s">
        <v>18</v>
      </c>
      <c r="E24" s="5" t="s">
        <v>91</v>
      </c>
      <c r="F24" s="9">
        <v>28</v>
      </c>
      <c r="G24" s="9">
        <v>300</v>
      </c>
      <c r="H24" s="5" t="s">
        <v>20</v>
      </c>
      <c r="I24" s="5" t="s">
        <v>92</v>
      </c>
      <c r="J24" s="12" t="str">
        <f>HYPERLINK("https://www.boe.es/gazeta/dias/1805/04/05/pdfs/GMD-1805-28.pdf#page=8","Abrir facsímil")</f>
        <v>Abrir facsímil</v>
      </c>
      <c r="K24" s="15" t="s">
        <v>22</v>
      </c>
    </row>
    <row r="25" spans="1:11" ht="42" customHeight="1">
      <c r="A25" s="4" t="s">
        <v>93</v>
      </c>
      <c r="B25" s="5" t="s">
        <v>94</v>
      </c>
      <c r="C25" s="5" t="s">
        <v>17</v>
      </c>
      <c r="D25" s="5" t="s">
        <v>18</v>
      </c>
      <c r="E25" s="5" t="s">
        <v>95</v>
      </c>
      <c r="F25" s="9">
        <v>13</v>
      </c>
      <c r="G25" s="9">
        <v>136</v>
      </c>
      <c r="H25" s="5" t="s">
        <v>20</v>
      </c>
      <c r="I25" s="5" t="s">
        <v>96</v>
      </c>
      <c r="J25" s="12" t="str">
        <f>HYPERLINK("https://www.boe.es/gazeta/dias/1805/02/12/pdfs/GMD-1805-13.pdf#page=4","Abrir facsímil")</f>
        <v>Abrir facsímil</v>
      </c>
      <c r="K25" s="15" t="s">
        <v>22</v>
      </c>
    </row>
    <row r="26" spans="1:11" ht="42" customHeight="1">
      <c r="A26" s="4" t="s">
        <v>97</v>
      </c>
      <c r="B26" s="5" t="s">
        <v>98</v>
      </c>
      <c r="C26" s="5" t="s">
        <v>85</v>
      </c>
      <c r="D26" s="5" t="s">
        <v>86</v>
      </c>
      <c r="E26" s="5" t="s">
        <v>99</v>
      </c>
      <c r="F26" s="9">
        <v>83</v>
      </c>
      <c r="G26" s="9">
        <v>882</v>
      </c>
      <c r="H26" s="5" t="s">
        <v>20</v>
      </c>
      <c r="I26" s="5" t="s">
        <v>100</v>
      </c>
      <c r="J26" s="12" t="str">
        <f>HYPERLINK("https://www.boe.es/gazeta/dias/1805/10/15/pdfs/GMD-1805-83.pdf#page=10","Abrir facsímil")</f>
        <v>Abrir facsímil</v>
      </c>
      <c r="K26" s="15" t="s">
        <v>22</v>
      </c>
    </row>
    <row r="27" spans="1:11" ht="42" customHeight="1">
      <c r="A27" s="4" t="s">
        <v>101</v>
      </c>
      <c r="B27" s="5" t="s">
        <v>102</v>
      </c>
      <c r="C27" s="5" t="s">
        <v>35</v>
      </c>
      <c r="D27" s="5" t="s">
        <v>36</v>
      </c>
      <c r="E27" s="5" t="s">
        <v>103</v>
      </c>
      <c r="F27" s="9">
        <v>30</v>
      </c>
      <c r="G27" s="9">
        <v>323</v>
      </c>
      <c r="H27" s="5" t="s">
        <v>20</v>
      </c>
      <c r="I27" s="5" t="s">
        <v>104</v>
      </c>
      <c r="J27" s="12" t="str">
        <f>HYPERLINK("https://www.boe.es/gazeta/dias/1805/04/12/pdfs/GMD-1805-30.pdf#page=7","Abrir facsímil")</f>
        <v>Abrir facsímil</v>
      </c>
      <c r="K27" s="15" t="s">
        <v>22</v>
      </c>
    </row>
    <row r="28" spans="1:11" ht="42" customHeight="1">
      <c r="A28" s="4" t="s">
        <v>105</v>
      </c>
      <c r="B28" s="5" t="s">
        <v>106</v>
      </c>
      <c r="C28" s="5" t="s">
        <v>17</v>
      </c>
      <c r="D28" s="5" t="s">
        <v>18</v>
      </c>
      <c r="E28" s="5" t="s">
        <v>107</v>
      </c>
      <c r="F28" s="9">
        <v>19</v>
      </c>
      <c r="G28" s="9">
        <v>192</v>
      </c>
      <c r="H28" s="5" t="s">
        <v>20</v>
      </c>
      <c r="I28" s="5" t="s">
        <v>108</v>
      </c>
      <c r="J28" s="12" t="str">
        <f>HYPERLINK("https://www.boe.es/gazeta/dias/1805/03/05/pdfs/GMD-1805-19.pdf#page=4","Abrir facsímil")</f>
        <v>Abrir facsímil</v>
      </c>
      <c r="K28" s="15" t="s">
        <v>22</v>
      </c>
    </row>
    <row r="29" spans="1:11" ht="42" customHeight="1">
      <c r="A29" s="4" t="s">
        <v>109</v>
      </c>
      <c r="B29" s="5" t="s">
        <v>109</v>
      </c>
      <c r="C29" s="5" t="s">
        <v>35</v>
      </c>
      <c r="D29" s="5" t="s">
        <v>36</v>
      </c>
      <c r="E29" s="5" t="s">
        <v>95</v>
      </c>
      <c r="F29" s="9">
        <v>13</v>
      </c>
      <c r="G29" s="9">
        <v>135</v>
      </c>
      <c r="H29" s="5" t="s">
        <v>20</v>
      </c>
      <c r="I29" s="5" t="s">
        <v>110</v>
      </c>
      <c r="J29" s="12" t="str">
        <f>HYPERLINK("https://www.boe.es/gazeta/dias/1805/02/12/pdfs/GMD-1805-13.pdf#page=3","Abrir facsímil")</f>
        <v>Abrir facsímil</v>
      </c>
      <c r="K29" s="15" t="s">
        <v>22</v>
      </c>
    </row>
    <row r="30" spans="1:11" ht="42" customHeight="1">
      <c r="A30" s="4" t="s">
        <v>109</v>
      </c>
      <c r="B30" s="5" t="s">
        <v>109</v>
      </c>
      <c r="C30" s="5" t="s">
        <v>17</v>
      </c>
      <c r="D30" s="5" t="s">
        <v>18</v>
      </c>
      <c r="E30" s="5" t="s">
        <v>87</v>
      </c>
      <c r="F30" s="9">
        <v>14</v>
      </c>
      <c r="G30" s="9">
        <v>144</v>
      </c>
      <c r="H30" s="5" t="s">
        <v>20</v>
      </c>
      <c r="I30" s="5" t="s">
        <v>111</v>
      </c>
      <c r="J30" s="12" t="str">
        <f>HYPERLINK("https://www.boe.es/gazeta/dias/1805/02/15/pdfs/GMD-1805-14.pdf#page=4","Abrir facsímil")</f>
        <v>Abrir facsímil</v>
      </c>
      <c r="K30" s="15" t="s">
        <v>22</v>
      </c>
    </row>
    <row r="31" spans="1:11" ht="42" customHeight="1">
      <c r="A31" s="4" t="s">
        <v>109</v>
      </c>
      <c r="B31" s="5" t="s">
        <v>109</v>
      </c>
      <c r="C31" s="5" t="s">
        <v>80</v>
      </c>
      <c r="D31" s="5" t="s">
        <v>81</v>
      </c>
      <c r="E31" s="5" t="s">
        <v>112</v>
      </c>
      <c r="F31" s="9">
        <v>16</v>
      </c>
      <c r="G31" s="9">
        <v>162</v>
      </c>
      <c r="H31" s="5" t="s">
        <v>20</v>
      </c>
      <c r="I31" s="5" t="s">
        <v>113</v>
      </c>
      <c r="J31" s="12" t="str">
        <f>HYPERLINK("https://www.boe.es/gazeta/dias/1805/02/22/pdfs/GMD-1805-16.pdf#page=2","Abrir facsímil")</f>
        <v>Abrir facsímil</v>
      </c>
      <c r="K31" s="15" t="s">
        <v>22</v>
      </c>
    </row>
    <row r="32" spans="1:11" ht="42" customHeight="1">
      <c r="A32" s="4" t="s">
        <v>109</v>
      </c>
      <c r="B32" s="5" t="s">
        <v>109</v>
      </c>
      <c r="C32" s="5" t="s">
        <v>17</v>
      </c>
      <c r="D32" s="5" t="s">
        <v>18</v>
      </c>
      <c r="E32" s="5" t="s">
        <v>114</v>
      </c>
      <c r="F32" s="9">
        <v>17</v>
      </c>
      <c r="G32" s="9">
        <v>171</v>
      </c>
      <c r="H32" s="5" t="s">
        <v>20</v>
      </c>
      <c r="I32" s="5" t="s">
        <v>115</v>
      </c>
      <c r="J32" s="12" t="str">
        <f>HYPERLINK("https://www.boe.es/gazeta/dias/1805/02/26/pdfs/GMD-1805-17.pdf#page=3","Abrir facsímil")</f>
        <v>Abrir facsímil</v>
      </c>
      <c r="K32" s="15" t="s">
        <v>22</v>
      </c>
    </row>
    <row r="33" spans="1:11" ht="42" customHeight="1">
      <c r="A33" s="4" t="s">
        <v>109</v>
      </c>
      <c r="B33" s="5" t="s">
        <v>109</v>
      </c>
      <c r="C33" s="5" t="s">
        <v>17</v>
      </c>
      <c r="D33" s="5" t="s">
        <v>18</v>
      </c>
      <c r="E33" s="5" t="s">
        <v>114</v>
      </c>
      <c r="F33" s="9">
        <v>17</v>
      </c>
      <c r="G33" s="9">
        <v>172</v>
      </c>
      <c r="H33" s="5" t="s">
        <v>20</v>
      </c>
      <c r="I33" s="5" t="s">
        <v>116</v>
      </c>
      <c r="J33" s="12" t="str">
        <f>HYPERLINK("https://www.boe.es/gazeta/dias/1805/02/26/pdfs/GMD-1805-17.pdf#page=4","Abrir facsímil")</f>
        <v>Abrir facsímil</v>
      </c>
      <c r="K33" s="15" t="s">
        <v>22</v>
      </c>
    </row>
    <row r="34" spans="1:11" ht="42" customHeight="1">
      <c r="A34" s="4" t="s">
        <v>109</v>
      </c>
      <c r="B34" s="5" t="s">
        <v>109</v>
      </c>
      <c r="C34" s="5" t="s">
        <v>35</v>
      </c>
      <c r="D34" s="5" t="s">
        <v>36</v>
      </c>
      <c r="E34" s="5" t="s">
        <v>117</v>
      </c>
      <c r="F34" s="9">
        <v>20</v>
      </c>
      <c r="G34" s="9">
        <v>205</v>
      </c>
      <c r="H34" s="5" t="s">
        <v>20</v>
      </c>
      <c r="I34" s="5" t="s">
        <v>118</v>
      </c>
      <c r="J34" s="12" t="str">
        <f>HYPERLINK("https://www.boe.es/gazeta/dias/1805/03/08/pdfs/GMD-1805-20.pdf#page=5","Abrir facsímil")</f>
        <v>Abrir facsímil</v>
      </c>
      <c r="K34" s="15" t="s">
        <v>22</v>
      </c>
    </row>
    <row r="35" spans="1:11" ht="42" customHeight="1">
      <c r="A35" s="4" t="s">
        <v>109</v>
      </c>
      <c r="B35" s="5" t="s">
        <v>109</v>
      </c>
      <c r="C35" s="5" t="s">
        <v>17</v>
      </c>
      <c r="D35" s="5" t="s">
        <v>18</v>
      </c>
      <c r="E35" s="5" t="s">
        <v>59</v>
      </c>
      <c r="F35" s="9">
        <v>21</v>
      </c>
      <c r="G35" s="9">
        <v>216</v>
      </c>
      <c r="H35" s="5" t="s">
        <v>20</v>
      </c>
      <c r="I35" s="5" t="s">
        <v>119</v>
      </c>
      <c r="J35" s="12" t="str">
        <f>HYPERLINK("https://www.boe.es/gazeta/dias/1805/03/12/pdfs/GMD-1805-21.pdf#page=4","Abrir facsímil")</f>
        <v>Abrir facsímil</v>
      </c>
      <c r="K35" s="15" t="s">
        <v>22</v>
      </c>
    </row>
    <row r="36" spans="1:11" ht="42" customHeight="1">
      <c r="A36" s="4" t="s">
        <v>109</v>
      </c>
      <c r="B36" s="5" t="s">
        <v>109</v>
      </c>
      <c r="C36" s="5" t="s">
        <v>17</v>
      </c>
      <c r="D36" s="5" t="s">
        <v>18</v>
      </c>
      <c r="E36" s="5" t="s">
        <v>120</v>
      </c>
      <c r="F36" s="9">
        <v>24</v>
      </c>
      <c r="G36" s="9">
        <v>250</v>
      </c>
      <c r="H36" s="5" t="s">
        <v>20</v>
      </c>
      <c r="I36" s="5" t="s">
        <v>121</v>
      </c>
      <c r="J36" s="12" t="str">
        <f>HYPERLINK("https://www.boe.es/gazeta/dias/1805/03/22/pdfs/GMD-1805-24.pdf#page=2","Abrir facsímil")</f>
        <v>Abrir facsímil</v>
      </c>
      <c r="K36" s="15" t="s">
        <v>22</v>
      </c>
    </row>
    <row r="37" spans="1:11" ht="42" customHeight="1">
      <c r="A37" s="4" t="s">
        <v>109</v>
      </c>
      <c r="B37" s="5" t="s">
        <v>109</v>
      </c>
      <c r="C37" s="5" t="s">
        <v>80</v>
      </c>
      <c r="D37" s="5" t="s">
        <v>81</v>
      </c>
      <c r="E37" s="5" t="s">
        <v>122</v>
      </c>
      <c r="F37" s="9">
        <v>38</v>
      </c>
      <c r="G37" s="9">
        <v>408</v>
      </c>
      <c r="H37" s="5" t="s">
        <v>20</v>
      </c>
      <c r="I37" s="5" t="s">
        <v>123</v>
      </c>
      <c r="J37" s="12" t="str">
        <f>HYPERLINK("https://www.boe.es/gazeta/dias/1805/05/10/pdfs/GMD-1805-38.pdf#page=4","Abrir facsímil")</f>
        <v>Abrir facsímil</v>
      </c>
      <c r="K37" s="15" t="s">
        <v>22</v>
      </c>
    </row>
    <row r="38" spans="1:11" ht="42" customHeight="1">
      <c r="A38" s="4" t="s">
        <v>124</v>
      </c>
      <c r="B38" s="5" t="s">
        <v>124</v>
      </c>
      <c r="C38" s="5" t="s">
        <v>17</v>
      </c>
      <c r="D38" s="5" t="s">
        <v>18</v>
      </c>
      <c r="E38" s="5" t="s">
        <v>107</v>
      </c>
      <c r="F38" s="9">
        <v>19</v>
      </c>
      <c r="G38" s="9">
        <v>189</v>
      </c>
      <c r="H38" s="5" t="s">
        <v>20</v>
      </c>
      <c r="I38" s="5" t="s">
        <v>125</v>
      </c>
      <c r="J38" s="12" t="str">
        <f>HYPERLINK("https://www.boe.es/gazeta/dias/1805/03/05/pdfs/GMD-1805-19.pdf#page=1","Abrir facsímil")</f>
        <v>Abrir facsímil</v>
      </c>
      <c r="K38" s="15" t="s">
        <v>22</v>
      </c>
    </row>
    <row r="39" spans="1:11" ht="42" customHeight="1">
      <c r="A39" s="4" t="s">
        <v>126</v>
      </c>
      <c r="B39" s="5" t="s">
        <v>127</v>
      </c>
      <c r="C39" s="5" t="s">
        <v>35</v>
      </c>
      <c r="D39" s="5" t="s">
        <v>36</v>
      </c>
      <c r="E39" s="5" t="s">
        <v>128</v>
      </c>
      <c r="F39" s="9">
        <v>23</v>
      </c>
      <c r="G39" s="9">
        <v>246</v>
      </c>
      <c r="H39" s="5" t="s">
        <v>20</v>
      </c>
      <c r="I39" s="5" t="s">
        <v>129</v>
      </c>
      <c r="J39" s="12" t="str">
        <f>HYPERLINK("https://www.boe.es/gazeta/dias/1805/03/19/pdfs/GMD-1805-23.pdf#page=10","Abrir facsímil")</f>
        <v>Abrir facsímil</v>
      </c>
      <c r="K39" s="15" t="s">
        <v>22</v>
      </c>
    </row>
    <row r="40" spans="1:11" ht="42" customHeight="1">
      <c r="A40" s="4" t="s">
        <v>130</v>
      </c>
      <c r="B40" s="5" t="s">
        <v>131</v>
      </c>
      <c r="C40" s="5" t="s">
        <v>17</v>
      </c>
      <c r="D40" s="5" t="s">
        <v>18</v>
      </c>
      <c r="E40" s="5" t="s">
        <v>132</v>
      </c>
      <c r="F40" s="9">
        <v>2</v>
      </c>
      <c r="G40" s="9">
        <v>22</v>
      </c>
      <c r="H40" s="5" t="s">
        <v>20</v>
      </c>
      <c r="I40" s="5" t="s">
        <v>133</v>
      </c>
      <c r="J40" s="12" t="str">
        <f>HYPERLINK("https://www.boe.es/gazeta/dias/1805/01/04/pdfs/GMD-1805-2.pdf#page=10","Abrir facsímil")</f>
        <v>Abrir facsímil</v>
      </c>
      <c r="K40" s="15" t="s">
        <v>22</v>
      </c>
    </row>
    <row r="41" spans="1:11" ht="42" customHeight="1">
      <c r="A41" s="4" t="s">
        <v>134</v>
      </c>
      <c r="B41" s="5" t="s">
        <v>134</v>
      </c>
      <c r="C41" s="5" t="s">
        <v>29</v>
      </c>
      <c r="D41" s="5" t="s">
        <v>30</v>
      </c>
      <c r="E41" s="5" t="s">
        <v>135</v>
      </c>
      <c r="F41" s="9">
        <v>71</v>
      </c>
      <c r="G41" s="9">
        <v>758</v>
      </c>
      <c r="H41" s="5" t="s">
        <v>20</v>
      </c>
      <c r="I41" s="5" t="s">
        <v>136</v>
      </c>
      <c r="J41" s="12" t="str">
        <f>HYPERLINK("https://www.boe.es/gazeta/dias/1805/09/03/pdfs/GMD-1805-71.pdf#page=10","Abrir facsímil")</f>
        <v>Abrir facsímil</v>
      </c>
      <c r="K41" s="15" t="s">
        <v>22</v>
      </c>
    </row>
    <row r="42" spans="1:11" ht="42" customHeight="1">
      <c r="A42" s="4" t="s">
        <v>137</v>
      </c>
      <c r="B42" s="5" t="s">
        <v>137</v>
      </c>
      <c r="C42" s="5" t="s">
        <v>35</v>
      </c>
      <c r="D42" s="5" t="s">
        <v>36</v>
      </c>
      <c r="E42" s="5" t="s">
        <v>138</v>
      </c>
      <c r="F42" s="9">
        <v>102</v>
      </c>
      <c r="G42" s="9">
        <v>1103</v>
      </c>
      <c r="H42" s="5" t="s">
        <v>20</v>
      </c>
      <c r="I42" s="5" t="s">
        <v>139</v>
      </c>
      <c r="J42" s="12" t="str">
        <f>HYPERLINK("https://www.boe.es/gazeta/dias/1805/12/20/pdfs/GMD-1805-102.pdf#page=7","Abrir facsímil")</f>
        <v>Abrir facsímil</v>
      </c>
      <c r="K42" s="15" t="s">
        <v>22</v>
      </c>
    </row>
    <row r="43" spans="1:11" ht="42" customHeight="1">
      <c r="A43" s="4" t="s">
        <v>140</v>
      </c>
      <c r="B43" s="5" t="s">
        <v>140</v>
      </c>
      <c r="C43" s="5" t="s">
        <v>17</v>
      </c>
      <c r="D43" s="5" t="s">
        <v>18</v>
      </c>
      <c r="E43" s="5" t="s">
        <v>141</v>
      </c>
      <c r="F43" s="9">
        <v>82</v>
      </c>
      <c r="G43" s="9">
        <v>871</v>
      </c>
      <c r="H43" s="5" t="s">
        <v>20</v>
      </c>
      <c r="I43" s="5" t="s">
        <v>142</v>
      </c>
      <c r="J43" s="12" t="str">
        <f>HYPERLINK("https://www.boe.es/gazeta/dias/1805/10/11/pdfs/GMD-1805-82.pdf#page=11","Abrir facsímil")</f>
        <v>Abrir facsímil</v>
      </c>
      <c r="K43" s="15" t="s">
        <v>22</v>
      </c>
    </row>
    <row r="44" spans="1:11" ht="42" customHeight="1">
      <c r="A44" s="4" t="s">
        <v>143</v>
      </c>
      <c r="B44" s="5" t="s">
        <v>143</v>
      </c>
      <c r="C44" s="5" t="s">
        <v>52</v>
      </c>
      <c r="D44" s="5" t="s">
        <v>53</v>
      </c>
      <c r="E44" s="5" t="s">
        <v>144</v>
      </c>
      <c r="F44" s="9">
        <v>85</v>
      </c>
      <c r="G44" s="9" t="s">
        <v>145</v>
      </c>
      <c r="H44" s="5" t="s">
        <v>20</v>
      </c>
      <c r="I44" s="5" t="s">
        <v>146</v>
      </c>
      <c r="J44" s="12" t="str">
        <f>HYPERLINK("https://www.boe.es/gazeta/dias/1805/10/22/pdfs/GMD-C-1805-85.pdf#page=2","Abrir facsímil")</f>
        <v>Abrir facsímil</v>
      </c>
      <c r="K44" s="15" t="s">
        <v>22</v>
      </c>
    </row>
    <row r="45" spans="1:11" ht="42" customHeight="1">
      <c r="A45" s="4" t="s">
        <v>147</v>
      </c>
      <c r="B45" s="5" t="s">
        <v>147</v>
      </c>
      <c r="C45" s="5" t="s">
        <v>17</v>
      </c>
      <c r="D45" s="5" t="s">
        <v>18</v>
      </c>
      <c r="E45" s="5" t="s">
        <v>148</v>
      </c>
      <c r="F45" s="9">
        <v>50</v>
      </c>
      <c r="G45" s="9">
        <v>544</v>
      </c>
      <c r="H45" s="5" t="s">
        <v>20</v>
      </c>
      <c r="I45" s="5" t="s">
        <v>149</v>
      </c>
      <c r="J45" s="12" t="str">
        <f>HYPERLINK("https://www.boe.es/gazeta/dias/1805/06/21/pdfs/GMD-1805-50.pdf#page=12","Abrir facsímil")</f>
        <v>Abrir facsímil</v>
      </c>
      <c r="K45" s="15" t="s">
        <v>22</v>
      </c>
    </row>
    <row r="46" spans="1:11" ht="42" customHeight="1">
      <c r="A46" s="4" t="s">
        <v>150</v>
      </c>
      <c r="B46" s="5" t="s">
        <v>151</v>
      </c>
      <c r="C46" s="5" t="s">
        <v>17</v>
      </c>
      <c r="D46" s="5" t="s">
        <v>18</v>
      </c>
      <c r="E46" s="5" t="s">
        <v>107</v>
      </c>
      <c r="F46" s="9">
        <v>19</v>
      </c>
      <c r="G46" s="9">
        <v>198</v>
      </c>
      <c r="H46" s="5" t="s">
        <v>20</v>
      </c>
      <c r="I46" s="5" t="s">
        <v>152</v>
      </c>
      <c r="J46" s="12" t="str">
        <f>HYPERLINK("https://www.boe.es/gazeta/dias/1805/03/05/pdfs/GMD-1805-19.pdf#page=10","Abrir facsímil")</f>
        <v>Abrir facsímil</v>
      </c>
      <c r="K46" s="15" t="s">
        <v>22</v>
      </c>
    </row>
    <row r="47" spans="1:11" ht="42" customHeight="1">
      <c r="A47" s="4" t="s">
        <v>153</v>
      </c>
      <c r="B47" s="5" t="s">
        <v>154</v>
      </c>
      <c r="C47" s="5" t="s">
        <v>35</v>
      </c>
      <c r="D47" s="5" t="s">
        <v>36</v>
      </c>
      <c r="E47" s="5" t="s">
        <v>135</v>
      </c>
      <c r="F47" s="9">
        <v>71</v>
      </c>
      <c r="G47" s="9">
        <v>757</v>
      </c>
      <c r="H47" s="5" t="s">
        <v>20</v>
      </c>
      <c r="I47" s="5" t="s">
        <v>155</v>
      </c>
      <c r="J47" s="12" t="str">
        <f>HYPERLINK("https://www.boe.es/gazeta/dias/1805/09/03/pdfs/GMD-1805-71.pdf#page=9","Abrir facsímil")</f>
        <v>Abrir facsímil</v>
      </c>
      <c r="K47" s="15" t="s">
        <v>22</v>
      </c>
    </row>
    <row r="48" spans="1:11" ht="42" customHeight="1">
      <c r="A48" s="4" t="s">
        <v>153</v>
      </c>
      <c r="B48" s="5" t="s">
        <v>154</v>
      </c>
      <c r="C48" s="5" t="s">
        <v>17</v>
      </c>
      <c r="D48" s="5" t="s">
        <v>18</v>
      </c>
      <c r="E48" s="5" t="s">
        <v>141</v>
      </c>
      <c r="F48" s="9">
        <v>82</v>
      </c>
      <c r="G48" s="9">
        <v>871</v>
      </c>
      <c r="H48" s="5" t="s">
        <v>20</v>
      </c>
      <c r="I48" s="5" t="s">
        <v>156</v>
      </c>
      <c r="J48" s="12" t="str">
        <f>HYPERLINK("https://www.boe.es/gazeta/dias/1805/10/11/pdfs/GMD-1805-82.pdf#page=11","Abrir facsímil")</f>
        <v>Abrir facsímil</v>
      </c>
      <c r="K48" s="15" t="s">
        <v>22</v>
      </c>
    </row>
    <row r="49" spans="1:11" ht="42" customHeight="1">
      <c r="A49" s="4" t="s">
        <v>157</v>
      </c>
      <c r="B49" s="5" t="s">
        <v>158</v>
      </c>
      <c r="C49" s="5" t="s">
        <v>52</v>
      </c>
      <c r="D49" s="5" t="s">
        <v>53</v>
      </c>
      <c r="E49" s="5" t="s">
        <v>54</v>
      </c>
      <c r="F49" s="9">
        <v>99</v>
      </c>
      <c r="G49" s="9" t="s">
        <v>159</v>
      </c>
      <c r="H49" s="5" t="s">
        <v>20</v>
      </c>
      <c r="I49" s="5" t="s">
        <v>160</v>
      </c>
      <c r="J49" s="12" t="str">
        <f>HYPERLINK("https://www.boe.es/gazeta/dias/1805/12/10/pdfs/GMD-C-1805-99.pdf#page=3","Abrir facsímil")</f>
        <v>Abrir facsímil</v>
      </c>
      <c r="K49" s="15" t="s">
        <v>22</v>
      </c>
    </row>
    <row r="50" spans="1:11" ht="42" customHeight="1">
      <c r="A50" s="4" t="s">
        <v>161</v>
      </c>
      <c r="B50" s="5" t="s">
        <v>162</v>
      </c>
      <c r="C50" s="5" t="s">
        <v>35</v>
      </c>
      <c r="D50" s="5" t="s">
        <v>36</v>
      </c>
      <c r="E50" s="5" t="s">
        <v>163</v>
      </c>
      <c r="F50" s="9">
        <v>77</v>
      </c>
      <c r="G50" s="9">
        <v>817</v>
      </c>
      <c r="H50" s="5" t="s">
        <v>20</v>
      </c>
      <c r="I50" s="5" t="s">
        <v>164</v>
      </c>
      <c r="J50" s="12" t="str">
        <f>HYPERLINK("https://www.boe.es/gazeta/dias/1805/09/24/pdfs/GMD-1805-77.pdf#page=9","Abrir facsímil")</f>
        <v>Abrir facsímil</v>
      </c>
      <c r="K50" s="15" t="s">
        <v>22</v>
      </c>
    </row>
    <row r="51" spans="1:11" ht="42" customHeight="1">
      <c r="A51" s="4" t="s">
        <v>165</v>
      </c>
      <c r="B51" s="5" t="s">
        <v>166</v>
      </c>
      <c r="C51" s="5" t="s">
        <v>17</v>
      </c>
      <c r="D51" s="5" t="s">
        <v>18</v>
      </c>
      <c r="E51" s="5" t="s">
        <v>63</v>
      </c>
      <c r="F51" s="9">
        <v>101</v>
      </c>
      <c r="G51" s="9">
        <v>1091</v>
      </c>
      <c r="H51" s="5" t="s">
        <v>20</v>
      </c>
      <c r="I51" s="5" t="s">
        <v>167</v>
      </c>
      <c r="J51" s="12" t="str">
        <f>HYPERLINK("https://www.boe.es/gazeta/dias/1805/12/17/pdfs/GMD-1805-101.pdf#page=7","Abrir facsímil")</f>
        <v>Abrir facsímil</v>
      </c>
      <c r="K51" s="15" t="s">
        <v>22</v>
      </c>
    </row>
    <row r="52" spans="1:11" ht="42" customHeight="1">
      <c r="A52" s="4" t="s">
        <v>168</v>
      </c>
      <c r="B52" s="5" t="s">
        <v>169</v>
      </c>
      <c r="C52" s="5" t="s">
        <v>35</v>
      </c>
      <c r="D52" s="5" t="s">
        <v>36</v>
      </c>
      <c r="E52" s="5" t="s">
        <v>170</v>
      </c>
      <c r="F52" s="9">
        <v>9</v>
      </c>
      <c r="G52" s="9">
        <v>104</v>
      </c>
      <c r="H52" s="5" t="s">
        <v>20</v>
      </c>
      <c r="I52" s="5" t="s">
        <v>171</v>
      </c>
      <c r="J52" s="12" t="str">
        <f>HYPERLINK("https://www.boe.es/gazeta/dias/1805/01/29/pdfs/GMD-1805-9.pdf#page=12","Abrir facsímil")</f>
        <v>Abrir facsímil</v>
      </c>
      <c r="K52" s="15" t="s">
        <v>22</v>
      </c>
    </row>
    <row r="53" spans="1:11" ht="42" customHeight="1">
      <c r="A53" s="4" t="s">
        <v>172</v>
      </c>
      <c r="B53" s="5" t="s">
        <v>173</v>
      </c>
      <c r="C53" s="5" t="s">
        <v>17</v>
      </c>
      <c r="D53" s="5" t="s">
        <v>18</v>
      </c>
      <c r="E53" s="5" t="s">
        <v>63</v>
      </c>
      <c r="F53" s="9">
        <v>101</v>
      </c>
      <c r="G53" s="9">
        <v>1093</v>
      </c>
      <c r="H53" s="5" t="s">
        <v>20</v>
      </c>
      <c r="I53" s="5" t="s">
        <v>174</v>
      </c>
      <c r="J53" s="12" t="str">
        <f>HYPERLINK("https://www.boe.es/gazeta/dias/1805/12/17/pdfs/GMD-1805-101.pdf#page=9","Abrir facsímil")</f>
        <v>Abrir facsímil</v>
      </c>
      <c r="K53" s="15" t="s">
        <v>22</v>
      </c>
    </row>
    <row r="54" spans="1:11" ht="42" customHeight="1">
      <c r="A54" s="4" t="s">
        <v>175</v>
      </c>
      <c r="B54" s="5" t="s">
        <v>176</v>
      </c>
      <c r="C54" s="5" t="s">
        <v>35</v>
      </c>
      <c r="D54" s="5" t="s">
        <v>36</v>
      </c>
      <c r="E54" s="5" t="s">
        <v>63</v>
      </c>
      <c r="F54" s="9">
        <v>101</v>
      </c>
      <c r="G54" s="9">
        <v>1093</v>
      </c>
      <c r="H54" s="5" t="s">
        <v>20</v>
      </c>
      <c r="I54" s="5" t="s">
        <v>177</v>
      </c>
      <c r="J54" s="12" t="str">
        <f>HYPERLINK("https://www.boe.es/gazeta/dias/1805/12/17/pdfs/GMD-1805-101.pdf#page=9","Abrir facsímil")</f>
        <v>Abrir facsímil</v>
      </c>
      <c r="K54" s="15" t="s">
        <v>22</v>
      </c>
    </row>
    <row r="55" spans="1:11" ht="42" customHeight="1">
      <c r="A55" s="4" t="s">
        <v>178</v>
      </c>
      <c r="B55" s="5" t="s">
        <v>178</v>
      </c>
      <c r="C55" s="5" t="s">
        <v>35</v>
      </c>
      <c r="D55" s="5" t="s">
        <v>36</v>
      </c>
      <c r="E55" s="5" t="s">
        <v>67</v>
      </c>
      <c r="F55" s="9">
        <v>98</v>
      </c>
      <c r="G55" s="9">
        <v>1059</v>
      </c>
      <c r="H55" s="5" t="s">
        <v>20</v>
      </c>
      <c r="I55" s="5" t="s">
        <v>179</v>
      </c>
      <c r="J55" s="12" t="str">
        <f>HYPERLINK("https://www.boe.es/gazeta/dias/1805/12/06/pdfs/GMD-1805-98.pdf#page=11","Abrir facsímil")</f>
        <v>Abrir facsímil</v>
      </c>
      <c r="K55" s="15" t="s">
        <v>22</v>
      </c>
    </row>
    <row r="56" spans="1:11" ht="42" customHeight="1">
      <c r="A56" s="4" t="s">
        <v>180</v>
      </c>
      <c r="B56" s="5" t="s">
        <v>180</v>
      </c>
      <c r="C56" s="5" t="s">
        <v>17</v>
      </c>
      <c r="D56" s="5" t="s">
        <v>18</v>
      </c>
      <c r="E56" s="5" t="s">
        <v>181</v>
      </c>
      <c r="F56" s="9">
        <v>90</v>
      </c>
      <c r="G56" s="9">
        <v>966</v>
      </c>
      <c r="H56" s="5" t="s">
        <v>20</v>
      </c>
      <c r="I56" s="5" t="s">
        <v>182</v>
      </c>
      <c r="J56" s="12" t="str">
        <f>HYPERLINK("https://www.boe.es/gazeta/dias/1805/11/08/pdfs/GMD-1805-90.pdf#page=10","Abrir facsímil")</f>
        <v>Abrir facsímil</v>
      </c>
      <c r="K56" s="15" t="s">
        <v>22</v>
      </c>
    </row>
    <row r="57" spans="1:11" ht="42" customHeight="1">
      <c r="A57" s="4" t="s">
        <v>183</v>
      </c>
      <c r="B57" s="5" t="s">
        <v>183</v>
      </c>
      <c r="C57" s="5" t="s">
        <v>184</v>
      </c>
      <c r="D57" s="5" t="s">
        <v>86</v>
      </c>
      <c r="E57" s="5" t="s">
        <v>181</v>
      </c>
      <c r="F57" s="9">
        <v>90</v>
      </c>
      <c r="G57" s="9">
        <v>965</v>
      </c>
      <c r="H57" s="5" t="s">
        <v>20</v>
      </c>
      <c r="I57" s="5" t="s">
        <v>185</v>
      </c>
      <c r="J57" s="12" t="str">
        <f>HYPERLINK("https://www.boe.es/gazeta/dias/1805/11/08/pdfs/GMD-1805-90.pdf#page=9","Abrir facsímil")</f>
        <v>Abrir facsímil</v>
      </c>
      <c r="K57" s="15" t="s">
        <v>22</v>
      </c>
    </row>
    <row r="58" spans="1:11" ht="42" customHeight="1">
      <c r="A58" s="4" t="s">
        <v>186</v>
      </c>
      <c r="B58" s="5" t="s">
        <v>187</v>
      </c>
      <c r="C58" s="5" t="s">
        <v>35</v>
      </c>
      <c r="D58" s="5" t="s">
        <v>36</v>
      </c>
      <c r="E58" s="5" t="s">
        <v>188</v>
      </c>
      <c r="F58" s="9">
        <v>68</v>
      </c>
      <c r="G58" s="9">
        <v>729</v>
      </c>
      <c r="H58" s="5" t="s">
        <v>20</v>
      </c>
      <c r="I58" s="5" t="s">
        <v>189</v>
      </c>
      <c r="J58" s="12" t="str">
        <f>HYPERLINK("https://www.boe.es/gazeta/dias/1805/08/23/pdfs/GMD-1805-68.pdf#page=9","Abrir facsímil")</f>
        <v>Abrir facsímil</v>
      </c>
      <c r="K58" s="15" t="s">
        <v>22</v>
      </c>
    </row>
    <row r="59" spans="1:11" ht="42" customHeight="1">
      <c r="A59" s="4" t="s">
        <v>190</v>
      </c>
      <c r="B59" s="5" t="s">
        <v>191</v>
      </c>
      <c r="C59" s="5" t="s">
        <v>35</v>
      </c>
      <c r="D59" s="5" t="s">
        <v>36</v>
      </c>
      <c r="E59" s="5" t="s">
        <v>192</v>
      </c>
      <c r="F59" s="9">
        <v>105</v>
      </c>
      <c r="G59" s="9">
        <v>1137</v>
      </c>
      <c r="H59" s="5" t="s">
        <v>20</v>
      </c>
      <c r="I59" s="5" t="s">
        <v>193</v>
      </c>
      <c r="J59" s="12" t="str">
        <f>HYPERLINK("https://www.boe.es/gazeta/dias/1805/12/31/pdfs/GMD-1805-105.pdf#page=9","Abrir facsímil")</f>
        <v>Abrir facsímil</v>
      </c>
      <c r="K59" s="15" t="s">
        <v>22</v>
      </c>
    </row>
    <row r="60" spans="1:11" ht="42" customHeight="1">
      <c r="A60" s="4" t="s">
        <v>194</v>
      </c>
      <c r="B60" s="5" t="s">
        <v>195</v>
      </c>
      <c r="C60" s="5" t="s">
        <v>17</v>
      </c>
      <c r="D60" s="5" t="s">
        <v>18</v>
      </c>
      <c r="E60" s="5" t="s">
        <v>196</v>
      </c>
      <c r="F60" s="9">
        <v>67</v>
      </c>
      <c r="G60" s="9">
        <v>718</v>
      </c>
      <c r="H60" s="5" t="s">
        <v>20</v>
      </c>
      <c r="I60" s="5" t="s">
        <v>197</v>
      </c>
      <c r="J60" s="12" t="str">
        <f>HYPERLINK("https://www.boe.es/gazeta/dias/1805/08/20/pdfs/GMD-1805-67.pdf#page=6","Abrir facsímil")</f>
        <v>Abrir facsímil</v>
      </c>
      <c r="K60" s="15" t="s">
        <v>22</v>
      </c>
    </row>
    <row r="61" spans="1:11" ht="42" customHeight="1">
      <c r="A61" s="4" t="s">
        <v>198</v>
      </c>
      <c r="B61" s="5" t="s">
        <v>199</v>
      </c>
      <c r="C61" s="5" t="s">
        <v>35</v>
      </c>
      <c r="D61" s="5" t="s">
        <v>36</v>
      </c>
      <c r="E61" s="5" t="s">
        <v>200</v>
      </c>
      <c r="F61" s="9">
        <v>91</v>
      </c>
      <c r="G61" s="9">
        <v>979</v>
      </c>
      <c r="H61" s="5" t="s">
        <v>20</v>
      </c>
      <c r="I61" s="5" t="s">
        <v>201</v>
      </c>
      <c r="J61" s="12" t="str">
        <f>HYPERLINK("https://www.boe.es/gazeta/dias/1805/11/12/pdfs/GMD-1805-91.pdf#page=11","Abrir facsímil")</f>
        <v>Abrir facsímil</v>
      </c>
      <c r="K61" s="15" t="s">
        <v>22</v>
      </c>
    </row>
    <row r="62" spans="1:11" ht="42" customHeight="1">
      <c r="A62" s="4" t="s">
        <v>202</v>
      </c>
      <c r="B62" s="5" t="s">
        <v>203</v>
      </c>
      <c r="C62" s="5" t="s">
        <v>35</v>
      </c>
      <c r="D62" s="5" t="s">
        <v>36</v>
      </c>
      <c r="E62" s="5" t="s">
        <v>141</v>
      </c>
      <c r="F62" s="9">
        <v>82</v>
      </c>
      <c r="G62" s="9">
        <v>870</v>
      </c>
      <c r="H62" s="5" t="s">
        <v>20</v>
      </c>
      <c r="I62" s="5" t="s">
        <v>204</v>
      </c>
      <c r="J62" s="12" t="str">
        <f>HYPERLINK("https://www.boe.es/gazeta/dias/1805/10/11/pdfs/GMD-1805-82.pdf#page=10","Abrir facsímil")</f>
        <v>Abrir facsímil</v>
      </c>
      <c r="K62" s="15" t="s">
        <v>22</v>
      </c>
    </row>
    <row r="63" spans="1:11" ht="42" customHeight="1">
      <c r="A63" s="4" t="s">
        <v>205</v>
      </c>
      <c r="B63" s="5" t="s">
        <v>206</v>
      </c>
      <c r="C63" s="5" t="s">
        <v>80</v>
      </c>
      <c r="D63" s="5" t="s">
        <v>81</v>
      </c>
      <c r="E63" s="5" t="s">
        <v>207</v>
      </c>
      <c r="F63" s="9">
        <v>76</v>
      </c>
      <c r="G63" s="9">
        <v>804</v>
      </c>
      <c r="H63" s="5" t="s">
        <v>20</v>
      </c>
      <c r="I63" s="5" t="s">
        <v>208</v>
      </c>
      <c r="J63" s="12" t="str">
        <f>HYPERLINK("https://www.boe.es/gazeta/dias/1805/09/20/pdfs/GMD-1805-76.pdf#page=4","Abrir facsímil")</f>
        <v>Abrir facsímil</v>
      </c>
      <c r="K63" s="15" t="s">
        <v>22</v>
      </c>
    </row>
    <row r="64" spans="1:11" ht="42" customHeight="1">
      <c r="A64" s="4" t="s">
        <v>205</v>
      </c>
      <c r="B64" s="5" t="s">
        <v>206</v>
      </c>
      <c r="C64" s="5" t="s">
        <v>80</v>
      </c>
      <c r="D64" s="5" t="s">
        <v>81</v>
      </c>
      <c r="E64" s="5" t="s">
        <v>209</v>
      </c>
      <c r="F64" s="9">
        <v>89</v>
      </c>
      <c r="G64" s="9">
        <v>950</v>
      </c>
      <c r="H64" s="5" t="s">
        <v>20</v>
      </c>
      <c r="I64" s="5" t="s">
        <v>210</v>
      </c>
      <c r="J64" s="12" t="str">
        <f>HYPERLINK("https://www.boe.es/gazeta/dias/1805/11/05/pdfs/GMD-1805-89.pdf#page=10","Abrir facsímil")</f>
        <v>Abrir facsímil</v>
      </c>
      <c r="K64" s="15" t="s">
        <v>22</v>
      </c>
    </row>
    <row r="65" spans="1:11" ht="42" customHeight="1">
      <c r="A65" s="4" t="s">
        <v>211</v>
      </c>
      <c r="B65" s="5" t="s">
        <v>212</v>
      </c>
      <c r="C65" s="5" t="s">
        <v>80</v>
      </c>
      <c r="D65" s="5" t="s">
        <v>81</v>
      </c>
      <c r="E65" s="5" t="s">
        <v>213</v>
      </c>
      <c r="F65" s="9">
        <v>56</v>
      </c>
      <c r="G65" s="9">
        <v>594</v>
      </c>
      <c r="H65" s="5" t="s">
        <v>20</v>
      </c>
      <c r="I65" s="5" t="s">
        <v>214</v>
      </c>
      <c r="J65" s="12" t="str">
        <f>HYPERLINK("https://www.boe.es/gazeta/dias/1805/07/12/pdfs/GMD-1805-56.pdf#page=2","Abrir facsímil")</f>
        <v>Abrir facsímil</v>
      </c>
      <c r="K65" s="15" t="s">
        <v>22</v>
      </c>
    </row>
    <row r="66" spans="1:11" ht="42" customHeight="1">
      <c r="A66" s="4" t="s">
        <v>211</v>
      </c>
      <c r="B66" s="5" t="s">
        <v>212</v>
      </c>
      <c r="C66" s="5" t="s">
        <v>80</v>
      </c>
      <c r="D66" s="5" t="s">
        <v>81</v>
      </c>
      <c r="E66" s="5" t="s">
        <v>215</v>
      </c>
      <c r="F66" s="9">
        <v>87</v>
      </c>
      <c r="G66" s="9">
        <v>926</v>
      </c>
      <c r="H66" s="5" t="s">
        <v>20</v>
      </c>
      <c r="I66" s="5" t="s">
        <v>216</v>
      </c>
      <c r="J66" s="12" t="str">
        <f>HYPERLINK("https://www.boe.es/gazeta/dias/1805/10/29/pdfs/GMD-1805-87.pdf#page=10","Abrir facsímil")</f>
        <v>Abrir facsímil</v>
      </c>
      <c r="K66" s="15" t="s">
        <v>22</v>
      </c>
    </row>
    <row r="67" spans="1:11" ht="42" customHeight="1">
      <c r="A67" s="4" t="s">
        <v>211</v>
      </c>
      <c r="B67" s="5" t="s">
        <v>212</v>
      </c>
      <c r="C67" s="5" t="s">
        <v>80</v>
      </c>
      <c r="D67" s="5" t="s">
        <v>81</v>
      </c>
      <c r="E67" s="5" t="s">
        <v>217</v>
      </c>
      <c r="F67" s="9">
        <v>96</v>
      </c>
      <c r="G67" s="9">
        <v>1025</v>
      </c>
      <c r="H67" s="5" t="s">
        <v>20</v>
      </c>
      <c r="I67" s="5" t="s">
        <v>218</v>
      </c>
      <c r="J67" s="12" t="str">
        <f>HYPERLINK("https://www.boe.es/gazeta/dias/1805/11/29/pdfs/GMD-1805-96.pdf#page=1","Abrir facsímil")</f>
        <v>Abrir facsímil</v>
      </c>
      <c r="K67" s="15" t="s">
        <v>22</v>
      </c>
    </row>
    <row r="68" spans="1:11" ht="42" customHeight="1">
      <c r="A68" s="4" t="s">
        <v>211</v>
      </c>
      <c r="B68" s="5" t="s">
        <v>212</v>
      </c>
      <c r="C68" s="5" t="s">
        <v>80</v>
      </c>
      <c r="D68" s="5" t="s">
        <v>81</v>
      </c>
      <c r="E68" s="5" t="s">
        <v>67</v>
      </c>
      <c r="F68" s="9">
        <v>98</v>
      </c>
      <c r="G68" s="9">
        <v>1053</v>
      </c>
      <c r="H68" s="5" t="s">
        <v>20</v>
      </c>
      <c r="I68" s="5" t="s">
        <v>219</v>
      </c>
      <c r="J68" s="12" t="str">
        <f>HYPERLINK("https://www.boe.es/gazeta/dias/1805/12/06/pdfs/GMD-1805-98.pdf#page=5","Abrir facsímil")</f>
        <v>Abrir facsímil</v>
      </c>
      <c r="K68" s="15" t="s">
        <v>22</v>
      </c>
    </row>
    <row r="69" spans="1:11" ht="42" customHeight="1">
      <c r="A69" s="4" t="s">
        <v>220</v>
      </c>
      <c r="B69" s="5" t="s">
        <v>221</v>
      </c>
      <c r="C69" s="5" t="s">
        <v>52</v>
      </c>
      <c r="D69" s="5" t="s">
        <v>53</v>
      </c>
      <c r="E69" s="5" t="s">
        <v>54</v>
      </c>
      <c r="F69" s="9">
        <v>99</v>
      </c>
      <c r="G69" s="9" t="s">
        <v>222</v>
      </c>
      <c r="H69" s="5" t="s">
        <v>20</v>
      </c>
      <c r="I69" s="5" t="s">
        <v>223</v>
      </c>
      <c r="J69" s="12" t="str">
        <f>HYPERLINK("https://www.boe.es/gazeta/dias/1805/12/10/pdfs/GMD-C-1805-99.pdf#page=1","Abrir facsímil")</f>
        <v>Abrir facsímil</v>
      </c>
      <c r="K69" s="15" t="s">
        <v>22</v>
      </c>
    </row>
    <row r="70" spans="1:11" ht="42" customHeight="1">
      <c r="A70" s="4" t="s">
        <v>224</v>
      </c>
      <c r="B70" s="5" t="s">
        <v>225</v>
      </c>
      <c r="C70" s="5" t="s">
        <v>17</v>
      </c>
      <c r="D70" s="5" t="s">
        <v>18</v>
      </c>
      <c r="E70" s="5" t="s">
        <v>226</v>
      </c>
      <c r="F70" s="9">
        <v>73</v>
      </c>
      <c r="G70" s="9">
        <v>773</v>
      </c>
      <c r="H70" s="5" t="s">
        <v>20</v>
      </c>
      <c r="I70" s="5" t="s">
        <v>227</v>
      </c>
      <c r="J70" s="12" t="str">
        <f>HYPERLINK("https://www.boe.es/gazeta/dias/1805/09/10/pdfs/GMD-1805-73.pdf#page=5","Abrir facsímil")</f>
        <v>Abrir facsímil</v>
      </c>
      <c r="K70" s="15" t="s">
        <v>22</v>
      </c>
    </row>
    <row r="71" spans="1:11" ht="42" customHeight="1">
      <c r="A71" s="4" t="s">
        <v>228</v>
      </c>
      <c r="B71" s="5" t="s">
        <v>229</v>
      </c>
      <c r="C71" s="5" t="s">
        <v>17</v>
      </c>
      <c r="D71" s="5" t="s">
        <v>18</v>
      </c>
      <c r="E71" s="5" t="s">
        <v>181</v>
      </c>
      <c r="F71" s="9">
        <v>90</v>
      </c>
      <c r="G71" s="9">
        <v>966</v>
      </c>
      <c r="H71" s="5" t="s">
        <v>20</v>
      </c>
      <c r="I71" s="5" t="s">
        <v>230</v>
      </c>
      <c r="J71" s="12" t="str">
        <f>HYPERLINK("https://www.boe.es/gazeta/dias/1805/11/08/pdfs/GMD-1805-90.pdf#page=10","Abrir facsímil")</f>
        <v>Abrir facsímil</v>
      </c>
      <c r="K71" s="15" t="s">
        <v>22</v>
      </c>
    </row>
    <row r="72" spans="1:11" ht="42" customHeight="1">
      <c r="A72" s="4" t="s">
        <v>231</v>
      </c>
      <c r="B72" s="5" t="s">
        <v>232</v>
      </c>
      <c r="C72" s="5" t="s">
        <v>17</v>
      </c>
      <c r="D72" s="5" t="s">
        <v>18</v>
      </c>
      <c r="E72" s="5" t="s">
        <v>200</v>
      </c>
      <c r="F72" s="9">
        <v>91</v>
      </c>
      <c r="G72" s="9">
        <v>977</v>
      </c>
      <c r="H72" s="5" t="s">
        <v>20</v>
      </c>
      <c r="I72" s="5" t="s">
        <v>233</v>
      </c>
      <c r="J72" s="12" t="str">
        <f>HYPERLINK("https://www.boe.es/gazeta/dias/1805/11/12/pdfs/GMD-1805-91.pdf#page=9","Abrir facsímil")</f>
        <v>Abrir facsímil</v>
      </c>
      <c r="K72" s="15" t="s">
        <v>22</v>
      </c>
    </row>
    <row r="73" spans="1:11" ht="42" customHeight="1">
      <c r="A73" s="4" t="s">
        <v>234</v>
      </c>
      <c r="B73" s="5" t="s">
        <v>235</v>
      </c>
      <c r="C73" s="5" t="s">
        <v>52</v>
      </c>
      <c r="D73" s="5" t="s">
        <v>53</v>
      </c>
      <c r="E73" s="5" t="s">
        <v>144</v>
      </c>
      <c r="F73" s="9">
        <v>85</v>
      </c>
      <c r="G73" s="9" t="s">
        <v>222</v>
      </c>
      <c r="H73" s="5" t="s">
        <v>20</v>
      </c>
      <c r="I73" s="5" t="s">
        <v>236</v>
      </c>
      <c r="J73" s="12" t="str">
        <f>HYPERLINK("https://www.boe.es/gazeta/dias/1805/10/22/pdfs/GMD-C-1805-85.pdf#page=1","Abrir facsímil")</f>
        <v>Abrir facsímil</v>
      </c>
      <c r="K73" s="15" t="s">
        <v>22</v>
      </c>
    </row>
    <row r="74" spans="1:11" ht="42" customHeight="1">
      <c r="A74" s="4" t="s">
        <v>237</v>
      </c>
      <c r="B74" s="5" t="s">
        <v>238</v>
      </c>
      <c r="C74" s="5" t="s">
        <v>17</v>
      </c>
      <c r="D74" s="5" t="s">
        <v>18</v>
      </c>
      <c r="E74" s="5" t="s">
        <v>63</v>
      </c>
      <c r="F74" s="9">
        <v>101</v>
      </c>
      <c r="G74" s="9">
        <v>1093</v>
      </c>
      <c r="H74" s="5" t="s">
        <v>20</v>
      </c>
      <c r="I74" s="5" t="s">
        <v>239</v>
      </c>
      <c r="J74" s="12" t="str">
        <f>HYPERLINK("https://www.boe.es/gazeta/dias/1805/12/17/pdfs/GMD-1805-101.pdf#page=9","Abrir facsímil")</f>
        <v>Abrir facsímil</v>
      </c>
      <c r="K74" s="15" t="s">
        <v>22</v>
      </c>
    </row>
    <row r="75" spans="1:11" ht="42" customHeight="1">
      <c r="A75" s="4" t="s">
        <v>240</v>
      </c>
      <c r="B75" s="5" t="s">
        <v>241</v>
      </c>
      <c r="C75" s="5" t="s">
        <v>35</v>
      </c>
      <c r="D75" s="5" t="s">
        <v>36</v>
      </c>
      <c r="E75" s="5" t="s">
        <v>207</v>
      </c>
      <c r="F75" s="9">
        <v>76</v>
      </c>
      <c r="G75" s="9">
        <v>806</v>
      </c>
      <c r="H75" s="5" t="s">
        <v>20</v>
      </c>
      <c r="I75" s="5" t="s">
        <v>242</v>
      </c>
      <c r="J75" s="12" t="str">
        <f>HYPERLINK("https://www.boe.es/gazeta/dias/1805/09/20/pdfs/GMD-1805-76.pdf#page=6","Abrir facsímil")</f>
        <v>Abrir facsímil</v>
      </c>
      <c r="K75" s="15" t="s">
        <v>22</v>
      </c>
    </row>
    <row r="76" spans="1:11" ht="42" customHeight="1">
      <c r="A76" s="4" t="s">
        <v>243</v>
      </c>
      <c r="B76" s="5" t="s">
        <v>244</v>
      </c>
      <c r="C76" s="5" t="s">
        <v>52</v>
      </c>
      <c r="D76" s="5" t="s">
        <v>53</v>
      </c>
      <c r="E76" s="5" t="s">
        <v>54</v>
      </c>
      <c r="F76" s="9">
        <v>99</v>
      </c>
      <c r="G76" s="9" t="s">
        <v>222</v>
      </c>
      <c r="H76" s="5" t="s">
        <v>20</v>
      </c>
      <c r="I76" s="5" t="s">
        <v>245</v>
      </c>
      <c r="J76" s="12" t="str">
        <f>HYPERLINK("https://www.boe.es/gazeta/dias/1805/12/10/pdfs/GMD-C-1805-99.pdf#page=1","Abrir facsímil")</f>
        <v>Abrir facsímil</v>
      </c>
      <c r="K76" s="15" t="s">
        <v>22</v>
      </c>
    </row>
    <row r="77" spans="1:11" ht="42" customHeight="1">
      <c r="A77" s="4" t="s">
        <v>246</v>
      </c>
      <c r="B77" s="5" t="s">
        <v>247</v>
      </c>
      <c r="C77" s="5" t="s">
        <v>17</v>
      </c>
      <c r="D77" s="5" t="s">
        <v>18</v>
      </c>
      <c r="E77" s="5" t="s">
        <v>209</v>
      </c>
      <c r="F77" s="9">
        <v>89</v>
      </c>
      <c r="G77" s="9">
        <v>956</v>
      </c>
      <c r="H77" s="5" t="s">
        <v>20</v>
      </c>
      <c r="I77" s="5" t="s">
        <v>248</v>
      </c>
      <c r="J77" s="12" t="str">
        <f>HYPERLINK("https://www.boe.es/gazeta/dias/1805/11/05/pdfs/GMD-1805-89.pdf#page=16","Abrir facsímil")</f>
        <v>Abrir facsímil</v>
      </c>
      <c r="K77" s="15" t="s">
        <v>22</v>
      </c>
    </row>
    <row r="78" spans="1:11" ht="42" customHeight="1">
      <c r="A78" s="4" t="s">
        <v>249</v>
      </c>
      <c r="B78" s="5" t="s">
        <v>250</v>
      </c>
      <c r="C78" s="5" t="s">
        <v>17</v>
      </c>
      <c r="D78" s="5" t="s">
        <v>18</v>
      </c>
      <c r="E78" s="5" t="s">
        <v>63</v>
      </c>
      <c r="F78" s="9">
        <v>101</v>
      </c>
      <c r="G78" s="9">
        <v>1092</v>
      </c>
      <c r="H78" s="5" t="s">
        <v>20</v>
      </c>
      <c r="I78" s="5" t="s">
        <v>251</v>
      </c>
      <c r="J78" s="12" t="str">
        <f>HYPERLINK("https://www.boe.es/gazeta/dias/1805/12/17/pdfs/GMD-1805-101.pdf#page=8","Abrir facsímil")</f>
        <v>Abrir facsímil</v>
      </c>
      <c r="K78" s="15" t="s">
        <v>22</v>
      </c>
    </row>
    <row r="79" spans="1:11" ht="42" customHeight="1">
      <c r="A79" s="4" t="s">
        <v>252</v>
      </c>
      <c r="B79" s="5" t="s">
        <v>252</v>
      </c>
      <c r="C79" s="5" t="s">
        <v>17</v>
      </c>
      <c r="D79" s="5" t="s">
        <v>18</v>
      </c>
      <c r="E79" s="5" t="s">
        <v>148</v>
      </c>
      <c r="F79" s="9">
        <v>50</v>
      </c>
      <c r="G79" s="9">
        <v>542</v>
      </c>
      <c r="H79" s="5" t="s">
        <v>20</v>
      </c>
      <c r="I79" s="5" t="s">
        <v>253</v>
      </c>
      <c r="J79" s="12" t="str">
        <f>HYPERLINK("https://www.boe.es/gazeta/dias/1805/06/21/pdfs/GMD-1805-50.pdf#page=10","Abrir facsímil")</f>
        <v>Abrir facsímil</v>
      </c>
      <c r="K79" s="15" t="s">
        <v>22</v>
      </c>
    </row>
    <row r="80" spans="1:11" ht="42" customHeight="1">
      <c r="A80" s="4" t="s">
        <v>254</v>
      </c>
      <c r="B80" s="5" t="s">
        <v>254</v>
      </c>
      <c r="C80" s="5" t="s">
        <v>17</v>
      </c>
      <c r="D80" s="5" t="s">
        <v>18</v>
      </c>
      <c r="E80" s="5" t="s">
        <v>163</v>
      </c>
      <c r="F80" s="9">
        <v>77</v>
      </c>
      <c r="G80" s="9">
        <v>815</v>
      </c>
      <c r="H80" s="5" t="s">
        <v>20</v>
      </c>
      <c r="I80" s="5" t="s">
        <v>255</v>
      </c>
      <c r="J80" s="12" t="str">
        <f>HYPERLINK("https://www.boe.es/gazeta/dias/1805/09/24/pdfs/GMD-1805-77.pdf#page=7","Abrir facsímil")</f>
        <v>Abrir facsímil</v>
      </c>
      <c r="K80" s="15" t="s">
        <v>22</v>
      </c>
    </row>
    <row r="81" spans="1:11" ht="42" customHeight="1">
      <c r="A81" s="4" t="s">
        <v>256</v>
      </c>
      <c r="B81" s="5" t="s">
        <v>257</v>
      </c>
      <c r="C81" s="5" t="s">
        <v>35</v>
      </c>
      <c r="D81" s="5" t="s">
        <v>36</v>
      </c>
      <c r="E81" s="5" t="s">
        <v>226</v>
      </c>
      <c r="F81" s="9">
        <v>73</v>
      </c>
      <c r="G81" s="9">
        <v>774</v>
      </c>
      <c r="H81" s="5" t="s">
        <v>20</v>
      </c>
      <c r="I81" s="5" t="s">
        <v>258</v>
      </c>
      <c r="J81" s="12" t="str">
        <f>HYPERLINK("https://www.boe.es/gazeta/dias/1805/09/10/pdfs/GMD-1805-73.pdf#page=6","Abrir facsímil")</f>
        <v>Abrir facsímil</v>
      </c>
      <c r="K81" s="15" t="s">
        <v>22</v>
      </c>
    </row>
    <row r="82" spans="1:11" ht="42" customHeight="1">
      <c r="A82" s="4" t="s">
        <v>259</v>
      </c>
      <c r="B82" s="5" t="s">
        <v>260</v>
      </c>
      <c r="C82" s="5" t="s">
        <v>184</v>
      </c>
      <c r="D82" s="5" t="s">
        <v>86</v>
      </c>
      <c r="E82" s="5" t="s">
        <v>261</v>
      </c>
      <c r="F82" s="9">
        <v>18</v>
      </c>
      <c r="G82" s="9" t="s">
        <v>145</v>
      </c>
      <c r="H82" s="5" t="s">
        <v>20</v>
      </c>
      <c r="I82" s="5" t="s">
        <v>262</v>
      </c>
      <c r="J82" s="12" t="str">
        <f>HYPERLINK("https://www.boe.es/gazeta/dias/1805/03/01/pdfs/GMD-C-1805-18.pdf#page=2","Abrir facsímil")</f>
        <v>Abrir facsímil</v>
      </c>
      <c r="K82" s="15" t="s">
        <v>22</v>
      </c>
    </row>
    <row r="83" spans="1:11" ht="42" customHeight="1">
      <c r="A83" s="4" t="s">
        <v>259</v>
      </c>
      <c r="B83" s="5" t="s">
        <v>260</v>
      </c>
      <c r="C83" s="5" t="s">
        <v>184</v>
      </c>
      <c r="D83" s="5" t="s">
        <v>86</v>
      </c>
      <c r="E83" s="5" t="s">
        <v>261</v>
      </c>
      <c r="F83" s="9">
        <v>18</v>
      </c>
      <c r="G83" s="9" t="s">
        <v>159</v>
      </c>
      <c r="H83" s="5" t="s">
        <v>20</v>
      </c>
      <c r="I83" s="5" t="s">
        <v>263</v>
      </c>
      <c r="J83" s="12" t="str">
        <f>HYPERLINK("https://www.boe.es/gazeta/dias/1805/03/01/pdfs/GMD-C-1805-18.pdf#page=3","Abrir facsímil")</f>
        <v>Abrir facsímil</v>
      </c>
      <c r="K83" s="15" t="s">
        <v>22</v>
      </c>
    </row>
    <row r="84" spans="1:11" ht="42" customHeight="1">
      <c r="A84" s="4" t="s">
        <v>259</v>
      </c>
      <c r="B84" s="5" t="s">
        <v>260</v>
      </c>
      <c r="C84" s="5" t="s">
        <v>264</v>
      </c>
      <c r="D84" s="5" t="s">
        <v>265</v>
      </c>
      <c r="E84" s="5" t="s">
        <v>261</v>
      </c>
      <c r="F84" s="9">
        <v>18</v>
      </c>
      <c r="G84" s="9" t="s">
        <v>55</v>
      </c>
      <c r="H84" s="5" t="s">
        <v>20</v>
      </c>
      <c r="I84" s="5" t="s">
        <v>266</v>
      </c>
      <c r="J84" s="12" t="str">
        <f>HYPERLINK("https://www.boe.es/gazeta/dias/1805/03/01/pdfs/GMD-C-1805-18.pdf#page=4","Abrir facsímil")</f>
        <v>Abrir facsímil</v>
      </c>
      <c r="K84" s="15" t="s">
        <v>22</v>
      </c>
    </row>
    <row r="85" spans="1:11" ht="42" customHeight="1">
      <c r="A85" s="4" t="s">
        <v>267</v>
      </c>
      <c r="B85" s="5" t="s">
        <v>267</v>
      </c>
      <c r="C85" s="5" t="s">
        <v>35</v>
      </c>
      <c r="D85" s="5" t="s">
        <v>36</v>
      </c>
      <c r="E85" s="5" t="s">
        <v>67</v>
      </c>
      <c r="F85" s="9">
        <v>98</v>
      </c>
      <c r="G85" s="9">
        <v>1059</v>
      </c>
      <c r="H85" s="5" t="s">
        <v>20</v>
      </c>
      <c r="I85" s="5" t="s">
        <v>268</v>
      </c>
      <c r="J85" s="12" t="str">
        <f>HYPERLINK("https://www.boe.es/gazeta/dias/1805/12/06/pdfs/GMD-1805-98.pdf#page=11","Abrir facsímil")</f>
        <v>Abrir facsímil</v>
      </c>
      <c r="K85" s="15" t="s">
        <v>22</v>
      </c>
    </row>
    <row r="86" spans="1:11" ht="42" customHeight="1">
      <c r="A86" s="4" t="s">
        <v>269</v>
      </c>
      <c r="B86" s="5" t="s">
        <v>270</v>
      </c>
      <c r="C86" s="5" t="s">
        <v>17</v>
      </c>
      <c r="D86" s="5" t="s">
        <v>18</v>
      </c>
      <c r="E86" s="5" t="s">
        <v>37</v>
      </c>
      <c r="F86" s="9">
        <v>54</v>
      </c>
      <c r="G86" s="9">
        <v>579</v>
      </c>
      <c r="H86" s="5" t="s">
        <v>20</v>
      </c>
      <c r="I86" s="5" t="s">
        <v>271</v>
      </c>
      <c r="J86" s="12" t="str">
        <f>HYPERLINK("https://www.boe.es/gazeta/dias/1805/07/05/pdfs/GMD-1805-54.pdf#page=7","Abrir facsímil")</f>
        <v>Abrir facsímil</v>
      </c>
      <c r="K86" s="15" t="s">
        <v>22</v>
      </c>
    </row>
    <row r="87" spans="1:11" ht="42" customHeight="1">
      <c r="A87" s="4" t="s">
        <v>272</v>
      </c>
      <c r="B87" s="5" t="s">
        <v>272</v>
      </c>
      <c r="C87" s="5" t="s">
        <v>29</v>
      </c>
      <c r="D87" s="5" t="s">
        <v>30</v>
      </c>
      <c r="E87" s="5" t="s">
        <v>273</v>
      </c>
      <c r="F87" s="9">
        <v>8</v>
      </c>
      <c r="G87" s="9">
        <v>91</v>
      </c>
      <c r="H87" s="5" t="s">
        <v>20</v>
      </c>
      <c r="I87" s="5" t="s">
        <v>274</v>
      </c>
      <c r="J87" s="12" t="str">
        <f>HYPERLINK("https://www.boe.es/gazeta/dias/1805/01/25/pdfs/GMD-1805-8.pdf#page=11","Abrir facsímil")</f>
        <v>Abrir facsímil</v>
      </c>
      <c r="K87" s="15" t="s">
        <v>22</v>
      </c>
    </row>
    <row r="88" spans="1:11" ht="42" customHeight="1">
      <c r="A88" s="4" t="s">
        <v>275</v>
      </c>
      <c r="B88" s="5" t="s">
        <v>275</v>
      </c>
      <c r="C88" s="5" t="s">
        <v>17</v>
      </c>
      <c r="D88" s="5" t="s">
        <v>18</v>
      </c>
      <c r="E88" s="5" t="s">
        <v>276</v>
      </c>
      <c r="F88" s="9">
        <v>51</v>
      </c>
      <c r="G88" s="9">
        <v>552</v>
      </c>
      <c r="H88" s="5" t="s">
        <v>20</v>
      </c>
      <c r="I88" s="5" t="s">
        <v>277</v>
      </c>
      <c r="J88" s="12" t="str">
        <f>HYPERLINK("https://www.boe.es/gazeta/dias/1805/06/25/pdfs/GMD-1805-51.pdf#page=8","Abrir facsímil")</f>
        <v>Abrir facsímil</v>
      </c>
      <c r="K88" s="15" t="s">
        <v>22</v>
      </c>
    </row>
    <row r="89" spans="1:11" ht="42" customHeight="1">
      <c r="A89" s="4" t="s">
        <v>278</v>
      </c>
      <c r="B89" s="5" t="s">
        <v>278</v>
      </c>
      <c r="C89" s="5" t="s">
        <v>35</v>
      </c>
      <c r="D89" s="5" t="s">
        <v>36</v>
      </c>
      <c r="E89" s="5" t="s">
        <v>120</v>
      </c>
      <c r="F89" s="9">
        <v>24</v>
      </c>
      <c r="G89" s="9">
        <v>256</v>
      </c>
      <c r="H89" s="5" t="s">
        <v>20</v>
      </c>
      <c r="I89" s="5" t="s">
        <v>279</v>
      </c>
      <c r="J89" s="12" t="str">
        <f>HYPERLINK("https://www.boe.es/gazeta/dias/1805/03/22/pdfs/GMD-1805-24.pdf#page=8","Abrir facsímil")</f>
        <v>Abrir facsímil</v>
      </c>
      <c r="K89" s="15" t="s">
        <v>22</v>
      </c>
    </row>
    <row r="90" spans="1:11" ht="42" customHeight="1">
      <c r="A90" s="4" t="s">
        <v>280</v>
      </c>
      <c r="B90" s="5" t="s">
        <v>280</v>
      </c>
      <c r="C90" s="5" t="s">
        <v>35</v>
      </c>
      <c r="D90" s="5" t="s">
        <v>36</v>
      </c>
      <c r="E90" s="5" t="s">
        <v>281</v>
      </c>
      <c r="F90" s="9">
        <v>15</v>
      </c>
      <c r="G90" s="9">
        <v>156</v>
      </c>
      <c r="H90" s="5" t="s">
        <v>20</v>
      </c>
      <c r="I90" s="5" t="s">
        <v>282</v>
      </c>
      <c r="J90" s="12" t="str">
        <f>HYPERLINK("https://www.boe.es/gazeta/dias/1805/02/19/pdfs/GMD-1805-15.pdf#page=8","Abrir facsímil")</f>
        <v>Abrir facsímil</v>
      </c>
      <c r="K90" s="15" t="s">
        <v>22</v>
      </c>
    </row>
    <row r="91" spans="1:11" ht="42" customHeight="1">
      <c r="A91" s="4" t="s">
        <v>283</v>
      </c>
      <c r="B91" s="5" t="s">
        <v>283</v>
      </c>
      <c r="C91" s="5" t="s">
        <v>29</v>
      </c>
      <c r="D91" s="5" t="s">
        <v>30</v>
      </c>
      <c r="E91" s="5" t="s">
        <v>213</v>
      </c>
      <c r="F91" s="9">
        <v>56</v>
      </c>
      <c r="G91" s="9">
        <v>603</v>
      </c>
      <c r="H91" s="5" t="s">
        <v>20</v>
      </c>
      <c r="I91" s="5" t="s">
        <v>284</v>
      </c>
      <c r="J91" s="12" t="str">
        <f>HYPERLINK("https://www.boe.es/gazeta/dias/1805/07/12/pdfs/GMD-1805-56.pdf#page=11","Abrir facsímil")</f>
        <v>Abrir facsímil</v>
      </c>
      <c r="K91" s="15" t="s">
        <v>22</v>
      </c>
    </row>
    <row r="92" spans="1:11" ht="42" customHeight="1">
      <c r="A92" s="4" t="s">
        <v>285</v>
      </c>
      <c r="B92" s="5" t="s">
        <v>285</v>
      </c>
      <c r="C92" s="5" t="s">
        <v>17</v>
      </c>
      <c r="D92" s="5" t="s">
        <v>18</v>
      </c>
      <c r="E92" s="5" t="s">
        <v>286</v>
      </c>
      <c r="F92" s="9">
        <v>48</v>
      </c>
      <c r="G92" s="9">
        <v>520</v>
      </c>
      <c r="H92" s="5" t="s">
        <v>20</v>
      </c>
      <c r="I92" s="5" t="s">
        <v>287</v>
      </c>
      <c r="J92" s="12" t="str">
        <f>HYPERLINK("https://www.boe.es/gazeta/dias/1805/06/14/pdfs/GMD-1805-48.pdf#page=8","Abrir facsímil")</f>
        <v>Abrir facsímil</v>
      </c>
      <c r="K92" s="15" t="s">
        <v>22</v>
      </c>
    </row>
    <row r="93" spans="1:11" ht="42" customHeight="1">
      <c r="A93" s="4" t="s">
        <v>288</v>
      </c>
      <c r="B93" s="5" t="s">
        <v>289</v>
      </c>
      <c r="C93" s="5" t="s">
        <v>29</v>
      </c>
      <c r="D93" s="5" t="s">
        <v>30</v>
      </c>
      <c r="E93" s="5" t="s">
        <v>290</v>
      </c>
      <c r="F93" s="9">
        <v>36</v>
      </c>
      <c r="G93" s="9">
        <v>392</v>
      </c>
      <c r="H93" s="5" t="s">
        <v>20</v>
      </c>
      <c r="I93" s="5" t="s">
        <v>291</v>
      </c>
      <c r="J93" s="12" t="str">
        <f>HYPERLINK("https://www.boe.es/gazeta/dias/1805/05/03/pdfs/GMD-1805-36.pdf#page=12","Abrir facsímil")</f>
        <v>Abrir facsímil</v>
      </c>
      <c r="K93" s="15" t="s">
        <v>22</v>
      </c>
    </row>
    <row r="94" spans="1:11" ht="42" customHeight="1">
      <c r="A94" s="4" t="s">
        <v>292</v>
      </c>
      <c r="B94" s="5" t="s">
        <v>292</v>
      </c>
      <c r="C94" s="5" t="s">
        <v>17</v>
      </c>
      <c r="D94" s="5" t="s">
        <v>18</v>
      </c>
      <c r="E94" s="5" t="s">
        <v>293</v>
      </c>
      <c r="F94" s="9">
        <v>5</v>
      </c>
      <c r="G94" s="9">
        <v>55</v>
      </c>
      <c r="H94" s="5" t="s">
        <v>20</v>
      </c>
      <c r="I94" s="5" t="s">
        <v>294</v>
      </c>
      <c r="J94" s="12" t="str">
        <f>HYPERLINK("https://www.boe.es/gazeta/dias/1805/01/15/pdfs/GMD-1805-5.pdf#page=11","Abrir facsímil")</f>
        <v>Abrir facsímil</v>
      </c>
      <c r="K94" s="15" t="s">
        <v>22</v>
      </c>
    </row>
    <row r="95" spans="1:11" ht="42" customHeight="1">
      <c r="A95" s="4" t="s">
        <v>295</v>
      </c>
      <c r="B95" s="5" t="s">
        <v>295</v>
      </c>
      <c r="C95" s="5" t="s">
        <v>29</v>
      </c>
      <c r="D95" s="5" t="s">
        <v>30</v>
      </c>
      <c r="E95" s="5" t="s">
        <v>296</v>
      </c>
      <c r="F95" s="9">
        <v>26</v>
      </c>
      <c r="G95" s="9">
        <v>279</v>
      </c>
      <c r="H95" s="5" t="s">
        <v>20</v>
      </c>
      <c r="I95" s="5" t="s">
        <v>297</v>
      </c>
      <c r="J95" s="12" t="str">
        <f>HYPERLINK("https://www.boe.es/gazeta/dias/1805/03/29/pdfs/GMD-1805-26.pdf#page=11","Abrir facsímil")</f>
        <v>Abrir facsímil</v>
      </c>
      <c r="K95" s="15" t="s">
        <v>22</v>
      </c>
    </row>
    <row r="96" spans="1:11" ht="42" customHeight="1">
      <c r="A96" s="4" t="s">
        <v>298</v>
      </c>
      <c r="B96" s="5" t="s">
        <v>299</v>
      </c>
      <c r="C96" s="5" t="s">
        <v>85</v>
      </c>
      <c r="D96" s="5" t="s">
        <v>86</v>
      </c>
      <c r="E96" s="5" t="s">
        <v>300</v>
      </c>
      <c r="F96" s="9">
        <v>81</v>
      </c>
      <c r="G96" s="9">
        <v>858</v>
      </c>
      <c r="H96" s="5" t="s">
        <v>20</v>
      </c>
      <c r="I96" s="5" t="s">
        <v>301</v>
      </c>
      <c r="J96" s="12" t="str">
        <f>HYPERLINK("https://www.boe.es/gazeta/dias/1805/10/08/pdfs/GMD-1805-81.pdf#page=6","Abrir facsímil")</f>
        <v>Abrir facsímil</v>
      </c>
      <c r="K96" s="15" t="s">
        <v>22</v>
      </c>
    </row>
    <row r="97" spans="1:11" ht="42" customHeight="1">
      <c r="A97" s="4" t="s">
        <v>302</v>
      </c>
      <c r="B97" s="5" t="s">
        <v>302</v>
      </c>
      <c r="C97" s="5" t="s">
        <v>17</v>
      </c>
      <c r="D97" s="5" t="s">
        <v>18</v>
      </c>
      <c r="E97" s="5" t="s">
        <v>303</v>
      </c>
      <c r="F97" s="9">
        <v>57</v>
      </c>
      <c r="G97" s="9">
        <v>609</v>
      </c>
      <c r="H97" s="5" t="s">
        <v>20</v>
      </c>
      <c r="I97" s="5" t="s">
        <v>304</v>
      </c>
      <c r="J97" s="12" t="str">
        <f>HYPERLINK("https://www.boe.es/gazeta/dias/1805/07/16/pdfs/GMD-1805-57.pdf#page=5","Abrir facsímil")</f>
        <v>Abrir facsímil</v>
      </c>
      <c r="K97" s="15" t="s">
        <v>22</v>
      </c>
    </row>
    <row r="98" spans="1:11" ht="42" customHeight="1">
      <c r="A98" s="4" t="s">
        <v>305</v>
      </c>
      <c r="B98" s="5" t="s">
        <v>305</v>
      </c>
      <c r="C98" s="5" t="s">
        <v>17</v>
      </c>
      <c r="D98" s="5" t="s">
        <v>18</v>
      </c>
      <c r="E98" s="5" t="s">
        <v>148</v>
      </c>
      <c r="F98" s="9">
        <v>50</v>
      </c>
      <c r="G98" s="9">
        <v>541</v>
      </c>
      <c r="H98" s="5" t="s">
        <v>20</v>
      </c>
      <c r="I98" s="5" t="s">
        <v>306</v>
      </c>
      <c r="J98" s="12" t="str">
        <f>HYPERLINK("https://www.boe.es/gazeta/dias/1805/06/21/pdfs/GMD-1805-50.pdf#page=9","Abrir facsímil")</f>
        <v>Abrir facsímil</v>
      </c>
      <c r="K98" s="15" t="s">
        <v>22</v>
      </c>
    </row>
    <row r="99" spans="1:11" ht="42" customHeight="1">
      <c r="A99" s="4" t="s">
        <v>307</v>
      </c>
      <c r="B99" s="5" t="s">
        <v>308</v>
      </c>
      <c r="C99" s="5" t="s">
        <v>35</v>
      </c>
      <c r="D99" s="5" t="s">
        <v>36</v>
      </c>
      <c r="E99" s="5" t="s">
        <v>303</v>
      </c>
      <c r="F99" s="9">
        <v>57</v>
      </c>
      <c r="G99" s="9">
        <v>611</v>
      </c>
      <c r="H99" s="5" t="s">
        <v>20</v>
      </c>
      <c r="I99" s="5" t="s">
        <v>309</v>
      </c>
      <c r="J99" s="12" t="str">
        <f>HYPERLINK("https://www.boe.es/gazeta/dias/1805/07/16/pdfs/GMD-1805-57.pdf#page=7","Abrir facsímil")</f>
        <v>Abrir facsímil</v>
      </c>
      <c r="K99" s="15" t="s">
        <v>22</v>
      </c>
    </row>
    <row r="100" spans="1:11" ht="42" customHeight="1">
      <c r="A100" s="4" t="s">
        <v>310</v>
      </c>
      <c r="B100" s="5" t="s">
        <v>311</v>
      </c>
      <c r="C100" s="5" t="s">
        <v>35</v>
      </c>
      <c r="D100" s="5" t="s">
        <v>36</v>
      </c>
      <c r="E100" s="5" t="s">
        <v>303</v>
      </c>
      <c r="F100" s="9">
        <v>57</v>
      </c>
      <c r="G100" s="9">
        <v>611</v>
      </c>
      <c r="H100" s="5" t="s">
        <v>20</v>
      </c>
      <c r="I100" s="5" t="s">
        <v>312</v>
      </c>
      <c r="J100" s="12" t="str">
        <f>HYPERLINK("https://www.boe.es/gazeta/dias/1805/07/16/pdfs/GMD-1805-57.pdf#page=7","Abrir facsímil")</f>
        <v>Abrir facsímil</v>
      </c>
      <c r="K100" s="15" t="s">
        <v>22</v>
      </c>
    </row>
    <row r="101" spans="1:11" ht="42" customHeight="1">
      <c r="A101" s="4" t="s">
        <v>313</v>
      </c>
      <c r="B101" s="5" t="s">
        <v>314</v>
      </c>
      <c r="C101" s="5" t="s">
        <v>17</v>
      </c>
      <c r="D101" s="5" t="s">
        <v>18</v>
      </c>
      <c r="E101" s="5" t="s">
        <v>63</v>
      </c>
      <c r="F101" s="9">
        <v>101</v>
      </c>
      <c r="G101" s="9">
        <v>1092</v>
      </c>
      <c r="H101" s="5" t="s">
        <v>20</v>
      </c>
      <c r="I101" s="5" t="s">
        <v>315</v>
      </c>
      <c r="J101" s="12" t="str">
        <f>HYPERLINK("https://www.boe.es/gazeta/dias/1805/12/17/pdfs/GMD-1805-101.pdf#page=8","Abrir facsímil")</f>
        <v>Abrir facsímil</v>
      </c>
      <c r="K101" s="15" t="s">
        <v>22</v>
      </c>
    </row>
    <row r="102" spans="1:11" ht="42" customHeight="1">
      <c r="A102" s="4" t="s">
        <v>316</v>
      </c>
      <c r="B102" s="5" t="s">
        <v>317</v>
      </c>
      <c r="C102" s="5" t="s">
        <v>52</v>
      </c>
      <c r="D102" s="5" t="s">
        <v>53</v>
      </c>
      <c r="E102" s="5" t="s">
        <v>54</v>
      </c>
      <c r="F102" s="9">
        <v>99</v>
      </c>
      <c r="G102" s="9" t="s">
        <v>145</v>
      </c>
      <c r="H102" s="5" t="s">
        <v>20</v>
      </c>
      <c r="I102" s="5" t="s">
        <v>318</v>
      </c>
      <c r="J102" s="12" t="str">
        <f>HYPERLINK("https://www.boe.es/gazeta/dias/1805/12/10/pdfs/GMD-C-1805-99.pdf#page=2","Abrir facsímil")</f>
        <v>Abrir facsímil</v>
      </c>
      <c r="K102" s="15" t="s">
        <v>22</v>
      </c>
    </row>
    <row r="103" spans="1:11" ht="42" customHeight="1">
      <c r="A103" s="4" t="s">
        <v>319</v>
      </c>
      <c r="B103" s="5" t="s">
        <v>320</v>
      </c>
      <c r="C103" s="5" t="s">
        <v>35</v>
      </c>
      <c r="D103" s="5" t="s">
        <v>36</v>
      </c>
      <c r="E103" s="5" t="s">
        <v>207</v>
      </c>
      <c r="F103" s="9">
        <v>76</v>
      </c>
      <c r="G103" s="9">
        <v>807</v>
      </c>
      <c r="H103" s="5" t="s">
        <v>20</v>
      </c>
      <c r="I103" s="5" t="s">
        <v>321</v>
      </c>
      <c r="J103" s="12" t="str">
        <f>HYPERLINK("https://www.boe.es/gazeta/dias/1805/09/20/pdfs/GMD-1805-76.pdf#page=7","Abrir facsímil")</f>
        <v>Abrir facsímil</v>
      </c>
      <c r="K103" s="15" t="s">
        <v>22</v>
      </c>
    </row>
    <row r="104" spans="1:11" ht="42" customHeight="1">
      <c r="A104" s="4" t="s">
        <v>322</v>
      </c>
      <c r="B104" s="5" t="s">
        <v>323</v>
      </c>
      <c r="C104" s="5" t="s">
        <v>85</v>
      </c>
      <c r="D104" s="5" t="s">
        <v>86</v>
      </c>
      <c r="E104" s="5" t="s">
        <v>40</v>
      </c>
      <c r="F104" s="9">
        <v>59</v>
      </c>
      <c r="G104" s="9">
        <v>630</v>
      </c>
      <c r="H104" s="5" t="s">
        <v>20</v>
      </c>
      <c r="I104" s="5" t="s">
        <v>324</v>
      </c>
      <c r="J104" s="12" t="str">
        <f>HYPERLINK("https://www.boe.es/gazeta/dias/1805/07/23/pdfs/GMD-1805-59.pdf#page=6","Abrir facsímil")</f>
        <v>Abrir facsímil</v>
      </c>
      <c r="K104" s="15" t="s">
        <v>22</v>
      </c>
    </row>
    <row r="105" spans="1:11" ht="42" customHeight="1">
      <c r="A105" s="4" t="s">
        <v>325</v>
      </c>
      <c r="B105" s="5" t="s">
        <v>326</v>
      </c>
      <c r="C105" s="5" t="s">
        <v>35</v>
      </c>
      <c r="D105" s="5" t="s">
        <v>36</v>
      </c>
      <c r="E105" s="5" t="s">
        <v>327</v>
      </c>
      <c r="F105" s="9">
        <v>10</v>
      </c>
      <c r="G105" s="9">
        <v>109</v>
      </c>
      <c r="H105" s="5" t="s">
        <v>20</v>
      </c>
      <c r="I105" s="5" t="s">
        <v>328</v>
      </c>
      <c r="J105" s="12" t="str">
        <f>HYPERLINK("https://www.boe.es/gazeta/dias/1805/02/01/pdfs/GMD-1805-10.pdf#page=5","Abrir facsímil")</f>
        <v>Abrir facsímil</v>
      </c>
      <c r="K105" s="15" t="s">
        <v>22</v>
      </c>
    </row>
    <row r="106" spans="1:11" ht="42" customHeight="1">
      <c r="A106" s="4" t="s">
        <v>329</v>
      </c>
      <c r="B106" s="5" t="s">
        <v>330</v>
      </c>
      <c r="C106" s="5" t="s">
        <v>17</v>
      </c>
      <c r="D106" s="5" t="s">
        <v>18</v>
      </c>
      <c r="E106" s="5" t="s">
        <v>63</v>
      </c>
      <c r="F106" s="9">
        <v>101</v>
      </c>
      <c r="G106" s="9">
        <v>1093</v>
      </c>
      <c r="H106" s="5" t="s">
        <v>20</v>
      </c>
      <c r="I106" s="5" t="s">
        <v>331</v>
      </c>
      <c r="J106" s="12" t="str">
        <f>HYPERLINK("https://www.boe.es/gazeta/dias/1805/12/17/pdfs/GMD-1805-101.pdf#page=9","Abrir facsímil")</f>
        <v>Abrir facsímil</v>
      </c>
      <c r="K106" s="15" t="s">
        <v>22</v>
      </c>
    </row>
    <row r="107" spans="1:11" ht="42" customHeight="1">
      <c r="A107" s="4" t="s">
        <v>332</v>
      </c>
      <c r="B107" s="5" t="s">
        <v>332</v>
      </c>
      <c r="C107" s="5" t="s">
        <v>17</v>
      </c>
      <c r="D107" s="5" t="s">
        <v>18</v>
      </c>
      <c r="E107" s="5" t="s">
        <v>163</v>
      </c>
      <c r="F107" s="9">
        <v>77</v>
      </c>
      <c r="G107" s="9">
        <v>814</v>
      </c>
      <c r="H107" s="5" t="s">
        <v>20</v>
      </c>
      <c r="I107" s="5" t="s">
        <v>333</v>
      </c>
      <c r="J107" s="12" t="str">
        <f>HYPERLINK("https://www.boe.es/gazeta/dias/1805/09/24/pdfs/GMD-1805-77.pdf#page=6","Abrir facsímil")</f>
        <v>Abrir facsímil</v>
      </c>
      <c r="K107" s="15" t="s">
        <v>22</v>
      </c>
    </row>
    <row r="108" spans="1:11" ht="42" customHeight="1">
      <c r="A108" s="4" t="s">
        <v>334</v>
      </c>
      <c r="B108" s="5" t="s">
        <v>334</v>
      </c>
      <c r="C108" s="5" t="s">
        <v>29</v>
      </c>
      <c r="D108" s="5" t="s">
        <v>30</v>
      </c>
      <c r="E108" s="5" t="s">
        <v>335</v>
      </c>
      <c r="F108" s="9">
        <v>79</v>
      </c>
      <c r="G108" s="9">
        <v>832</v>
      </c>
      <c r="H108" s="5" t="s">
        <v>20</v>
      </c>
      <c r="I108" s="5" t="s">
        <v>336</v>
      </c>
      <c r="J108" s="12" t="str">
        <f>HYPERLINK("https://www.boe.es/gazeta/dias/1805/10/01/pdfs/GMD-1805-79.pdf#page=4","Abrir facsímil")</f>
        <v>Abrir facsímil</v>
      </c>
      <c r="K108" s="15" t="s">
        <v>22</v>
      </c>
    </row>
    <row r="109" spans="1:11" ht="42" customHeight="1">
      <c r="A109" s="4" t="s">
        <v>337</v>
      </c>
      <c r="B109" s="5" t="s">
        <v>337</v>
      </c>
      <c r="C109" s="5" t="s">
        <v>17</v>
      </c>
      <c r="D109" s="5" t="s">
        <v>18</v>
      </c>
      <c r="E109" s="5" t="s">
        <v>114</v>
      </c>
      <c r="F109" s="9">
        <v>17</v>
      </c>
      <c r="G109" s="9">
        <v>173</v>
      </c>
      <c r="H109" s="5" t="s">
        <v>20</v>
      </c>
      <c r="I109" s="5" t="s">
        <v>338</v>
      </c>
      <c r="J109" s="12" t="str">
        <f>HYPERLINK("https://www.boe.es/gazeta/dias/1805/02/26/pdfs/GMD-1805-17.pdf#page=5","Abrir facsímil")</f>
        <v>Abrir facsímil</v>
      </c>
      <c r="K109" s="15" t="s">
        <v>22</v>
      </c>
    </row>
    <row r="110" spans="1:11" ht="42" customHeight="1">
      <c r="A110" s="4" t="s">
        <v>337</v>
      </c>
      <c r="B110" s="5" t="s">
        <v>337</v>
      </c>
      <c r="C110" s="5" t="s">
        <v>35</v>
      </c>
      <c r="D110" s="5" t="s">
        <v>36</v>
      </c>
      <c r="E110" s="5" t="s">
        <v>117</v>
      </c>
      <c r="F110" s="9">
        <v>20</v>
      </c>
      <c r="G110" s="9">
        <v>206</v>
      </c>
      <c r="H110" s="5" t="s">
        <v>20</v>
      </c>
      <c r="I110" s="5" t="s">
        <v>339</v>
      </c>
      <c r="J110" s="12" t="str">
        <f>HYPERLINK("https://www.boe.es/gazeta/dias/1805/03/08/pdfs/GMD-1805-20.pdf#page=6","Abrir facsímil")</f>
        <v>Abrir facsímil</v>
      </c>
      <c r="K110" s="15" t="s">
        <v>22</v>
      </c>
    </row>
    <row r="111" spans="1:11" ht="42" customHeight="1">
      <c r="A111" s="4" t="s">
        <v>340</v>
      </c>
      <c r="B111" s="5" t="s">
        <v>341</v>
      </c>
      <c r="C111" s="5" t="s">
        <v>52</v>
      </c>
      <c r="D111" s="5" t="s">
        <v>53</v>
      </c>
      <c r="E111" s="5" t="s">
        <v>54</v>
      </c>
      <c r="F111" s="9">
        <v>99</v>
      </c>
      <c r="G111" s="9" t="s">
        <v>159</v>
      </c>
      <c r="H111" s="5" t="s">
        <v>20</v>
      </c>
      <c r="I111" s="5" t="s">
        <v>342</v>
      </c>
      <c r="J111" s="12" t="str">
        <f>HYPERLINK("https://www.boe.es/gazeta/dias/1805/12/10/pdfs/GMD-C-1805-99.pdf#page=3","Abrir facsímil")</f>
        <v>Abrir facsímil</v>
      </c>
      <c r="K111" s="15" t="s">
        <v>22</v>
      </c>
    </row>
    <row r="112" spans="1:11" ht="42" customHeight="1">
      <c r="A112" s="4" t="s">
        <v>343</v>
      </c>
      <c r="B112" s="5" t="s">
        <v>344</v>
      </c>
      <c r="C112" s="5" t="s">
        <v>17</v>
      </c>
      <c r="D112" s="5" t="s">
        <v>18</v>
      </c>
      <c r="E112" s="5" t="s">
        <v>59</v>
      </c>
      <c r="F112" s="9">
        <v>21</v>
      </c>
      <c r="G112" s="9">
        <v>220</v>
      </c>
      <c r="H112" s="5" t="s">
        <v>20</v>
      </c>
      <c r="I112" s="5" t="s">
        <v>345</v>
      </c>
      <c r="J112" s="12" t="str">
        <f>HYPERLINK("https://www.boe.es/gazeta/dias/1805/03/12/pdfs/GMD-1805-21.pdf#page=8","Abrir facsímil")</f>
        <v>Abrir facsímil</v>
      </c>
      <c r="K112" s="15" t="s">
        <v>22</v>
      </c>
    </row>
    <row r="113" spans="1:11" ht="42" customHeight="1">
      <c r="A113" s="4" t="s">
        <v>343</v>
      </c>
      <c r="B113" s="5" t="s">
        <v>344</v>
      </c>
      <c r="C113" s="5" t="s">
        <v>17</v>
      </c>
      <c r="D113" s="5" t="s">
        <v>18</v>
      </c>
      <c r="E113" s="5" t="s">
        <v>76</v>
      </c>
      <c r="F113" s="9">
        <v>66</v>
      </c>
      <c r="G113" s="9">
        <v>707</v>
      </c>
      <c r="H113" s="5" t="s">
        <v>20</v>
      </c>
      <c r="I113" s="5" t="s">
        <v>346</v>
      </c>
      <c r="J113" s="12" t="str">
        <f>HYPERLINK("https://www.boe.es/gazeta/dias/1805/08/16/pdfs/GMD-1805-66.pdf#page=7","Abrir facsímil")</f>
        <v>Abrir facsímil</v>
      </c>
      <c r="K113" s="15" t="s">
        <v>22</v>
      </c>
    </row>
    <row r="114" spans="1:11" ht="42" customHeight="1">
      <c r="A114" s="4" t="s">
        <v>347</v>
      </c>
      <c r="B114" s="5" t="s">
        <v>348</v>
      </c>
      <c r="C114" s="5" t="s">
        <v>17</v>
      </c>
      <c r="D114" s="5" t="s">
        <v>18</v>
      </c>
      <c r="E114" s="5" t="s">
        <v>261</v>
      </c>
      <c r="F114" s="9">
        <v>18</v>
      </c>
      <c r="G114" s="9">
        <v>186</v>
      </c>
      <c r="H114" s="5" t="s">
        <v>20</v>
      </c>
      <c r="I114" s="5" t="s">
        <v>349</v>
      </c>
      <c r="J114" s="12" t="str">
        <f>HYPERLINK("https://www.boe.es/gazeta/dias/1805/03/01/pdfs/GMD-1805-18.pdf#page=6","Abrir facsímil")</f>
        <v>Abrir facsímil</v>
      </c>
      <c r="K114" s="15" t="s">
        <v>22</v>
      </c>
    </row>
    <row r="115" spans="1:11" ht="42" customHeight="1">
      <c r="A115" s="4" t="s">
        <v>350</v>
      </c>
      <c r="B115" s="5" t="s">
        <v>351</v>
      </c>
      <c r="C115" s="5" t="s">
        <v>35</v>
      </c>
      <c r="D115" s="5" t="s">
        <v>36</v>
      </c>
      <c r="E115" s="5" t="s">
        <v>352</v>
      </c>
      <c r="F115" s="9">
        <v>60</v>
      </c>
      <c r="G115" s="9">
        <v>646</v>
      </c>
      <c r="H115" s="5" t="s">
        <v>20</v>
      </c>
      <c r="I115" s="5" t="s">
        <v>353</v>
      </c>
      <c r="J115" s="12" t="str">
        <f>HYPERLINK("https://www.boe.es/gazeta/dias/1805/07/26/pdfs/GMD-1805-60.pdf#page=10","Abrir facsímil")</f>
        <v>Abrir facsímil</v>
      </c>
      <c r="K115" s="15" t="s">
        <v>22</v>
      </c>
    </row>
    <row r="116" spans="1:11" ht="42" customHeight="1">
      <c r="A116" s="4" t="s">
        <v>354</v>
      </c>
      <c r="B116" s="5" t="s">
        <v>355</v>
      </c>
      <c r="C116" s="5" t="s">
        <v>17</v>
      </c>
      <c r="D116" s="5" t="s">
        <v>18</v>
      </c>
      <c r="E116" s="5" t="s">
        <v>356</v>
      </c>
      <c r="F116" s="9">
        <v>12</v>
      </c>
      <c r="G116" s="9">
        <v>130</v>
      </c>
      <c r="H116" s="5" t="s">
        <v>20</v>
      </c>
      <c r="I116" s="5" t="s">
        <v>357</v>
      </c>
      <c r="J116" s="12" t="str">
        <f>HYPERLINK("https://www.boe.es/gazeta/dias/1805/02/08/pdfs/GMD-1805-12.pdf#page=6","Abrir facsímil")</f>
        <v>Abrir facsímil</v>
      </c>
      <c r="K116" s="15" t="s">
        <v>22</v>
      </c>
    </row>
    <row r="117" spans="1:11" ht="42" customHeight="1">
      <c r="A117" s="4" t="s">
        <v>358</v>
      </c>
      <c r="B117" s="5" t="s">
        <v>359</v>
      </c>
      <c r="C117" s="5" t="s">
        <v>35</v>
      </c>
      <c r="D117" s="5" t="s">
        <v>36</v>
      </c>
      <c r="E117" s="5" t="s">
        <v>138</v>
      </c>
      <c r="F117" s="9">
        <v>102</v>
      </c>
      <c r="G117" s="9">
        <v>1103</v>
      </c>
      <c r="H117" s="5" t="s">
        <v>20</v>
      </c>
      <c r="I117" s="5" t="s">
        <v>360</v>
      </c>
      <c r="J117" s="12" t="str">
        <f>HYPERLINK("https://www.boe.es/gazeta/dias/1805/12/20/pdfs/GMD-1805-102.pdf#page=7","Abrir facsímil")</f>
        <v>Abrir facsímil</v>
      </c>
      <c r="K117" s="15" t="s">
        <v>22</v>
      </c>
    </row>
    <row r="118" spans="1:11" ht="42" customHeight="1">
      <c r="A118" s="4" t="s">
        <v>361</v>
      </c>
      <c r="B118" s="5" t="s">
        <v>362</v>
      </c>
      <c r="C118" s="5" t="s">
        <v>29</v>
      </c>
      <c r="D118" s="5" t="s">
        <v>30</v>
      </c>
      <c r="E118" s="5" t="s">
        <v>363</v>
      </c>
      <c r="F118" s="9">
        <v>1</v>
      </c>
      <c r="G118" s="9">
        <v>10</v>
      </c>
      <c r="H118" s="5" t="s">
        <v>20</v>
      </c>
      <c r="I118" s="5" t="s">
        <v>364</v>
      </c>
      <c r="J118" s="12" t="str">
        <f>HYPERLINK("https://www.boe.es/gazeta/dias/1805/01/01/pdfs/GMD-1805-1.pdf#page=10","Abrir facsímil")</f>
        <v>Abrir facsímil</v>
      </c>
      <c r="K118" s="15" t="s">
        <v>22</v>
      </c>
    </row>
    <row r="119" spans="1:11" ht="42" customHeight="1">
      <c r="A119" s="4" t="s">
        <v>361</v>
      </c>
      <c r="B119" s="5" t="s">
        <v>362</v>
      </c>
      <c r="C119" s="5" t="s">
        <v>29</v>
      </c>
      <c r="D119" s="5" t="s">
        <v>30</v>
      </c>
      <c r="E119" s="5" t="s">
        <v>365</v>
      </c>
      <c r="F119" s="9">
        <v>3</v>
      </c>
      <c r="G119" s="9">
        <v>29</v>
      </c>
      <c r="H119" s="5" t="s">
        <v>20</v>
      </c>
      <c r="I119" s="5" t="s">
        <v>366</v>
      </c>
      <c r="J119" s="12" t="str">
        <f>HYPERLINK("https://www.boe.es/gazeta/dias/1805/01/08/pdfs/GMD-1805-3.pdf#page=5","Abrir facsímil")</f>
        <v>Abrir facsímil</v>
      </c>
      <c r="K119" s="15" t="s">
        <v>22</v>
      </c>
    </row>
    <row r="120" spans="1:11" ht="42" customHeight="1">
      <c r="A120" s="4" t="s">
        <v>367</v>
      </c>
      <c r="B120" s="5" t="s">
        <v>368</v>
      </c>
      <c r="C120" s="5" t="s">
        <v>17</v>
      </c>
      <c r="D120" s="5" t="s">
        <v>18</v>
      </c>
      <c r="E120" s="5" t="s">
        <v>293</v>
      </c>
      <c r="F120" s="9">
        <v>5</v>
      </c>
      <c r="G120" s="9">
        <v>53</v>
      </c>
      <c r="H120" s="5" t="s">
        <v>20</v>
      </c>
      <c r="I120" s="5" t="s">
        <v>369</v>
      </c>
      <c r="J120" s="12" t="str">
        <f>HYPERLINK("https://www.boe.es/gazeta/dias/1805/01/15/pdfs/GMD-1805-5.pdf#page=9","Abrir facsímil")</f>
        <v>Abrir facsímil</v>
      </c>
      <c r="K120" s="15" t="s">
        <v>22</v>
      </c>
    </row>
    <row r="121" spans="1:11" ht="42" customHeight="1">
      <c r="A121" s="4" t="s">
        <v>370</v>
      </c>
      <c r="B121" s="5" t="s">
        <v>371</v>
      </c>
      <c r="C121" s="5" t="s">
        <v>85</v>
      </c>
      <c r="D121" s="5" t="s">
        <v>86</v>
      </c>
      <c r="E121" s="5" t="s">
        <v>170</v>
      </c>
      <c r="F121" s="9">
        <v>9</v>
      </c>
      <c r="G121" s="9">
        <v>99</v>
      </c>
      <c r="H121" s="5" t="s">
        <v>20</v>
      </c>
      <c r="I121" s="5" t="s">
        <v>372</v>
      </c>
      <c r="J121" s="12" t="str">
        <f>HYPERLINK("https://www.boe.es/gazeta/dias/1805/01/29/pdfs/GMD-1805-9.pdf#page=7","Abrir facsímil")</f>
        <v>Abrir facsímil</v>
      </c>
      <c r="K121" s="15" t="s">
        <v>22</v>
      </c>
    </row>
    <row r="122" spans="1:11" ht="42" customHeight="1">
      <c r="A122" s="4" t="s">
        <v>373</v>
      </c>
      <c r="B122" s="5" t="s">
        <v>374</v>
      </c>
      <c r="C122" s="5" t="s">
        <v>35</v>
      </c>
      <c r="D122" s="5" t="s">
        <v>36</v>
      </c>
      <c r="E122" s="5" t="s">
        <v>138</v>
      </c>
      <c r="F122" s="9">
        <v>102</v>
      </c>
      <c r="G122" s="9">
        <v>1103</v>
      </c>
      <c r="H122" s="5" t="s">
        <v>20</v>
      </c>
      <c r="I122" s="5" t="s">
        <v>375</v>
      </c>
      <c r="J122" s="12" t="str">
        <f>HYPERLINK("https://www.boe.es/gazeta/dias/1805/12/20/pdfs/GMD-1805-102.pdf#page=7","Abrir facsímil")</f>
        <v>Abrir facsímil</v>
      </c>
      <c r="K122" s="15" t="s">
        <v>22</v>
      </c>
    </row>
    <row r="123" spans="1:11" ht="42" customHeight="1">
      <c r="A123" s="4" t="s">
        <v>376</v>
      </c>
      <c r="B123" s="5" t="s">
        <v>377</v>
      </c>
      <c r="C123" s="5" t="s">
        <v>17</v>
      </c>
      <c r="D123" s="5" t="s">
        <v>18</v>
      </c>
      <c r="E123" s="5" t="s">
        <v>48</v>
      </c>
      <c r="F123" s="9">
        <v>35</v>
      </c>
      <c r="G123" s="9">
        <v>378</v>
      </c>
      <c r="H123" s="5" t="s">
        <v>20</v>
      </c>
      <c r="I123" s="5" t="s">
        <v>378</v>
      </c>
      <c r="J123" s="12" t="str">
        <f>HYPERLINK("https://www.boe.es/gazeta/dias/1805/04/30/pdfs/GMD-1805-35.pdf#page=10","Abrir facsímil")</f>
        <v>Abrir facsímil</v>
      </c>
      <c r="K123" s="15" t="s">
        <v>22</v>
      </c>
    </row>
    <row r="124" spans="1:11" ht="42" customHeight="1">
      <c r="A124" s="4" t="s">
        <v>379</v>
      </c>
      <c r="B124" s="5" t="s">
        <v>380</v>
      </c>
      <c r="C124" s="5" t="s">
        <v>17</v>
      </c>
      <c r="D124" s="5" t="s">
        <v>18</v>
      </c>
      <c r="E124" s="5" t="s">
        <v>24</v>
      </c>
      <c r="F124" s="9">
        <v>11</v>
      </c>
      <c r="G124" s="9">
        <v>123</v>
      </c>
      <c r="H124" s="5" t="s">
        <v>20</v>
      </c>
      <c r="I124" s="5" t="s">
        <v>381</v>
      </c>
      <c r="J124" s="12" t="str">
        <f>HYPERLINK("https://www.boe.es/gazeta/dias/1805/02/05/pdfs/GMD-1805-11.pdf#page=11","Abrir facsímil")</f>
        <v>Abrir facsímil</v>
      </c>
      <c r="K124" s="15" t="s">
        <v>22</v>
      </c>
    </row>
    <row r="125" spans="1:11" ht="42" customHeight="1">
      <c r="A125" s="4" t="s">
        <v>382</v>
      </c>
      <c r="B125" s="5" t="s">
        <v>383</v>
      </c>
      <c r="C125" s="5" t="s">
        <v>35</v>
      </c>
      <c r="D125" s="5" t="s">
        <v>36</v>
      </c>
      <c r="E125" s="5" t="s">
        <v>192</v>
      </c>
      <c r="F125" s="9">
        <v>105</v>
      </c>
      <c r="G125" s="9">
        <v>1137</v>
      </c>
      <c r="H125" s="5" t="s">
        <v>20</v>
      </c>
      <c r="I125" s="5" t="s">
        <v>384</v>
      </c>
      <c r="J125" s="12" t="str">
        <f>HYPERLINK("https://www.boe.es/gazeta/dias/1805/12/31/pdfs/GMD-1805-105.pdf#page=9","Abrir facsímil")</f>
        <v>Abrir facsímil</v>
      </c>
      <c r="K125" s="15" t="s">
        <v>22</v>
      </c>
    </row>
    <row r="126" spans="1:11" ht="42" customHeight="1">
      <c r="A126" s="4" t="s">
        <v>385</v>
      </c>
      <c r="B126" s="5" t="s">
        <v>386</v>
      </c>
      <c r="C126" s="5" t="s">
        <v>35</v>
      </c>
      <c r="D126" s="5" t="s">
        <v>36</v>
      </c>
      <c r="E126" s="5" t="s">
        <v>387</v>
      </c>
      <c r="F126" s="9">
        <v>4</v>
      </c>
      <c r="G126" s="9">
        <v>42</v>
      </c>
      <c r="H126" s="5" t="s">
        <v>20</v>
      </c>
      <c r="I126" s="5" t="s">
        <v>388</v>
      </c>
      <c r="J126" s="12" t="str">
        <f>HYPERLINK("https://www.boe.es/gazeta/dias/1805/01/11/pdfs/GMD-1805-4.pdf#page=10","Abrir facsímil")</f>
        <v>Abrir facsímil</v>
      </c>
      <c r="K126" s="15" t="s">
        <v>22</v>
      </c>
    </row>
    <row r="127" spans="1:11" ht="42" customHeight="1">
      <c r="A127" s="4" t="s">
        <v>385</v>
      </c>
      <c r="B127" s="5" t="s">
        <v>386</v>
      </c>
      <c r="C127" s="5" t="s">
        <v>35</v>
      </c>
      <c r="D127" s="5" t="s">
        <v>36</v>
      </c>
      <c r="E127" s="5" t="s">
        <v>335</v>
      </c>
      <c r="F127" s="9">
        <v>79</v>
      </c>
      <c r="G127" s="9">
        <v>838</v>
      </c>
      <c r="H127" s="5" t="s">
        <v>20</v>
      </c>
      <c r="I127" s="5" t="s">
        <v>389</v>
      </c>
      <c r="J127" s="12" t="str">
        <f>HYPERLINK("https://www.boe.es/gazeta/dias/1805/10/01/pdfs/GMD-1805-79.pdf#page=10","Abrir facsímil")</f>
        <v>Abrir facsímil</v>
      </c>
      <c r="K127" s="15" t="s">
        <v>22</v>
      </c>
    </row>
    <row r="128" spans="1:11" ht="42" customHeight="1">
      <c r="A128" s="4" t="s">
        <v>390</v>
      </c>
      <c r="B128" s="5" t="s">
        <v>390</v>
      </c>
      <c r="C128" s="5" t="s">
        <v>85</v>
      </c>
      <c r="D128" s="5" t="s">
        <v>86</v>
      </c>
      <c r="E128" s="5" t="s">
        <v>273</v>
      </c>
      <c r="F128" s="9">
        <v>8</v>
      </c>
      <c r="G128" s="9">
        <v>88</v>
      </c>
      <c r="H128" s="5" t="s">
        <v>20</v>
      </c>
      <c r="I128" s="5" t="s">
        <v>391</v>
      </c>
      <c r="J128" s="12" t="str">
        <f>HYPERLINK("https://www.boe.es/gazeta/dias/1805/01/25/pdfs/GMD-1805-8.pdf#page=8","Abrir facsímil")</f>
        <v>Abrir facsímil</v>
      </c>
      <c r="K128" s="15" t="s">
        <v>22</v>
      </c>
    </row>
    <row r="129" spans="1:11" ht="42" customHeight="1">
      <c r="A129" s="4" t="s">
        <v>392</v>
      </c>
      <c r="B129" s="5" t="s">
        <v>392</v>
      </c>
      <c r="C129" s="5" t="s">
        <v>35</v>
      </c>
      <c r="D129" s="5" t="s">
        <v>36</v>
      </c>
      <c r="E129" s="5" t="s">
        <v>393</v>
      </c>
      <c r="F129" s="9">
        <v>44</v>
      </c>
      <c r="G129" s="9">
        <v>474</v>
      </c>
      <c r="H129" s="5" t="s">
        <v>20</v>
      </c>
      <c r="I129" s="5" t="s">
        <v>394</v>
      </c>
      <c r="J129" s="12" t="str">
        <f>HYPERLINK("https://www.boe.es/gazeta/dias/1805/05/31/pdfs/GMD-1805-44.pdf#page=10","Abrir facsímil")</f>
        <v>Abrir facsímil</v>
      </c>
      <c r="K129" s="15" t="s">
        <v>22</v>
      </c>
    </row>
    <row r="130" spans="1:11" ht="42" customHeight="1">
      <c r="A130" s="4" t="s">
        <v>395</v>
      </c>
      <c r="B130" s="5" t="s">
        <v>395</v>
      </c>
      <c r="C130" s="5" t="s">
        <v>85</v>
      </c>
      <c r="D130" s="5" t="s">
        <v>86</v>
      </c>
      <c r="E130" s="5" t="s">
        <v>226</v>
      </c>
      <c r="F130" s="9">
        <v>73</v>
      </c>
      <c r="G130" s="9">
        <v>772</v>
      </c>
      <c r="H130" s="5" t="s">
        <v>20</v>
      </c>
      <c r="I130" s="5" t="s">
        <v>396</v>
      </c>
      <c r="J130" s="12" t="str">
        <f>HYPERLINK("https://www.boe.es/gazeta/dias/1805/09/10/pdfs/GMD-1805-73.pdf#page=4","Abrir facsímil")</f>
        <v>Abrir facsímil</v>
      </c>
      <c r="K130" s="15" t="s">
        <v>22</v>
      </c>
    </row>
    <row r="131" spans="1:11" ht="42" customHeight="1">
      <c r="A131" s="4" t="s">
        <v>397</v>
      </c>
      <c r="B131" s="5" t="s">
        <v>398</v>
      </c>
      <c r="C131" s="5" t="s">
        <v>17</v>
      </c>
      <c r="D131" s="5" t="s">
        <v>18</v>
      </c>
      <c r="E131" s="5" t="s">
        <v>399</v>
      </c>
      <c r="F131" s="9">
        <v>39</v>
      </c>
      <c r="G131" s="9">
        <v>422</v>
      </c>
      <c r="H131" s="5" t="s">
        <v>20</v>
      </c>
      <c r="I131" s="5" t="s">
        <v>400</v>
      </c>
      <c r="J131" s="12" t="str">
        <f>HYPERLINK("https://www.boe.es/gazeta/dias/1805/05/14/pdfs/GMD-1805-39.pdf#page=10","Abrir facsímil")</f>
        <v>Abrir facsímil</v>
      </c>
      <c r="K131" s="15" t="s">
        <v>22</v>
      </c>
    </row>
    <row r="132" spans="1:11" ht="42" customHeight="1">
      <c r="A132" s="4" t="s">
        <v>401</v>
      </c>
      <c r="B132" s="5" t="s">
        <v>402</v>
      </c>
      <c r="C132" s="5" t="s">
        <v>35</v>
      </c>
      <c r="D132" s="5" t="s">
        <v>36</v>
      </c>
      <c r="E132" s="5" t="s">
        <v>44</v>
      </c>
      <c r="F132" s="9">
        <v>29</v>
      </c>
      <c r="G132" s="9">
        <v>313</v>
      </c>
      <c r="H132" s="5" t="s">
        <v>20</v>
      </c>
      <c r="I132" s="5" t="s">
        <v>403</v>
      </c>
      <c r="J132" s="12" t="str">
        <f>HYPERLINK("https://www.boe.es/gazeta/dias/1805/04/09/pdfs/GMD-1805-29.pdf#page=9","Abrir facsímil")</f>
        <v>Abrir facsímil</v>
      </c>
      <c r="K132" s="15" t="s">
        <v>22</v>
      </c>
    </row>
    <row r="133" spans="1:11" ht="42" customHeight="1">
      <c r="A133" s="4" t="s">
        <v>404</v>
      </c>
      <c r="B133" s="5" t="s">
        <v>405</v>
      </c>
      <c r="C133" s="5" t="s">
        <v>29</v>
      </c>
      <c r="D133" s="5" t="s">
        <v>30</v>
      </c>
      <c r="E133" s="5" t="s">
        <v>24</v>
      </c>
      <c r="F133" s="9">
        <v>11</v>
      </c>
      <c r="G133" s="9">
        <v>124</v>
      </c>
      <c r="H133" s="5" t="s">
        <v>20</v>
      </c>
      <c r="I133" s="5" t="s">
        <v>406</v>
      </c>
      <c r="J133" s="12" t="str">
        <f>HYPERLINK("https://www.boe.es/gazeta/dias/1805/02/05/pdfs/GMD-1805-11.pdf#page=12","Abrir facsímil")</f>
        <v>Abrir facsímil</v>
      </c>
      <c r="K133" s="15" t="s">
        <v>22</v>
      </c>
    </row>
    <row r="134" spans="1:11" ht="42" customHeight="1">
      <c r="A134" s="4" t="s">
        <v>407</v>
      </c>
      <c r="B134" s="5" t="s">
        <v>408</v>
      </c>
      <c r="C134" s="5" t="s">
        <v>29</v>
      </c>
      <c r="D134" s="5" t="s">
        <v>30</v>
      </c>
      <c r="E134" s="5" t="s">
        <v>409</v>
      </c>
      <c r="F134" s="9">
        <v>69</v>
      </c>
      <c r="G134" s="9">
        <v>740</v>
      </c>
      <c r="H134" s="5" t="s">
        <v>20</v>
      </c>
      <c r="I134" s="5" t="s">
        <v>410</v>
      </c>
      <c r="J134" s="12" t="str">
        <f>HYPERLINK("https://www.boe.es/gazeta/dias/1805/08/27/pdfs/GMD-1805-69.pdf#page=8","Abrir facsímil")</f>
        <v>Abrir facsímil</v>
      </c>
      <c r="K134" s="15" t="s">
        <v>22</v>
      </c>
    </row>
    <row r="135" spans="1:11" ht="42" customHeight="1">
      <c r="A135" s="4" t="s">
        <v>411</v>
      </c>
      <c r="B135" s="5" t="s">
        <v>412</v>
      </c>
      <c r="C135" s="5" t="s">
        <v>35</v>
      </c>
      <c r="D135" s="5" t="s">
        <v>36</v>
      </c>
      <c r="E135" s="5" t="s">
        <v>24</v>
      </c>
      <c r="F135" s="9">
        <v>11</v>
      </c>
      <c r="G135" s="9">
        <v>120</v>
      </c>
      <c r="H135" s="5" t="s">
        <v>20</v>
      </c>
      <c r="I135" s="5" t="s">
        <v>413</v>
      </c>
      <c r="J135" s="12" t="str">
        <f>HYPERLINK("https://www.boe.es/gazeta/dias/1805/02/05/pdfs/GMD-1805-11.pdf#page=8","Abrir facsímil")</f>
        <v>Abrir facsímil</v>
      </c>
      <c r="K135" s="15" t="s">
        <v>22</v>
      </c>
    </row>
    <row r="136" spans="1:11" ht="42" customHeight="1">
      <c r="A136" s="4" t="s">
        <v>414</v>
      </c>
      <c r="B136" s="5" t="s">
        <v>415</v>
      </c>
      <c r="C136" s="5" t="s">
        <v>35</v>
      </c>
      <c r="D136" s="5" t="s">
        <v>36</v>
      </c>
      <c r="E136" s="5" t="s">
        <v>200</v>
      </c>
      <c r="F136" s="9">
        <v>91</v>
      </c>
      <c r="G136" s="9">
        <v>977</v>
      </c>
      <c r="H136" s="5" t="s">
        <v>20</v>
      </c>
      <c r="I136" s="5" t="s">
        <v>416</v>
      </c>
      <c r="J136" s="12" t="str">
        <f>HYPERLINK("https://www.boe.es/gazeta/dias/1805/11/12/pdfs/GMD-1805-91.pdf#page=9","Abrir facsímil")</f>
        <v>Abrir facsímil</v>
      </c>
      <c r="K136" s="15" t="s">
        <v>22</v>
      </c>
    </row>
    <row r="137" spans="1:11" ht="42" customHeight="1">
      <c r="A137" s="4" t="s">
        <v>417</v>
      </c>
      <c r="B137" s="5" t="s">
        <v>418</v>
      </c>
      <c r="C137" s="5" t="s">
        <v>85</v>
      </c>
      <c r="D137" s="5" t="s">
        <v>86</v>
      </c>
      <c r="E137" s="5" t="s">
        <v>290</v>
      </c>
      <c r="F137" s="9">
        <v>36</v>
      </c>
      <c r="G137" s="9">
        <v>389</v>
      </c>
      <c r="H137" s="5" t="s">
        <v>20</v>
      </c>
      <c r="I137" s="5" t="s">
        <v>419</v>
      </c>
      <c r="J137" s="12" t="str">
        <f>HYPERLINK("https://www.boe.es/gazeta/dias/1805/05/03/pdfs/GMD-1805-36.pdf#page=9","Abrir facsímil")</f>
        <v>Abrir facsímil</v>
      </c>
      <c r="K137" s="15" t="s">
        <v>22</v>
      </c>
    </row>
    <row r="138" spans="1:11" ht="42" customHeight="1">
      <c r="A138" s="4" t="s">
        <v>420</v>
      </c>
      <c r="B138" s="5" t="s">
        <v>421</v>
      </c>
      <c r="C138" s="5" t="s">
        <v>80</v>
      </c>
      <c r="D138" s="5" t="s">
        <v>81</v>
      </c>
      <c r="E138" s="5" t="s">
        <v>422</v>
      </c>
      <c r="F138" s="9">
        <v>74</v>
      </c>
      <c r="G138" s="9">
        <v>780</v>
      </c>
      <c r="H138" s="5" t="s">
        <v>20</v>
      </c>
      <c r="I138" s="5" t="s">
        <v>423</v>
      </c>
      <c r="J138" s="12" t="str">
        <f>HYPERLINK("https://www.boe.es/gazeta/dias/1805/09/13/pdfs/GMD-1805-74.pdf#page=4","Abrir facsímil")</f>
        <v>Abrir facsímil</v>
      </c>
      <c r="K138" s="15" t="s">
        <v>22</v>
      </c>
    </row>
    <row r="139" spans="1:11" ht="42" customHeight="1">
      <c r="A139" s="4" t="s">
        <v>424</v>
      </c>
      <c r="B139" s="5" t="s">
        <v>425</v>
      </c>
      <c r="C139" s="5" t="s">
        <v>29</v>
      </c>
      <c r="D139" s="5" t="s">
        <v>30</v>
      </c>
      <c r="E139" s="5" t="s">
        <v>426</v>
      </c>
      <c r="F139" s="9">
        <v>75</v>
      </c>
      <c r="G139" s="9">
        <v>800</v>
      </c>
      <c r="H139" s="5" t="s">
        <v>20</v>
      </c>
      <c r="I139" s="5" t="s">
        <v>427</v>
      </c>
      <c r="J139" s="12" t="str">
        <f>HYPERLINK("https://www.boe.es/gazeta/dias/1805/09/17/pdfs/GMD-1805-75.pdf#page=12","Abrir facsímil")</f>
        <v>Abrir facsímil</v>
      </c>
      <c r="K139" s="15" t="s">
        <v>22</v>
      </c>
    </row>
    <row r="140" spans="1:11" ht="42" customHeight="1">
      <c r="A140" s="4" t="s">
        <v>428</v>
      </c>
      <c r="B140" s="5" t="s">
        <v>429</v>
      </c>
      <c r="C140" s="5" t="s">
        <v>17</v>
      </c>
      <c r="D140" s="5" t="s">
        <v>18</v>
      </c>
      <c r="E140" s="5" t="s">
        <v>99</v>
      </c>
      <c r="F140" s="9">
        <v>83</v>
      </c>
      <c r="G140" s="9">
        <v>883</v>
      </c>
      <c r="H140" s="5" t="s">
        <v>20</v>
      </c>
      <c r="I140" s="5" t="s">
        <v>430</v>
      </c>
      <c r="J140" s="12" t="str">
        <f>HYPERLINK("https://www.boe.es/gazeta/dias/1805/10/15/pdfs/GMD-1805-83.pdf#page=11","Abrir facsímil")</f>
        <v>Abrir facsímil</v>
      </c>
      <c r="K140" s="15" t="s">
        <v>22</v>
      </c>
    </row>
    <row r="141" spans="1:11" ht="42" customHeight="1">
      <c r="A141" s="4" t="s">
        <v>431</v>
      </c>
      <c r="B141" s="5" t="s">
        <v>432</v>
      </c>
      <c r="C141" s="5" t="s">
        <v>17</v>
      </c>
      <c r="D141" s="5" t="s">
        <v>18</v>
      </c>
      <c r="E141" s="5" t="s">
        <v>24</v>
      </c>
      <c r="F141" s="9">
        <v>11</v>
      </c>
      <c r="G141" s="9">
        <v>124</v>
      </c>
      <c r="H141" s="5" t="s">
        <v>20</v>
      </c>
      <c r="I141" s="5" t="s">
        <v>433</v>
      </c>
      <c r="J141" s="12" t="str">
        <f>HYPERLINK("https://www.boe.es/gazeta/dias/1805/02/05/pdfs/GMD-1805-11.pdf#page=12","Abrir facsímil")</f>
        <v>Abrir facsímil</v>
      </c>
      <c r="K141" s="15" t="s">
        <v>22</v>
      </c>
    </row>
    <row r="142" spans="1:11" ht="42" customHeight="1">
      <c r="A142" s="4" t="s">
        <v>434</v>
      </c>
      <c r="B142" s="5" t="s">
        <v>435</v>
      </c>
      <c r="C142" s="5" t="s">
        <v>17</v>
      </c>
      <c r="D142" s="5" t="s">
        <v>18</v>
      </c>
      <c r="E142" s="5" t="s">
        <v>286</v>
      </c>
      <c r="F142" s="9">
        <v>48</v>
      </c>
      <c r="G142" s="9">
        <v>524</v>
      </c>
      <c r="H142" s="5" t="s">
        <v>20</v>
      </c>
      <c r="I142" s="5" t="s">
        <v>436</v>
      </c>
      <c r="J142" s="12" t="str">
        <f>HYPERLINK("https://www.boe.es/gazeta/dias/1805/06/14/pdfs/GMD-1805-48.pdf#page=12","Abrir facsímil")</f>
        <v>Abrir facsímil</v>
      </c>
      <c r="K142" s="15" t="s">
        <v>22</v>
      </c>
    </row>
    <row r="143" spans="1:11" ht="42" customHeight="1">
      <c r="A143" s="4" t="s">
        <v>431</v>
      </c>
      <c r="B143" s="5" t="s">
        <v>432</v>
      </c>
      <c r="C143" s="5" t="s">
        <v>29</v>
      </c>
      <c r="D143" s="5" t="s">
        <v>30</v>
      </c>
      <c r="E143" s="5" t="s">
        <v>31</v>
      </c>
      <c r="F143" s="9">
        <v>65</v>
      </c>
      <c r="G143" s="9">
        <v>699</v>
      </c>
      <c r="H143" s="5" t="s">
        <v>20</v>
      </c>
      <c r="I143" s="5" t="s">
        <v>437</v>
      </c>
      <c r="J143" s="12" t="str">
        <f>HYPERLINK("https://www.boe.es/gazeta/dias/1805/08/13/pdfs/GMD-1805-65.pdf#page=11","Abrir facsímil")</f>
        <v>Abrir facsímil</v>
      </c>
      <c r="K143" s="15" t="s">
        <v>22</v>
      </c>
    </row>
    <row r="144" spans="1:11" ht="42" customHeight="1">
      <c r="A144" s="4" t="s">
        <v>438</v>
      </c>
      <c r="B144" s="5" t="s">
        <v>439</v>
      </c>
      <c r="C144" s="5" t="s">
        <v>29</v>
      </c>
      <c r="D144" s="5" t="s">
        <v>30</v>
      </c>
      <c r="E144" s="5" t="s">
        <v>440</v>
      </c>
      <c r="F144" s="9">
        <v>27</v>
      </c>
      <c r="G144" s="9">
        <v>292</v>
      </c>
      <c r="H144" s="5" t="s">
        <v>20</v>
      </c>
      <c r="I144" s="5" t="s">
        <v>441</v>
      </c>
      <c r="J144" s="12" t="str">
        <f>HYPERLINK("https://www.boe.es/gazeta/dias/1805/04/02/pdfs/GMD-1805-27.pdf#page=12","Abrir facsímil")</f>
        <v>Abrir facsímil</v>
      </c>
      <c r="K144" s="15" t="s">
        <v>22</v>
      </c>
    </row>
    <row r="145" spans="1:11" ht="42" customHeight="1">
      <c r="A145" s="4" t="s">
        <v>442</v>
      </c>
      <c r="B145" s="5" t="s">
        <v>443</v>
      </c>
      <c r="C145" s="5" t="s">
        <v>85</v>
      </c>
      <c r="D145" s="5" t="s">
        <v>86</v>
      </c>
      <c r="E145" s="5" t="s">
        <v>226</v>
      </c>
      <c r="F145" s="9">
        <v>73</v>
      </c>
      <c r="G145" s="9">
        <v>772</v>
      </c>
      <c r="H145" s="5" t="s">
        <v>20</v>
      </c>
      <c r="I145" s="5" t="s">
        <v>444</v>
      </c>
      <c r="J145" s="12" t="str">
        <f>HYPERLINK("https://www.boe.es/gazeta/dias/1805/09/10/pdfs/GMD-1805-73.pdf#page=4","Abrir facsímil")</f>
        <v>Abrir facsímil</v>
      </c>
      <c r="K145" s="15" t="s">
        <v>22</v>
      </c>
    </row>
    <row r="146" spans="1:11" ht="42" customHeight="1">
      <c r="A146" s="4" t="s">
        <v>445</v>
      </c>
      <c r="B146" s="5" t="s">
        <v>446</v>
      </c>
      <c r="C146" s="5" t="s">
        <v>17</v>
      </c>
      <c r="D146" s="5" t="s">
        <v>18</v>
      </c>
      <c r="E146" s="5" t="s">
        <v>114</v>
      </c>
      <c r="F146" s="9">
        <v>17</v>
      </c>
      <c r="G146" s="9">
        <v>178</v>
      </c>
      <c r="H146" s="5" t="s">
        <v>20</v>
      </c>
      <c r="I146" s="5" t="s">
        <v>447</v>
      </c>
      <c r="J146" s="12" t="str">
        <f>HYPERLINK("https://www.boe.es/gazeta/dias/1805/02/26/pdfs/GMD-1805-17.pdf#page=10","Abrir facsímil")</f>
        <v>Abrir facsímil</v>
      </c>
      <c r="K146" s="15" t="s">
        <v>22</v>
      </c>
    </row>
    <row r="147" spans="1:11" ht="42" customHeight="1">
      <c r="A147" s="4" t="s">
        <v>448</v>
      </c>
      <c r="B147" s="5" t="s">
        <v>449</v>
      </c>
      <c r="C147" s="5" t="s">
        <v>35</v>
      </c>
      <c r="D147" s="5" t="s">
        <v>36</v>
      </c>
      <c r="E147" s="5" t="s">
        <v>192</v>
      </c>
      <c r="F147" s="9">
        <v>105</v>
      </c>
      <c r="G147" s="9">
        <v>1137</v>
      </c>
      <c r="H147" s="5" t="s">
        <v>20</v>
      </c>
      <c r="I147" s="5" t="s">
        <v>450</v>
      </c>
      <c r="J147" s="12" t="str">
        <f>HYPERLINK("https://www.boe.es/gazeta/dias/1805/12/31/pdfs/GMD-1805-105.pdf#page=9","Abrir facsímil")</f>
        <v>Abrir facsímil</v>
      </c>
      <c r="K147" s="15" t="s">
        <v>22</v>
      </c>
    </row>
    <row r="148" spans="1:11" ht="42" customHeight="1">
      <c r="A148" s="4" t="s">
        <v>451</v>
      </c>
      <c r="B148" s="5" t="s">
        <v>452</v>
      </c>
      <c r="C148" s="5" t="s">
        <v>85</v>
      </c>
      <c r="D148" s="5" t="s">
        <v>86</v>
      </c>
      <c r="E148" s="5" t="s">
        <v>290</v>
      </c>
      <c r="F148" s="9">
        <v>36</v>
      </c>
      <c r="G148" s="9">
        <v>388</v>
      </c>
      <c r="H148" s="5" t="s">
        <v>20</v>
      </c>
      <c r="I148" s="5" t="s">
        <v>453</v>
      </c>
      <c r="J148" s="12" t="str">
        <f>HYPERLINK("https://www.boe.es/gazeta/dias/1805/05/03/pdfs/GMD-1805-36.pdf#page=8","Abrir facsímil")</f>
        <v>Abrir facsímil</v>
      </c>
      <c r="K148" s="15" t="s">
        <v>22</v>
      </c>
    </row>
    <row r="149" spans="1:11" ht="42" customHeight="1">
      <c r="A149" s="4" t="s">
        <v>454</v>
      </c>
      <c r="B149" s="5" t="s">
        <v>455</v>
      </c>
      <c r="C149" s="5" t="s">
        <v>29</v>
      </c>
      <c r="D149" s="5" t="s">
        <v>30</v>
      </c>
      <c r="E149" s="5" t="s">
        <v>456</v>
      </c>
      <c r="F149" s="9">
        <v>70</v>
      </c>
      <c r="G149" s="9">
        <v>748</v>
      </c>
      <c r="H149" s="5" t="s">
        <v>20</v>
      </c>
      <c r="I149" s="5" t="s">
        <v>457</v>
      </c>
      <c r="J149" s="12" t="str">
        <f>HYPERLINK("https://www.boe.es/gazeta/dias/1805/08/30/pdfs/GMD-1805-70.pdf#page=8","Abrir facsímil")</f>
        <v>Abrir facsímil</v>
      </c>
      <c r="K149" s="15" t="s">
        <v>22</v>
      </c>
    </row>
    <row r="150" spans="1:11" ht="42" customHeight="1">
      <c r="A150" s="4" t="s">
        <v>458</v>
      </c>
      <c r="B150" s="5" t="s">
        <v>459</v>
      </c>
      <c r="C150" s="5" t="s">
        <v>85</v>
      </c>
      <c r="D150" s="5" t="s">
        <v>86</v>
      </c>
      <c r="E150" s="5" t="s">
        <v>226</v>
      </c>
      <c r="F150" s="9">
        <v>73</v>
      </c>
      <c r="G150" s="9">
        <v>773</v>
      </c>
      <c r="H150" s="5" t="s">
        <v>20</v>
      </c>
      <c r="I150" s="5" t="s">
        <v>460</v>
      </c>
      <c r="J150" s="12" t="str">
        <f>HYPERLINK("https://www.boe.es/gazeta/dias/1805/09/10/pdfs/GMD-1805-73.pdf#page=5","Abrir facsímil")</f>
        <v>Abrir facsímil</v>
      </c>
      <c r="K150" s="15" t="s">
        <v>22</v>
      </c>
    </row>
    <row r="151" spans="1:11" ht="42" customHeight="1">
      <c r="A151" s="4" t="s">
        <v>461</v>
      </c>
      <c r="B151" s="5" t="s">
        <v>462</v>
      </c>
      <c r="C151" s="5" t="s">
        <v>17</v>
      </c>
      <c r="D151" s="5" t="s">
        <v>18</v>
      </c>
      <c r="E151" s="5" t="s">
        <v>293</v>
      </c>
      <c r="F151" s="9">
        <v>5</v>
      </c>
      <c r="G151" s="9">
        <v>53</v>
      </c>
      <c r="H151" s="5" t="s">
        <v>20</v>
      </c>
      <c r="I151" s="5" t="s">
        <v>463</v>
      </c>
      <c r="J151" s="12" t="str">
        <f>HYPERLINK("https://www.boe.es/gazeta/dias/1805/01/15/pdfs/GMD-1805-5.pdf#page=9","Abrir facsímil")</f>
        <v>Abrir facsímil</v>
      </c>
      <c r="K151" s="15" t="s">
        <v>22</v>
      </c>
    </row>
    <row r="152" spans="1:11" ht="42" customHeight="1">
      <c r="A152" s="4" t="s">
        <v>464</v>
      </c>
      <c r="B152" s="5" t="s">
        <v>464</v>
      </c>
      <c r="C152" s="5" t="s">
        <v>17</v>
      </c>
      <c r="D152" s="5" t="s">
        <v>18</v>
      </c>
      <c r="E152" s="5" t="s">
        <v>281</v>
      </c>
      <c r="F152" s="9">
        <v>15</v>
      </c>
      <c r="G152" s="9">
        <v>155</v>
      </c>
      <c r="H152" s="5" t="s">
        <v>20</v>
      </c>
      <c r="I152" s="5" t="s">
        <v>465</v>
      </c>
      <c r="J152" s="12" t="str">
        <f>HYPERLINK("https://www.boe.es/gazeta/dias/1805/02/19/pdfs/GMD-1805-15.pdf#page=7","Abrir facsímil")</f>
        <v>Abrir facsímil</v>
      </c>
      <c r="K152" s="15" t="s">
        <v>22</v>
      </c>
    </row>
    <row r="153" spans="1:11" ht="42" customHeight="1">
      <c r="A153" s="4" t="s">
        <v>466</v>
      </c>
      <c r="B153" s="5" t="s">
        <v>467</v>
      </c>
      <c r="C153" s="5" t="s">
        <v>85</v>
      </c>
      <c r="D153" s="5" t="s">
        <v>86</v>
      </c>
      <c r="E153" s="5" t="s">
        <v>24</v>
      </c>
      <c r="F153" s="9">
        <v>11</v>
      </c>
      <c r="G153" s="9">
        <v>120</v>
      </c>
      <c r="H153" s="5" t="s">
        <v>20</v>
      </c>
      <c r="I153" s="5" t="s">
        <v>468</v>
      </c>
      <c r="J153" s="12" t="str">
        <f>HYPERLINK("https://www.boe.es/gazeta/dias/1805/02/05/pdfs/GMD-1805-11.pdf#page=8","Abrir facsímil")</f>
        <v>Abrir facsímil</v>
      </c>
      <c r="K153" s="15" t="s">
        <v>22</v>
      </c>
    </row>
    <row r="154" spans="1:11" ht="42" customHeight="1">
      <c r="A154" s="4" t="s">
        <v>469</v>
      </c>
      <c r="B154" s="5" t="s">
        <v>470</v>
      </c>
      <c r="C154" s="5" t="s">
        <v>35</v>
      </c>
      <c r="D154" s="5" t="s">
        <v>36</v>
      </c>
      <c r="E154" s="5" t="s">
        <v>471</v>
      </c>
      <c r="F154" s="9">
        <v>22</v>
      </c>
      <c r="G154" s="9">
        <v>233</v>
      </c>
      <c r="H154" s="5" t="s">
        <v>20</v>
      </c>
      <c r="I154" s="5" t="s">
        <v>472</v>
      </c>
      <c r="J154" s="12" t="str">
        <f>HYPERLINK("https://www.boe.es/gazeta/dias/1805/03/15/pdfs/GMD-1805-22.pdf#page=9","Abrir facsímil")</f>
        <v>Abrir facsímil</v>
      </c>
      <c r="K154" s="15" t="s">
        <v>22</v>
      </c>
    </row>
    <row r="155" spans="1:11" ht="42" customHeight="1">
      <c r="A155" s="4" t="s">
        <v>473</v>
      </c>
      <c r="B155" s="5" t="s">
        <v>474</v>
      </c>
      <c r="C155" s="5" t="s">
        <v>52</v>
      </c>
      <c r="D155" s="5" t="s">
        <v>53</v>
      </c>
      <c r="E155" s="5" t="s">
        <v>144</v>
      </c>
      <c r="F155" s="9">
        <v>85</v>
      </c>
      <c r="G155" s="9" t="s">
        <v>475</v>
      </c>
      <c r="H155" s="5" t="s">
        <v>20</v>
      </c>
      <c r="I155" s="5" t="s">
        <v>476</v>
      </c>
      <c r="J155" s="12" t="str">
        <f>HYPERLINK("https://www.boe.es/gazeta/dias/1805/10/22/pdfs/GMD-C-1805-85.pdf#page=5","Abrir facsímil")</f>
        <v>Abrir facsímil</v>
      </c>
      <c r="K155" s="15" t="s">
        <v>22</v>
      </c>
    </row>
    <row r="156" spans="1:11" ht="42" customHeight="1">
      <c r="A156" s="4" t="s">
        <v>477</v>
      </c>
      <c r="B156" s="5" t="s">
        <v>478</v>
      </c>
      <c r="C156" s="5" t="s">
        <v>35</v>
      </c>
      <c r="D156" s="5" t="s">
        <v>36</v>
      </c>
      <c r="E156" s="5" t="s">
        <v>422</v>
      </c>
      <c r="F156" s="9">
        <v>74</v>
      </c>
      <c r="G156" s="9">
        <v>788</v>
      </c>
      <c r="H156" s="5" t="s">
        <v>20</v>
      </c>
      <c r="I156" s="5" t="s">
        <v>479</v>
      </c>
      <c r="J156" s="12" t="str">
        <f>HYPERLINK("https://www.boe.es/gazeta/dias/1805/09/13/pdfs/GMD-1805-74.pdf#page=12","Abrir facsímil")</f>
        <v>Abrir facsímil</v>
      </c>
      <c r="K156" s="15" t="s">
        <v>22</v>
      </c>
    </row>
    <row r="157" spans="1:11" ht="42" customHeight="1">
      <c r="A157" s="4" t="s">
        <v>480</v>
      </c>
      <c r="B157" s="5" t="s">
        <v>481</v>
      </c>
      <c r="C157" s="5" t="s">
        <v>17</v>
      </c>
      <c r="D157" s="5" t="s">
        <v>18</v>
      </c>
      <c r="E157" s="5" t="s">
        <v>76</v>
      </c>
      <c r="F157" s="9">
        <v>66</v>
      </c>
      <c r="G157" s="9">
        <v>710</v>
      </c>
      <c r="H157" s="5" t="s">
        <v>20</v>
      </c>
      <c r="I157" s="5" t="s">
        <v>482</v>
      </c>
      <c r="J157" s="12" t="str">
        <f>HYPERLINK("https://www.boe.es/gazeta/dias/1805/08/16/pdfs/GMD-1805-66.pdf#page=10","Abrir facsímil")</f>
        <v>Abrir facsímil</v>
      </c>
      <c r="K157" s="15" t="s">
        <v>22</v>
      </c>
    </row>
    <row r="158" spans="1:11" ht="42" customHeight="1">
      <c r="A158" s="4" t="s">
        <v>483</v>
      </c>
      <c r="B158" s="5" t="s">
        <v>484</v>
      </c>
      <c r="C158" s="5" t="s">
        <v>17</v>
      </c>
      <c r="D158" s="5" t="s">
        <v>18</v>
      </c>
      <c r="E158" s="5" t="s">
        <v>63</v>
      </c>
      <c r="F158" s="9">
        <v>101</v>
      </c>
      <c r="G158" s="9">
        <v>1092</v>
      </c>
      <c r="H158" s="5" t="s">
        <v>20</v>
      </c>
      <c r="I158" s="5" t="s">
        <v>485</v>
      </c>
      <c r="J158" s="12" t="str">
        <f>HYPERLINK("https://www.boe.es/gazeta/dias/1805/12/17/pdfs/GMD-1805-101.pdf#page=8","Abrir facsímil")</f>
        <v>Abrir facsímil</v>
      </c>
      <c r="K158" s="15" t="s">
        <v>22</v>
      </c>
    </row>
    <row r="159" spans="1:11" ht="42" customHeight="1">
      <c r="A159" s="4" t="s">
        <v>486</v>
      </c>
      <c r="B159" s="5" t="s">
        <v>487</v>
      </c>
      <c r="C159" s="5" t="s">
        <v>35</v>
      </c>
      <c r="D159" s="5" t="s">
        <v>36</v>
      </c>
      <c r="E159" s="5" t="s">
        <v>141</v>
      </c>
      <c r="F159" s="9">
        <v>82</v>
      </c>
      <c r="G159" s="9">
        <v>870</v>
      </c>
      <c r="H159" s="5" t="s">
        <v>20</v>
      </c>
      <c r="I159" s="5" t="s">
        <v>488</v>
      </c>
      <c r="J159" s="12" t="str">
        <f>HYPERLINK("https://www.boe.es/gazeta/dias/1805/10/11/pdfs/GMD-1805-82.pdf#page=10","Abrir facsímil")</f>
        <v>Abrir facsímil</v>
      </c>
      <c r="K159" s="15" t="s">
        <v>22</v>
      </c>
    </row>
    <row r="160" spans="1:11" ht="42" customHeight="1">
      <c r="A160" s="4" t="s">
        <v>489</v>
      </c>
      <c r="B160" s="5" t="s">
        <v>490</v>
      </c>
      <c r="C160" s="5" t="s">
        <v>17</v>
      </c>
      <c r="D160" s="5" t="s">
        <v>18</v>
      </c>
      <c r="E160" s="5" t="s">
        <v>135</v>
      </c>
      <c r="F160" s="9">
        <v>71</v>
      </c>
      <c r="G160" s="9">
        <v>758</v>
      </c>
      <c r="H160" s="5" t="s">
        <v>20</v>
      </c>
      <c r="I160" s="5" t="s">
        <v>491</v>
      </c>
      <c r="J160" s="12" t="str">
        <f>HYPERLINK("https://www.boe.es/gazeta/dias/1805/09/03/pdfs/GMD-1805-71.pdf#page=10","Abrir facsímil")</f>
        <v>Abrir facsímil</v>
      </c>
      <c r="K160" s="15" t="s">
        <v>22</v>
      </c>
    </row>
    <row r="161" spans="1:11" ht="42" customHeight="1">
      <c r="A161" s="4" t="s">
        <v>492</v>
      </c>
      <c r="B161" s="5" t="s">
        <v>492</v>
      </c>
      <c r="C161" s="5" t="s">
        <v>17</v>
      </c>
      <c r="D161" s="5" t="s">
        <v>18</v>
      </c>
      <c r="E161" s="5" t="s">
        <v>200</v>
      </c>
      <c r="F161" s="9">
        <v>91</v>
      </c>
      <c r="G161" s="9">
        <v>977</v>
      </c>
      <c r="H161" s="5" t="s">
        <v>20</v>
      </c>
      <c r="I161" s="5" t="s">
        <v>493</v>
      </c>
      <c r="J161" s="12" t="str">
        <f>HYPERLINK("https://www.boe.es/gazeta/dias/1805/11/12/pdfs/GMD-1805-91.pdf#page=9","Abrir facsímil")</f>
        <v>Abrir facsímil</v>
      </c>
      <c r="K161" s="15" t="s">
        <v>22</v>
      </c>
    </row>
    <row r="162" spans="1:11" ht="42" customHeight="1">
      <c r="A162" s="4" t="s">
        <v>494</v>
      </c>
      <c r="B162" s="5" t="s">
        <v>494</v>
      </c>
      <c r="C162" s="5" t="s">
        <v>35</v>
      </c>
      <c r="D162" s="5" t="s">
        <v>36</v>
      </c>
      <c r="E162" s="5" t="s">
        <v>495</v>
      </c>
      <c r="F162" s="9">
        <v>103</v>
      </c>
      <c r="G162" s="9">
        <v>1114</v>
      </c>
      <c r="H162" s="5" t="s">
        <v>20</v>
      </c>
      <c r="I162" s="5" t="s">
        <v>496</v>
      </c>
      <c r="J162" s="12" t="str">
        <f>HYPERLINK("https://www.boe.es/gazeta/dias/1805/12/24/pdfs/GMD-1805-103.pdf#page=6","Abrir facsímil")</f>
        <v>Abrir facsímil</v>
      </c>
      <c r="K162" s="15" t="s">
        <v>22</v>
      </c>
    </row>
    <row r="163" spans="1:11" ht="42" customHeight="1">
      <c r="A163" s="4" t="s">
        <v>497</v>
      </c>
      <c r="B163" s="5" t="s">
        <v>497</v>
      </c>
      <c r="C163" s="5" t="s">
        <v>52</v>
      </c>
      <c r="D163" s="5" t="s">
        <v>53</v>
      </c>
      <c r="E163" s="5" t="s">
        <v>144</v>
      </c>
      <c r="F163" s="9">
        <v>85</v>
      </c>
      <c r="G163" s="9" t="s">
        <v>55</v>
      </c>
      <c r="H163" s="5" t="s">
        <v>20</v>
      </c>
      <c r="I163" s="5" t="s">
        <v>498</v>
      </c>
      <c r="J163" s="12" t="str">
        <f>HYPERLINK("https://www.boe.es/gazeta/dias/1805/10/22/pdfs/GMD-C-1805-85.pdf#page=4","Abrir facsímil")</f>
        <v>Abrir facsímil</v>
      </c>
      <c r="K163" s="15" t="s">
        <v>22</v>
      </c>
    </row>
    <row r="164" spans="1:11" ht="42" customHeight="1">
      <c r="A164" s="4" t="s">
        <v>499</v>
      </c>
      <c r="B164" s="5" t="s">
        <v>500</v>
      </c>
      <c r="C164" s="5" t="s">
        <v>35</v>
      </c>
      <c r="D164" s="5" t="s">
        <v>36</v>
      </c>
      <c r="E164" s="5" t="s">
        <v>141</v>
      </c>
      <c r="F164" s="9">
        <v>82</v>
      </c>
      <c r="G164" s="9">
        <v>871</v>
      </c>
      <c r="H164" s="5" t="s">
        <v>20</v>
      </c>
      <c r="I164" s="5" t="s">
        <v>501</v>
      </c>
      <c r="J164" s="12" t="str">
        <f>HYPERLINK("https://www.boe.es/gazeta/dias/1805/10/11/pdfs/GMD-1805-82.pdf#page=11","Abrir facsímil")</f>
        <v>Abrir facsímil</v>
      </c>
      <c r="K164" s="15" t="s">
        <v>22</v>
      </c>
    </row>
    <row r="165" spans="1:11" ht="42" customHeight="1">
      <c r="A165" s="4" t="s">
        <v>502</v>
      </c>
      <c r="B165" s="5" t="s">
        <v>502</v>
      </c>
      <c r="C165" s="5" t="s">
        <v>35</v>
      </c>
      <c r="D165" s="5" t="s">
        <v>36</v>
      </c>
      <c r="E165" s="5" t="s">
        <v>303</v>
      </c>
      <c r="F165" s="9">
        <v>57</v>
      </c>
      <c r="G165" s="9">
        <v>611</v>
      </c>
      <c r="H165" s="5" t="s">
        <v>20</v>
      </c>
      <c r="I165" s="5" t="s">
        <v>503</v>
      </c>
      <c r="J165" s="12" t="str">
        <f>HYPERLINK("https://www.boe.es/gazeta/dias/1805/07/16/pdfs/GMD-1805-57.pdf#page=7","Abrir facsímil")</f>
        <v>Abrir facsímil</v>
      </c>
      <c r="K165" s="15" t="s">
        <v>22</v>
      </c>
    </row>
    <row r="166" spans="1:11" ht="42" customHeight="1">
      <c r="A166" s="4" t="s">
        <v>504</v>
      </c>
      <c r="B166" s="5" t="s">
        <v>504</v>
      </c>
      <c r="C166" s="5" t="s">
        <v>29</v>
      </c>
      <c r="D166" s="5" t="s">
        <v>30</v>
      </c>
      <c r="E166" s="5" t="s">
        <v>44</v>
      </c>
      <c r="F166" s="9">
        <v>29</v>
      </c>
      <c r="G166" s="9">
        <v>316</v>
      </c>
      <c r="H166" s="5" t="s">
        <v>20</v>
      </c>
      <c r="I166" s="5" t="s">
        <v>505</v>
      </c>
      <c r="J166" s="12" t="str">
        <f>HYPERLINK("https://www.boe.es/gazeta/dias/1805/04/09/pdfs/GMD-1805-29.pdf#page=12","Abrir facsímil")</f>
        <v>Abrir facsímil</v>
      </c>
      <c r="K166" s="15" t="s">
        <v>22</v>
      </c>
    </row>
    <row r="167" spans="1:11" ht="42" customHeight="1">
      <c r="A167" s="4" t="s">
        <v>504</v>
      </c>
      <c r="B167" s="5" t="s">
        <v>504</v>
      </c>
      <c r="C167" s="5" t="s">
        <v>29</v>
      </c>
      <c r="D167" s="5" t="s">
        <v>30</v>
      </c>
      <c r="E167" s="5" t="s">
        <v>506</v>
      </c>
      <c r="F167" s="9">
        <v>80</v>
      </c>
      <c r="G167" s="9">
        <v>852</v>
      </c>
      <c r="H167" s="5" t="s">
        <v>20</v>
      </c>
      <c r="I167" s="5" t="s">
        <v>507</v>
      </c>
      <c r="J167" s="12" t="str">
        <f>HYPERLINK("https://www.boe.es/gazeta/dias/1805/10/04/pdfs/GMD-1805-80.pdf#page=12","Abrir facsímil")</f>
        <v>Abrir facsímil</v>
      </c>
      <c r="K167" s="15" t="s">
        <v>22</v>
      </c>
    </row>
    <row r="168" spans="1:11" ht="42" customHeight="1">
      <c r="A168" s="4" t="s">
        <v>508</v>
      </c>
      <c r="B168" s="5" t="s">
        <v>508</v>
      </c>
      <c r="C168" s="5" t="s">
        <v>17</v>
      </c>
      <c r="D168" s="5" t="s">
        <v>18</v>
      </c>
      <c r="E168" s="5" t="s">
        <v>138</v>
      </c>
      <c r="F168" s="9">
        <v>102</v>
      </c>
      <c r="G168" s="9">
        <v>1104</v>
      </c>
      <c r="H168" s="5" t="s">
        <v>20</v>
      </c>
      <c r="I168" s="5" t="s">
        <v>509</v>
      </c>
      <c r="J168" s="12" t="str">
        <f>HYPERLINK("https://www.boe.es/gazeta/dias/1805/12/20/pdfs/GMD-1805-102.pdf#page=8","Abrir facsímil")</f>
        <v>Abrir facsímil</v>
      </c>
      <c r="K168" s="15" t="s">
        <v>22</v>
      </c>
    </row>
    <row r="169" spans="1:11" ht="42" customHeight="1">
      <c r="A169" s="4" t="s">
        <v>510</v>
      </c>
      <c r="B169" s="5" t="s">
        <v>511</v>
      </c>
      <c r="C169" s="5" t="s">
        <v>80</v>
      </c>
      <c r="D169" s="5" t="s">
        <v>81</v>
      </c>
      <c r="E169" s="5" t="s">
        <v>512</v>
      </c>
      <c r="F169" s="9">
        <v>100</v>
      </c>
      <c r="G169" s="9">
        <v>1076</v>
      </c>
      <c r="H169" s="5" t="s">
        <v>20</v>
      </c>
      <c r="I169" s="5" t="s">
        <v>513</v>
      </c>
      <c r="J169" s="12" t="str">
        <f>HYPERLINK("https://www.boe.es/gazeta/dias/1805/12/13/pdfs/GMD-1805-100.pdf#page=4","Abrir facsímil")</f>
        <v>Abrir facsímil</v>
      </c>
      <c r="K169" s="15" t="s">
        <v>22</v>
      </c>
    </row>
    <row r="170" spans="1:11" ht="42" customHeight="1">
      <c r="A170" s="4" t="s">
        <v>514</v>
      </c>
      <c r="B170" s="5" t="s">
        <v>515</v>
      </c>
      <c r="C170" s="5" t="s">
        <v>85</v>
      </c>
      <c r="D170" s="5" t="s">
        <v>86</v>
      </c>
      <c r="E170" s="5" t="s">
        <v>300</v>
      </c>
      <c r="F170" s="9">
        <v>81</v>
      </c>
      <c r="G170" s="9">
        <v>858</v>
      </c>
      <c r="H170" s="5" t="s">
        <v>20</v>
      </c>
      <c r="I170" s="5" t="s">
        <v>516</v>
      </c>
      <c r="J170" s="12" t="str">
        <f>HYPERLINK("https://www.boe.es/gazeta/dias/1805/10/08/pdfs/GMD-1805-81.pdf#page=6","Abrir facsímil")</f>
        <v>Abrir facsímil</v>
      </c>
      <c r="K170" s="15" t="s">
        <v>22</v>
      </c>
    </row>
    <row r="171" spans="1:11" ht="42" customHeight="1">
      <c r="A171" s="4" t="s">
        <v>517</v>
      </c>
      <c r="B171" s="5" t="s">
        <v>518</v>
      </c>
      <c r="C171" s="5" t="s">
        <v>35</v>
      </c>
      <c r="D171" s="5" t="s">
        <v>36</v>
      </c>
      <c r="E171" s="5" t="s">
        <v>91</v>
      </c>
      <c r="F171" s="9">
        <v>28</v>
      </c>
      <c r="G171" s="9">
        <v>300</v>
      </c>
      <c r="H171" s="5" t="s">
        <v>20</v>
      </c>
      <c r="I171" s="5" t="s">
        <v>519</v>
      </c>
      <c r="J171" s="12" t="str">
        <f>HYPERLINK("https://www.boe.es/gazeta/dias/1805/04/05/pdfs/GMD-1805-28.pdf#page=8","Abrir facsímil")</f>
        <v>Abrir facsímil</v>
      </c>
      <c r="K171" s="15" t="s">
        <v>22</v>
      </c>
    </row>
    <row r="172" spans="1:11" ht="42" customHeight="1">
      <c r="A172" s="4" t="s">
        <v>520</v>
      </c>
      <c r="B172" s="5" t="s">
        <v>521</v>
      </c>
      <c r="C172" s="5" t="s">
        <v>17</v>
      </c>
      <c r="D172" s="5" t="s">
        <v>18</v>
      </c>
      <c r="E172" s="5" t="s">
        <v>63</v>
      </c>
      <c r="F172" s="9">
        <v>101</v>
      </c>
      <c r="G172" s="9">
        <v>1092</v>
      </c>
      <c r="H172" s="5" t="s">
        <v>20</v>
      </c>
      <c r="I172" s="5" t="s">
        <v>522</v>
      </c>
      <c r="J172" s="12" t="str">
        <f>HYPERLINK("https://www.boe.es/gazeta/dias/1805/12/17/pdfs/GMD-1805-101.pdf#page=8","Abrir facsímil")</f>
        <v>Abrir facsímil</v>
      </c>
      <c r="K172" s="15" t="s">
        <v>22</v>
      </c>
    </row>
    <row r="173" spans="1:11" ht="42" customHeight="1">
      <c r="A173" s="4" t="s">
        <v>523</v>
      </c>
      <c r="B173" s="5" t="s">
        <v>524</v>
      </c>
      <c r="C173" s="5" t="s">
        <v>35</v>
      </c>
      <c r="D173" s="5" t="s">
        <v>36</v>
      </c>
      <c r="E173" s="5" t="s">
        <v>300</v>
      </c>
      <c r="F173" s="9">
        <v>81</v>
      </c>
      <c r="G173" s="9">
        <v>858</v>
      </c>
      <c r="H173" s="5" t="s">
        <v>20</v>
      </c>
      <c r="I173" s="5" t="s">
        <v>525</v>
      </c>
      <c r="J173" s="12" t="str">
        <f>HYPERLINK("https://www.boe.es/gazeta/dias/1805/10/08/pdfs/GMD-1805-81.pdf#page=6","Abrir facsímil")</f>
        <v>Abrir facsímil</v>
      </c>
      <c r="K173" s="15" t="s">
        <v>22</v>
      </c>
    </row>
    <row r="174" spans="1:11" ht="42" customHeight="1">
      <c r="A174" s="4" t="s">
        <v>526</v>
      </c>
      <c r="B174" s="5" t="s">
        <v>527</v>
      </c>
      <c r="C174" s="5" t="s">
        <v>35</v>
      </c>
      <c r="D174" s="5" t="s">
        <v>36</v>
      </c>
      <c r="E174" s="5" t="s">
        <v>163</v>
      </c>
      <c r="F174" s="9">
        <v>77</v>
      </c>
      <c r="G174" s="9">
        <v>817</v>
      </c>
      <c r="H174" s="5" t="s">
        <v>20</v>
      </c>
      <c r="I174" s="5" t="s">
        <v>528</v>
      </c>
      <c r="J174" s="12" t="str">
        <f>HYPERLINK("https://www.boe.es/gazeta/dias/1805/09/24/pdfs/GMD-1805-77.pdf#page=9","Abrir facsímil")</f>
        <v>Abrir facsímil</v>
      </c>
      <c r="K174" s="15" t="s">
        <v>22</v>
      </c>
    </row>
    <row r="175" spans="1:11" ht="42" customHeight="1">
      <c r="A175" s="4" t="s">
        <v>529</v>
      </c>
      <c r="B175" s="5" t="s">
        <v>530</v>
      </c>
      <c r="C175" s="5" t="s">
        <v>85</v>
      </c>
      <c r="D175" s="5" t="s">
        <v>86</v>
      </c>
      <c r="E175" s="5" t="s">
        <v>91</v>
      </c>
      <c r="F175" s="9">
        <v>28</v>
      </c>
      <c r="G175" s="9">
        <v>299</v>
      </c>
      <c r="H175" s="5" t="s">
        <v>20</v>
      </c>
      <c r="I175" s="5" t="s">
        <v>531</v>
      </c>
      <c r="J175" s="12" t="str">
        <f>HYPERLINK("https://www.boe.es/gazeta/dias/1805/04/05/pdfs/GMD-1805-28.pdf#page=7","Abrir facsímil")</f>
        <v>Abrir facsímil</v>
      </c>
      <c r="K175" s="15" t="s">
        <v>22</v>
      </c>
    </row>
    <row r="176" spans="1:11" ht="42" customHeight="1">
      <c r="A176" s="4" t="s">
        <v>529</v>
      </c>
      <c r="B176" s="5" t="s">
        <v>530</v>
      </c>
      <c r="C176" s="5" t="s">
        <v>29</v>
      </c>
      <c r="D176" s="5" t="s">
        <v>30</v>
      </c>
      <c r="E176" s="5" t="s">
        <v>122</v>
      </c>
      <c r="F176" s="9">
        <v>38</v>
      </c>
      <c r="G176" s="9">
        <v>410</v>
      </c>
      <c r="H176" s="5" t="s">
        <v>20</v>
      </c>
      <c r="I176" s="5" t="s">
        <v>532</v>
      </c>
      <c r="J176" s="12" t="str">
        <f>HYPERLINK("https://www.boe.es/gazeta/dias/1805/05/10/pdfs/GMD-1805-38.pdf#page=6","Abrir facsímil")</f>
        <v>Abrir facsímil</v>
      </c>
      <c r="K176" s="15" t="s">
        <v>22</v>
      </c>
    </row>
    <row r="177" spans="1:11" ht="42" customHeight="1">
      <c r="A177" s="4" t="s">
        <v>529</v>
      </c>
      <c r="B177" s="5" t="s">
        <v>530</v>
      </c>
      <c r="C177" s="5" t="s">
        <v>35</v>
      </c>
      <c r="D177" s="5" t="s">
        <v>36</v>
      </c>
      <c r="E177" s="5" t="s">
        <v>399</v>
      </c>
      <c r="F177" s="9">
        <v>39</v>
      </c>
      <c r="G177" s="9">
        <v>419</v>
      </c>
      <c r="H177" s="5" t="s">
        <v>20</v>
      </c>
      <c r="I177" s="5" t="s">
        <v>533</v>
      </c>
      <c r="J177" s="12" t="str">
        <f>HYPERLINK("https://www.boe.es/gazeta/dias/1805/05/14/pdfs/GMD-1805-39.pdf#page=7","Abrir facsímil")</f>
        <v>Abrir facsímil</v>
      </c>
      <c r="K177" s="15" t="s">
        <v>22</v>
      </c>
    </row>
    <row r="178" spans="1:11" ht="42" customHeight="1">
      <c r="A178" s="4" t="s">
        <v>534</v>
      </c>
      <c r="B178" s="5" t="s">
        <v>535</v>
      </c>
      <c r="C178" s="5" t="s">
        <v>35</v>
      </c>
      <c r="D178" s="5" t="s">
        <v>36</v>
      </c>
      <c r="E178" s="5" t="s">
        <v>107</v>
      </c>
      <c r="F178" s="9">
        <v>19</v>
      </c>
      <c r="G178" s="9">
        <v>198</v>
      </c>
      <c r="H178" s="5" t="s">
        <v>20</v>
      </c>
      <c r="I178" s="5" t="s">
        <v>536</v>
      </c>
      <c r="J178" s="12" t="str">
        <f>HYPERLINK("https://www.boe.es/gazeta/dias/1805/03/05/pdfs/GMD-1805-19.pdf#page=10","Abrir facsímil")</f>
        <v>Abrir facsímil</v>
      </c>
      <c r="K178" s="15" t="s">
        <v>22</v>
      </c>
    </row>
    <row r="179" spans="1:11" ht="42" customHeight="1">
      <c r="A179" s="4" t="s">
        <v>537</v>
      </c>
      <c r="B179" s="5" t="s">
        <v>537</v>
      </c>
      <c r="C179" s="5" t="s">
        <v>17</v>
      </c>
      <c r="D179" s="5" t="s">
        <v>18</v>
      </c>
      <c r="E179" s="5" t="s">
        <v>27</v>
      </c>
      <c r="F179" s="9">
        <v>37</v>
      </c>
      <c r="G179" s="9">
        <v>402</v>
      </c>
      <c r="H179" s="5" t="s">
        <v>20</v>
      </c>
      <c r="I179" s="5" t="s">
        <v>538</v>
      </c>
      <c r="J179" s="12" t="str">
        <f>HYPERLINK("https://www.boe.es/gazeta/dias/1805/05/07/pdfs/GMD-1805-37.pdf#page=10","Abrir facsímil")</f>
        <v>Abrir facsímil</v>
      </c>
      <c r="K179" s="15" t="s">
        <v>22</v>
      </c>
    </row>
    <row r="180" spans="1:11" ht="42" customHeight="1">
      <c r="A180" s="4" t="s">
        <v>537</v>
      </c>
      <c r="B180" s="5" t="s">
        <v>537</v>
      </c>
      <c r="C180" s="5" t="s">
        <v>17</v>
      </c>
      <c r="D180" s="5" t="s">
        <v>18</v>
      </c>
      <c r="E180" s="5" t="s">
        <v>539</v>
      </c>
      <c r="F180" s="9">
        <v>97</v>
      </c>
      <c r="G180" s="9">
        <v>1047</v>
      </c>
      <c r="H180" s="5" t="s">
        <v>20</v>
      </c>
      <c r="I180" s="5" t="s">
        <v>540</v>
      </c>
      <c r="J180" s="12" t="str">
        <f>HYPERLINK("https://www.boe.es/gazeta/dias/1805/12/03/pdfs/GMD-1805-97.pdf#page=11","Abrir facsímil")</f>
        <v>Abrir facsímil</v>
      </c>
      <c r="K180" s="15" t="s">
        <v>22</v>
      </c>
    </row>
    <row r="181" spans="1:11" ht="42" customHeight="1">
      <c r="A181" s="4" t="s">
        <v>541</v>
      </c>
      <c r="B181" s="5" t="s">
        <v>541</v>
      </c>
      <c r="C181" s="5" t="s">
        <v>17</v>
      </c>
      <c r="D181" s="5" t="s">
        <v>18</v>
      </c>
      <c r="E181" s="5" t="s">
        <v>27</v>
      </c>
      <c r="F181" s="9">
        <v>37</v>
      </c>
      <c r="G181" s="9">
        <v>402</v>
      </c>
      <c r="H181" s="5" t="s">
        <v>20</v>
      </c>
      <c r="I181" s="5" t="s">
        <v>542</v>
      </c>
      <c r="J181" s="12" t="str">
        <f>HYPERLINK("https://www.boe.es/gazeta/dias/1805/05/07/pdfs/GMD-1805-37.pdf#page=10","Abrir facsímil")</f>
        <v>Abrir facsímil</v>
      </c>
      <c r="K181" s="15" t="s">
        <v>22</v>
      </c>
    </row>
    <row r="182" spans="1:11" ht="42" customHeight="1">
      <c r="A182" s="4" t="s">
        <v>541</v>
      </c>
      <c r="B182" s="5" t="s">
        <v>541</v>
      </c>
      <c r="C182" s="5" t="s">
        <v>17</v>
      </c>
      <c r="D182" s="5" t="s">
        <v>18</v>
      </c>
      <c r="E182" s="5" t="s">
        <v>539</v>
      </c>
      <c r="F182" s="9">
        <v>97</v>
      </c>
      <c r="G182" s="9">
        <v>1047</v>
      </c>
      <c r="H182" s="5" t="s">
        <v>20</v>
      </c>
      <c r="I182" s="5" t="s">
        <v>543</v>
      </c>
      <c r="J182" s="12" t="str">
        <f>HYPERLINK("https://www.boe.es/gazeta/dias/1805/12/03/pdfs/GMD-1805-97.pdf#page=11","Abrir facsímil")</f>
        <v>Abrir facsímil</v>
      </c>
      <c r="K182" s="15" t="s">
        <v>22</v>
      </c>
    </row>
    <row r="183" spans="1:11" ht="42" customHeight="1">
      <c r="A183" s="4" t="s">
        <v>544</v>
      </c>
      <c r="B183" s="5" t="s">
        <v>544</v>
      </c>
      <c r="C183" s="5" t="s">
        <v>35</v>
      </c>
      <c r="D183" s="5" t="s">
        <v>36</v>
      </c>
      <c r="E183" s="5" t="s">
        <v>192</v>
      </c>
      <c r="F183" s="9">
        <v>105</v>
      </c>
      <c r="G183" s="9">
        <v>1138</v>
      </c>
      <c r="H183" s="5" t="s">
        <v>20</v>
      </c>
      <c r="I183" s="5" t="s">
        <v>545</v>
      </c>
      <c r="J183" s="12" t="str">
        <f>HYPERLINK("https://www.boe.es/gazeta/dias/1805/12/31/pdfs/GMD-1805-105.pdf#page=10","Abrir facsímil")</f>
        <v>Abrir facsímil</v>
      </c>
      <c r="K183" s="15" t="s">
        <v>22</v>
      </c>
    </row>
    <row r="184" spans="1:11" ht="42" customHeight="1">
      <c r="A184" s="4" t="s">
        <v>546</v>
      </c>
      <c r="B184" s="5" t="s">
        <v>546</v>
      </c>
      <c r="C184" s="5" t="s">
        <v>35</v>
      </c>
      <c r="D184" s="5" t="s">
        <v>36</v>
      </c>
      <c r="E184" s="5" t="s">
        <v>91</v>
      </c>
      <c r="F184" s="9">
        <v>28</v>
      </c>
      <c r="G184" s="9">
        <v>301</v>
      </c>
      <c r="H184" s="5" t="s">
        <v>20</v>
      </c>
      <c r="I184" s="5" t="s">
        <v>547</v>
      </c>
      <c r="J184" s="12" t="str">
        <f>HYPERLINK("https://www.boe.es/gazeta/dias/1805/04/05/pdfs/GMD-1805-28.pdf#page=9","Abrir facsímil")</f>
        <v>Abrir facsímil</v>
      </c>
      <c r="K184" s="15" t="s">
        <v>22</v>
      </c>
    </row>
    <row r="185" spans="1:11" ht="42" customHeight="1">
      <c r="A185" s="4" t="s">
        <v>548</v>
      </c>
      <c r="B185" s="5" t="s">
        <v>548</v>
      </c>
      <c r="C185" s="5" t="s">
        <v>35</v>
      </c>
      <c r="D185" s="5" t="s">
        <v>36</v>
      </c>
      <c r="E185" s="5" t="s">
        <v>281</v>
      </c>
      <c r="F185" s="9">
        <v>15</v>
      </c>
      <c r="G185" s="9">
        <v>156</v>
      </c>
      <c r="H185" s="5" t="s">
        <v>20</v>
      </c>
      <c r="I185" s="5" t="s">
        <v>549</v>
      </c>
      <c r="J185" s="12" t="str">
        <f>HYPERLINK("https://www.boe.es/gazeta/dias/1805/02/19/pdfs/GMD-1805-15.pdf#page=8","Abrir facsímil")</f>
        <v>Abrir facsímil</v>
      </c>
      <c r="K185" s="15" t="s">
        <v>22</v>
      </c>
    </row>
    <row r="186" spans="1:11" ht="42" customHeight="1">
      <c r="A186" s="4" t="s">
        <v>550</v>
      </c>
      <c r="B186" s="5" t="s">
        <v>551</v>
      </c>
      <c r="C186" s="5" t="s">
        <v>80</v>
      </c>
      <c r="D186" s="5" t="s">
        <v>81</v>
      </c>
      <c r="E186" s="5" t="s">
        <v>552</v>
      </c>
      <c r="F186" s="9">
        <v>94</v>
      </c>
      <c r="G186" s="9">
        <v>1002</v>
      </c>
      <c r="H186" s="5" t="s">
        <v>20</v>
      </c>
      <c r="I186" s="5" t="s">
        <v>553</v>
      </c>
      <c r="J186" s="12" t="str">
        <f>HYPERLINK("https://www.boe.es/gazeta/dias/1805/11/22/pdfs/GMD-1805-94.pdf#page=2","Abrir facsímil")</f>
        <v>Abrir facsímil</v>
      </c>
      <c r="K186" s="15" t="s">
        <v>22</v>
      </c>
    </row>
    <row r="187" spans="1:11" ht="42" customHeight="1">
      <c r="A187" s="4" t="s">
        <v>550</v>
      </c>
      <c r="B187" s="5" t="s">
        <v>551</v>
      </c>
      <c r="C187" s="5" t="s">
        <v>80</v>
      </c>
      <c r="D187" s="5" t="s">
        <v>81</v>
      </c>
      <c r="E187" s="5" t="s">
        <v>539</v>
      </c>
      <c r="F187" s="9">
        <v>97</v>
      </c>
      <c r="G187" s="9">
        <v>1037</v>
      </c>
      <c r="H187" s="5" t="s">
        <v>20</v>
      </c>
      <c r="I187" s="5" t="s">
        <v>554</v>
      </c>
      <c r="J187" s="12" t="str">
        <f>HYPERLINK("https://www.boe.es/gazeta/dias/1805/12/03/pdfs/GMD-1805-97.pdf#page=1","Abrir facsímil")</f>
        <v>Abrir facsímil</v>
      </c>
      <c r="K187" s="15" t="s">
        <v>22</v>
      </c>
    </row>
    <row r="188" spans="1:11" ht="42" customHeight="1">
      <c r="A188" s="4" t="s">
        <v>550</v>
      </c>
      <c r="B188" s="5" t="s">
        <v>551</v>
      </c>
      <c r="C188" s="5" t="s">
        <v>80</v>
      </c>
      <c r="D188" s="5" t="s">
        <v>81</v>
      </c>
      <c r="E188" s="5" t="s">
        <v>63</v>
      </c>
      <c r="F188" s="9">
        <v>101</v>
      </c>
      <c r="G188" s="9">
        <v>1086</v>
      </c>
      <c r="H188" s="5" t="s">
        <v>20</v>
      </c>
      <c r="I188" s="5" t="s">
        <v>555</v>
      </c>
      <c r="J188" s="12" t="str">
        <f>HYPERLINK("https://www.boe.es/gazeta/dias/1805/12/17/pdfs/GMD-1805-101.pdf#page=2","Abrir facsímil")</f>
        <v>Abrir facsímil</v>
      </c>
      <c r="K188" s="15" t="s">
        <v>22</v>
      </c>
    </row>
    <row r="189" spans="1:11" ht="42" customHeight="1">
      <c r="A189" s="4" t="s">
        <v>550</v>
      </c>
      <c r="B189" s="5" t="s">
        <v>551</v>
      </c>
      <c r="C189" s="5" t="s">
        <v>80</v>
      </c>
      <c r="D189" s="5" t="s">
        <v>81</v>
      </c>
      <c r="E189" s="5" t="s">
        <v>63</v>
      </c>
      <c r="F189" s="9">
        <v>101</v>
      </c>
      <c r="G189" s="9">
        <v>1087</v>
      </c>
      <c r="H189" s="5" t="s">
        <v>20</v>
      </c>
      <c r="I189" s="5" t="s">
        <v>556</v>
      </c>
      <c r="J189" s="12" t="str">
        <f>HYPERLINK("https://www.boe.es/gazeta/dias/1805/12/17/pdfs/GMD-1805-101.pdf#page=3","Abrir facsímil")</f>
        <v>Abrir facsímil</v>
      </c>
      <c r="K189" s="15" t="s">
        <v>22</v>
      </c>
    </row>
    <row r="190" spans="1:11" ht="42" customHeight="1">
      <c r="A190" s="4" t="s">
        <v>557</v>
      </c>
      <c r="B190" s="5" t="s">
        <v>557</v>
      </c>
      <c r="C190" s="5" t="s">
        <v>35</v>
      </c>
      <c r="D190" s="5" t="s">
        <v>36</v>
      </c>
      <c r="E190" s="5" t="s">
        <v>91</v>
      </c>
      <c r="F190" s="9">
        <v>28</v>
      </c>
      <c r="G190" s="9">
        <v>302</v>
      </c>
      <c r="H190" s="5" t="s">
        <v>20</v>
      </c>
      <c r="I190" s="5" t="s">
        <v>558</v>
      </c>
      <c r="J190" s="12" t="str">
        <f>HYPERLINK("https://www.boe.es/gazeta/dias/1805/04/05/pdfs/GMD-1805-28.pdf#page=10","Abrir facsímil")</f>
        <v>Abrir facsímil</v>
      </c>
      <c r="K190" s="15" t="s">
        <v>22</v>
      </c>
    </row>
    <row r="191" spans="1:11" ht="42" customHeight="1">
      <c r="A191" s="4" t="s">
        <v>559</v>
      </c>
      <c r="B191" s="5" t="s">
        <v>560</v>
      </c>
      <c r="C191" s="5" t="s">
        <v>35</v>
      </c>
      <c r="D191" s="5" t="s">
        <v>36</v>
      </c>
      <c r="E191" s="5" t="s">
        <v>24</v>
      </c>
      <c r="F191" s="9">
        <v>11</v>
      </c>
      <c r="G191" s="9">
        <v>121</v>
      </c>
      <c r="H191" s="5" t="s">
        <v>20</v>
      </c>
      <c r="I191" s="5" t="s">
        <v>561</v>
      </c>
      <c r="J191" s="12" t="str">
        <f>HYPERLINK("https://www.boe.es/gazeta/dias/1805/02/05/pdfs/GMD-1805-11.pdf#page=9","Abrir facsímil")</f>
        <v>Abrir facsímil</v>
      </c>
      <c r="K191" s="15" t="s">
        <v>22</v>
      </c>
    </row>
    <row r="192" spans="1:11" ht="42" customHeight="1">
      <c r="A192" s="4" t="s">
        <v>562</v>
      </c>
      <c r="B192" s="5" t="s">
        <v>563</v>
      </c>
      <c r="C192" s="5" t="s">
        <v>35</v>
      </c>
      <c r="D192" s="5" t="s">
        <v>36</v>
      </c>
      <c r="E192" s="5" t="s">
        <v>120</v>
      </c>
      <c r="F192" s="9">
        <v>24</v>
      </c>
      <c r="G192" s="9">
        <v>256</v>
      </c>
      <c r="H192" s="5" t="s">
        <v>20</v>
      </c>
      <c r="I192" s="5" t="s">
        <v>564</v>
      </c>
      <c r="J192" s="12" t="str">
        <f>HYPERLINK("https://www.boe.es/gazeta/dias/1805/03/22/pdfs/GMD-1805-24.pdf#page=8","Abrir facsímil")</f>
        <v>Abrir facsímil</v>
      </c>
      <c r="K192" s="15" t="s">
        <v>22</v>
      </c>
    </row>
    <row r="193" spans="1:11" ht="42" customHeight="1">
      <c r="A193" s="4" t="s">
        <v>565</v>
      </c>
      <c r="B193" s="5" t="s">
        <v>566</v>
      </c>
      <c r="C193" s="5" t="s">
        <v>85</v>
      </c>
      <c r="D193" s="5" t="s">
        <v>86</v>
      </c>
      <c r="E193" s="5" t="s">
        <v>567</v>
      </c>
      <c r="F193" s="9">
        <v>49</v>
      </c>
      <c r="G193" s="9">
        <v>529</v>
      </c>
      <c r="H193" s="5" t="s">
        <v>20</v>
      </c>
      <c r="I193" s="5" t="s">
        <v>568</v>
      </c>
      <c r="J193" s="12" t="str">
        <f>HYPERLINK("https://www.boe.es/gazeta/dias/1805/06/18/pdfs/GMD-1805-49.pdf#page=5","Abrir facsímil")</f>
        <v>Abrir facsímil</v>
      </c>
      <c r="K193" s="15" t="s">
        <v>22</v>
      </c>
    </row>
    <row r="194" spans="1:11" ht="42" customHeight="1">
      <c r="A194" s="4" t="s">
        <v>569</v>
      </c>
      <c r="B194" s="5" t="s">
        <v>570</v>
      </c>
      <c r="C194" s="5" t="s">
        <v>35</v>
      </c>
      <c r="D194" s="5" t="s">
        <v>36</v>
      </c>
      <c r="E194" s="5" t="s">
        <v>440</v>
      </c>
      <c r="F194" s="9">
        <v>27</v>
      </c>
      <c r="G194" s="9">
        <v>292</v>
      </c>
      <c r="H194" s="5" t="s">
        <v>20</v>
      </c>
      <c r="I194" s="5" t="s">
        <v>571</v>
      </c>
      <c r="J194" s="12" t="str">
        <f>HYPERLINK("https://www.boe.es/gazeta/dias/1805/04/02/pdfs/GMD-1805-27.pdf#page=12","Abrir facsímil")</f>
        <v>Abrir facsímil</v>
      </c>
      <c r="K194" s="15" t="s">
        <v>22</v>
      </c>
    </row>
    <row r="195" spans="1:11" ht="42" customHeight="1">
      <c r="A195" s="4" t="s">
        <v>572</v>
      </c>
      <c r="B195" s="5" t="s">
        <v>573</v>
      </c>
      <c r="C195" s="5" t="s">
        <v>17</v>
      </c>
      <c r="D195" s="5" t="s">
        <v>18</v>
      </c>
      <c r="E195" s="5" t="s">
        <v>71</v>
      </c>
      <c r="F195" s="9">
        <v>33</v>
      </c>
      <c r="G195" s="9">
        <v>352</v>
      </c>
      <c r="H195" s="5" t="s">
        <v>20</v>
      </c>
      <c r="I195" s="5" t="s">
        <v>574</v>
      </c>
      <c r="J195" s="12" t="str">
        <f>HYPERLINK("https://www.boe.es/gazeta/dias/1805/04/23/pdfs/GMD-1805-33.pdf#page=8","Abrir facsímil")</f>
        <v>Abrir facsímil</v>
      </c>
      <c r="K195" s="15" t="s">
        <v>22</v>
      </c>
    </row>
    <row r="196" spans="1:11" ht="42" customHeight="1">
      <c r="A196" s="4" t="s">
        <v>575</v>
      </c>
      <c r="B196" s="5" t="s">
        <v>575</v>
      </c>
      <c r="C196" s="5" t="s">
        <v>35</v>
      </c>
      <c r="D196" s="5" t="s">
        <v>36</v>
      </c>
      <c r="E196" s="5" t="s">
        <v>365</v>
      </c>
      <c r="F196" s="9">
        <v>3</v>
      </c>
      <c r="G196" s="9">
        <v>29</v>
      </c>
      <c r="H196" s="5" t="s">
        <v>20</v>
      </c>
      <c r="I196" s="5" t="s">
        <v>576</v>
      </c>
      <c r="J196" s="12" t="str">
        <f>HYPERLINK("https://www.boe.es/gazeta/dias/1805/01/08/pdfs/GMD-1805-3.pdf#page=5","Abrir facsímil")</f>
        <v>Abrir facsímil</v>
      </c>
      <c r="K196" s="15" t="s">
        <v>22</v>
      </c>
    </row>
    <row r="197" spans="1:11" ht="42" customHeight="1">
      <c r="A197" s="4" t="s">
        <v>577</v>
      </c>
      <c r="B197" s="5" t="s">
        <v>578</v>
      </c>
      <c r="C197" s="5" t="s">
        <v>17</v>
      </c>
      <c r="D197" s="5" t="s">
        <v>18</v>
      </c>
      <c r="E197" s="5" t="s">
        <v>63</v>
      </c>
      <c r="F197" s="9">
        <v>101</v>
      </c>
      <c r="G197" s="9">
        <v>1092</v>
      </c>
      <c r="H197" s="5" t="s">
        <v>20</v>
      </c>
      <c r="I197" s="5" t="s">
        <v>579</v>
      </c>
      <c r="J197" s="12" t="str">
        <f>HYPERLINK("https://www.boe.es/gazeta/dias/1805/12/17/pdfs/GMD-1805-101.pdf#page=8","Abrir facsímil")</f>
        <v>Abrir facsímil</v>
      </c>
      <c r="K197" s="15" t="s">
        <v>22</v>
      </c>
    </row>
    <row r="198" spans="1:11" ht="42" customHeight="1">
      <c r="A198" s="4" t="s">
        <v>580</v>
      </c>
      <c r="B198" s="5" t="s">
        <v>581</v>
      </c>
      <c r="C198" s="5" t="s">
        <v>35</v>
      </c>
      <c r="D198" s="5" t="s">
        <v>36</v>
      </c>
      <c r="E198" s="5" t="s">
        <v>188</v>
      </c>
      <c r="F198" s="9">
        <v>68</v>
      </c>
      <c r="G198" s="9">
        <v>729</v>
      </c>
      <c r="H198" s="5" t="s">
        <v>20</v>
      </c>
      <c r="I198" s="5" t="s">
        <v>582</v>
      </c>
      <c r="J198" s="12" t="str">
        <f>HYPERLINK("https://www.boe.es/gazeta/dias/1805/08/23/pdfs/GMD-1805-68.pdf#page=9","Abrir facsímil")</f>
        <v>Abrir facsímil</v>
      </c>
      <c r="K198" s="15" t="s">
        <v>22</v>
      </c>
    </row>
    <row r="199" spans="1:11" ht="42" customHeight="1">
      <c r="A199" s="4" t="s">
        <v>583</v>
      </c>
      <c r="B199" s="5" t="s">
        <v>584</v>
      </c>
      <c r="C199" s="5" t="s">
        <v>17</v>
      </c>
      <c r="D199" s="5" t="s">
        <v>18</v>
      </c>
      <c r="E199" s="5" t="s">
        <v>585</v>
      </c>
      <c r="F199" s="9">
        <v>64</v>
      </c>
      <c r="G199" s="9">
        <v>687</v>
      </c>
      <c r="H199" s="5" t="s">
        <v>20</v>
      </c>
      <c r="I199" s="5" t="s">
        <v>586</v>
      </c>
      <c r="J199" s="12" t="str">
        <f>HYPERLINK("https://www.boe.es/gazeta/dias/1805/08/09/pdfs/GMD-1805-64.pdf#page=11","Abrir facsímil")</f>
        <v>Abrir facsímil</v>
      </c>
      <c r="K199" s="15" t="s">
        <v>22</v>
      </c>
    </row>
    <row r="200" spans="1:11" ht="42" customHeight="1">
      <c r="A200" s="4" t="s">
        <v>587</v>
      </c>
      <c r="B200" s="5" t="s">
        <v>588</v>
      </c>
      <c r="C200" s="5" t="s">
        <v>17</v>
      </c>
      <c r="D200" s="5" t="s">
        <v>18</v>
      </c>
      <c r="E200" s="5" t="s">
        <v>76</v>
      </c>
      <c r="F200" s="9">
        <v>66</v>
      </c>
      <c r="G200" s="9">
        <v>709</v>
      </c>
      <c r="H200" s="5" t="s">
        <v>20</v>
      </c>
      <c r="I200" s="5" t="s">
        <v>589</v>
      </c>
      <c r="J200" s="12" t="str">
        <f>HYPERLINK("https://www.boe.es/gazeta/dias/1805/08/16/pdfs/GMD-1805-66.pdf#page=9","Abrir facsímil")</f>
        <v>Abrir facsímil</v>
      </c>
      <c r="K200" s="15" t="s">
        <v>22</v>
      </c>
    </row>
    <row r="201" spans="1:11" ht="42" customHeight="1">
      <c r="A201" s="4" t="s">
        <v>590</v>
      </c>
      <c r="B201" s="5" t="s">
        <v>591</v>
      </c>
      <c r="C201" s="5" t="s">
        <v>17</v>
      </c>
      <c r="D201" s="5" t="s">
        <v>18</v>
      </c>
      <c r="E201" s="5" t="s">
        <v>63</v>
      </c>
      <c r="F201" s="9">
        <v>101</v>
      </c>
      <c r="G201" s="9">
        <v>1092</v>
      </c>
      <c r="H201" s="5" t="s">
        <v>20</v>
      </c>
      <c r="I201" s="5" t="s">
        <v>592</v>
      </c>
      <c r="J201" s="12" t="str">
        <f>HYPERLINK("https://www.boe.es/gazeta/dias/1805/12/17/pdfs/GMD-1805-101.pdf#page=8","Abrir facsímil")</f>
        <v>Abrir facsímil</v>
      </c>
      <c r="K201" s="15" t="s">
        <v>22</v>
      </c>
    </row>
    <row r="202" spans="1:11" ht="42" customHeight="1">
      <c r="A202" s="4" t="s">
        <v>593</v>
      </c>
      <c r="B202" s="5" t="s">
        <v>594</v>
      </c>
      <c r="C202" s="5" t="s">
        <v>17</v>
      </c>
      <c r="D202" s="5" t="s">
        <v>18</v>
      </c>
      <c r="E202" s="5" t="s">
        <v>76</v>
      </c>
      <c r="F202" s="9">
        <v>66</v>
      </c>
      <c r="G202" s="9">
        <v>709</v>
      </c>
      <c r="H202" s="5" t="s">
        <v>20</v>
      </c>
      <c r="I202" s="5" t="s">
        <v>595</v>
      </c>
      <c r="J202" s="12" t="str">
        <f>HYPERLINK("https://www.boe.es/gazeta/dias/1805/08/16/pdfs/GMD-1805-66.pdf#page=9","Abrir facsímil")</f>
        <v>Abrir facsímil</v>
      </c>
      <c r="K202" s="15" t="s">
        <v>22</v>
      </c>
    </row>
    <row r="203" spans="1:11" ht="42" customHeight="1">
      <c r="A203" s="4" t="s">
        <v>596</v>
      </c>
      <c r="B203" s="5" t="s">
        <v>596</v>
      </c>
      <c r="C203" s="5" t="s">
        <v>80</v>
      </c>
      <c r="D203" s="5" t="s">
        <v>81</v>
      </c>
      <c r="E203" s="5" t="s">
        <v>48</v>
      </c>
      <c r="F203" s="9">
        <v>35</v>
      </c>
      <c r="G203" s="9">
        <v>371</v>
      </c>
      <c r="H203" s="5" t="s">
        <v>20</v>
      </c>
      <c r="I203" s="5" t="s">
        <v>597</v>
      </c>
      <c r="J203" s="12" t="str">
        <f>HYPERLINK("https://www.boe.es/gazeta/dias/1805/04/30/pdfs/GMD-1805-35.pdf#page=3","Abrir facsímil")</f>
        <v>Abrir facsímil</v>
      </c>
      <c r="K203" s="15" t="s">
        <v>22</v>
      </c>
    </row>
    <row r="204" spans="1:11" ht="42" customHeight="1">
      <c r="A204" s="4" t="s">
        <v>596</v>
      </c>
      <c r="B204" s="5" t="s">
        <v>596</v>
      </c>
      <c r="C204" s="5" t="s">
        <v>35</v>
      </c>
      <c r="D204" s="5" t="s">
        <v>36</v>
      </c>
      <c r="E204" s="5" t="s">
        <v>290</v>
      </c>
      <c r="F204" s="9">
        <v>36</v>
      </c>
      <c r="G204" s="9">
        <v>384</v>
      </c>
      <c r="H204" s="5" t="s">
        <v>20</v>
      </c>
      <c r="I204" s="5" t="s">
        <v>598</v>
      </c>
      <c r="J204" s="12" t="str">
        <f>HYPERLINK("https://www.boe.es/gazeta/dias/1805/05/03/pdfs/GMD-1805-36.pdf#page=4","Abrir facsímil")</f>
        <v>Abrir facsímil</v>
      </c>
      <c r="K204" s="15" t="s">
        <v>22</v>
      </c>
    </row>
    <row r="205" spans="1:11" ht="42" customHeight="1">
      <c r="A205" s="4" t="s">
        <v>596</v>
      </c>
      <c r="B205" s="5" t="s">
        <v>596</v>
      </c>
      <c r="C205" s="5" t="s">
        <v>80</v>
      </c>
      <c r="D205" s="5" t="s">
        <v>81</v>
      </c>
      <c r="E205" s="5" t="s">
        <v>422</v>
      </c>
      <c r="F205" s="9">
        <v>74</v>
      </c>
      <c r="G205" s="9">
        <v>780</v>
      </c>
      <c r="H205" s="5" t="s">
        <v>20</v>
      </c>
      <c r="I205" s="5" t="s">
        <v>599</v>
      </c>
      <c r="J205" s="12" t="str">
        <f>HYPERLINK("https://www.boe.es/gazeta/dias/1805/09/13/pdfs/GMD-1805-74.pdf#page=4","Abrir facsímil")</f>
        <v>Abrir facsímil</v>
      </c>
      <c r="K205" s="15" t="s">
        <v>22</v>
      </c>
    </row>
    <row r="206" spans="1:11" ht="42" customHeight="1">
      <c r="A206" s="4" t="s">
        <v>600</v>
      </c>
      <c r="B206" s="5" t="s">
        <v>601</v>
      </c>
      <c r="C206" s="5" t="s">
        <v>35</v>
      </c>
      <c r="D206" s="5" t="s">
        <v>36</v>
      </c>
      <c r="E206" s="5" t="s">
        <v>91</v>
      </c>
      <c r="F206" s="9">
        <v>28</v>
      </c>
      <c r="G206" s="9">
        <v>300</v>
      </c>
      <c r="H206" s="5" t="s">
        <v>20</v>
      </c>
      <c r="I206" s="5" t="s">
        <v>602</v>
      </c>
      <c r="J206" s="12" t="str">
        <f>HYPERLINK("https://www.boe.es/gazeta/dias/1805/04/05/pdfs/GMD-1805-28.pdf#page=8","Abrir facsímil")</f>
        <v>Abrir facsímil</v>
      </c>
      <c r="K206" s="15" t="s">
        <v>22</v>
      </c>
    </row>
    <row r="207" spans="1:11" ht="42" customHeight="1">
      <c r="A207" s="4" t="s">
        <v>603</v>
      </c>
      <c r="B207" s="5" t="s">
        <v>604</v>
      </c>
      <c r="C207" s="5" t="s">
        <v>17</v>
      </c>
      <c r="D207" s="5" t="s">
        <v>18</v>
      </c>
      <c r="E207" s="5" t="s">
        <v>352</v>
      </c>
      <c r="F207" s="9">
        <v>60</v>
      </c>
      <c r="G207" s="9">
        <v>643</v>
      </c>
      <c r="H207" s="5" t="s">
        <v>20</v>
      </c>
      <c r="I207" s="5" t="s">
        <v>605</v>
      </c>
      <c r="J207" s="12" t="str">
        <f>HYPERLINK("https://www.boe.es/gazeta/dias/1805/07/26/pdfs/GMD-1805-60.pdf#page=7","Abrir facsímil")</f>
        <v>Abrir facsímil</v>
      </c>
      <c r="K207" s="15" t="s">
        <v>22</v>
      </c>
    </row>
    <row r="208" spans="1:11" ht="42" customHeight="1">
      <c r="A208" s="4" t="s">
        <v>606</v>
      </c>
      <c r="B208" s="5" t="s">
        <v>607</v>
      </c>
      <c r="C208" s="5" t="s">
        <v>80</v>
      </c>
      <c r="D208" s="5" t="s">
        <v>81</v>
      </c>
      <c r="E208" s="5" t="s">
        <v>209</v>
      </c>
      <c r="F208" s="9">
        <v>89</v>
      </c>
      <c r="G208" s="9">
        <v>951</v>
      </c>
      <c r="H208" s="5" t="s">
        <v>20</v>
      </c>
      <c r="I208" s="5" t="s">
        <v>608</v>
      </c>
      <c r="J208" s="12" t="str">
        <f>HYPERLINK("https://www.boe.es/gazeta/dias/1805/11/05/pdfs/GMD-1805-89.pdf#page=11","Abrir facsímil")</f>
        <v>Abrir facsímil</v>
      </c>
      <c r="K208" s="15" t="s">
        <v>22</v>
      </c>
    </row>
    <row r="209" spans="1:11" ht="42" customHeight="1">
      <c r="A209" s="4" t="s">
        <v>609</v>
      </c>
      <c r="B209" s="5" t="s">
        <v>610</v>
      </c>
      <c r="C209" s="5" t="s">
        <v>80</v>
      </c>
      <c r="D209" s="5" t="s">
        <v>81</v>
      </c>
      <c r="E209" s="5" t="s">
        <v>209</v>
      </c>
      <c r="F209" s="9">
        <v>89</v>
      </c>
      <c r="G209" s="9">
        <v>952</v>
      </c>
      <c r="H209" s="5" t="s">
        <v>20</v>
      </c>
      <c r="I209" s="5" t="s">
        <v>611</v>
      </c>
      <c r="J209" s="12" t="str">
        <f>HYPERLINK("https://www.boe.es/gazeta/dias/1805/11/05/pdfs/GMD-1805-89.pdf#page=12","Abrir facsímil")</f>
        <v>Abrir facsímil</v>
      </c>
      <c r="K209" s="15" t="s">
        <v>22</v>
      </c>
    </row>
    <row r="210" spans="1:11" ht="42" customHeight="1">
      <c r="A210" s="4" t="s">
        <v>612</v>
      </c>
      <c r="B210" s="5" t="s">
        <v>613</v>
      </c>
      <c r="C210" s="5" t="s">
        <v>80</v>
      </c>
      <c r="D210" s="5" t="s">
        <v>81</v>
      </c>
      <c r="E210" s="5" t="s">
        <v>552</v>
      </c>
      <c r="F210" s="9">
        <v>94</v>
      </c>
      <c r="G210" s="9">
        <v>1005</v>
      </c>
      <c r="H210" s="5" t="s">
        <v>20</v>
      </c>
      <c r="I210" s="5" t="s">
        <v>614</v>
      </c>
      <c r="J210" s="12" t="str">
        <f>HYPERLINK("https://www.boe.es/gazeta/dias/1805/11/22/pdfs/GMD-1805-94.pdf#page=5","Abrir facsímil")</f>
        <v>Abrir facsímil</v>
      </c>
      <c r="K210" s="15" t="s">
        <v>22</v>
      </c>
    </row>
    <row r="211" spans="1:11" ht="42" customHeight="1">
      <c r="A211" s="4" t="s">
        <v>615</v>
      </c>
      <c r="B211" s="5" t="s">
        <v>616</v>
      </c>
      <c r="C211" s="5" t="s">
        <v>85</v>
      </c>
      <c r="D211" s="5" t="s">
        <v>86</v>
      </c>
      <c r="E211" s="5" t="s">
        <v>87</v>
      </c>
      <c r="F211" s="9">
        <v>14</v>
      </c>
      <c r="G211" s="9">
        <v>147</v>
      </c>
      <c r="H211" s="5" t="s">
        <v>20</v>
      </c>
      <c r="I211" s="5" t="s">
        <v>617</v>
      </c>
      <c r="J211" s="12" t="str">
        <f>HYPERLINK("https://www.boe.es/gazeta/dias/1805/02/15/pdfs/GMD-1805-14.pdf#page=7","Abrir facsímil")</f>
        <v>Abrir facsímil</v>
      </c>
      <c r="K211" s="15" t="s">
        <v>22</v>
      </c>
    </row>
    <row r="212" spans="1:11" ht="42" customHeight="1">
      <c r="A212" s="4" t="s">
        <v>618</v>
      </c>
      <c r="B212" s="5" t="s">
        <v>619</v>
      </c>
      <c r="C212" s="5" t="s">
        <v>17</v>
      </c>
      <c r="D212" s="5" t="s">
        <v>18</v>
      </c>
      <c r="E212" s="5" t="s">
        <v>63</v>
      </c>
      <c r="F212" s="9">
        <v>101</v>
      </c>
      <c r="G212" s="9">
        <v>1091</v>
      </c>
      <c r="H212" s="5" t="s">
        <v>20</v>
      </c>
      <c r="I212" s="5" t="s">
        <v>620</v>
      </c>
      <c r="J212" s="12" t="str">
        <f>HYPERLINK("https://www.boe.es/gazeta/dias/1805/12/17/pdfs/GMD-1805-101.pdf#page=7","Abrir facsímil")</f>
        <v>Abrir facsímil</v>
      </c>
      <c r="K212" s="15" t="s">
        <v>22</v>
      </c>
    </row>
    <row r="213" spans="1:11" ht="42" customHeight="1">
      <c r="A213" s="4" t="s">
        <v>621</v>
      </c>
      <c r="B213" s="5" t="s">
        <v>622</v>
      </c>
      <c r="C213" s="5" t="s">
        <v>35</v>
      </c>
      <c r="D213" s="5" t="s">
        <v>36</v>
      </c>
      <c r="E213" s="5" t="s">
        <v>141</v>
      </c>
      <c r="F213" s="9">
        <v>82</v>
      </c>
      <c r="G213" s="9">
        <v>870</v>
      </c>
      <c r="H213" s="5" t="s">
        <v>20</v>
      </c>
      <c r="I213" s="5" t="s">
        <v>623</v>
      </c>
      <c r="J213" s="12" t="str">
        <f>HYPERLINK("https://www.boe.es/gazeta/dias/1805/10/11/pdfs/GMD-1805-82.pdf#page=10","Abrir facsímil")</f>
        <v>Abrir facsímil</v>
      </c>
      <c r="K213" s="15" t="s">
        <v>22</v>
      </c>
    </row>
    <row r="214" spans="1:11" ht="42" customHeight="1">
      <c r="A214" s="4" t="s">
        <v>624</v>
      </c>
      <c r="B214" s="5" t="s">
        <v>624</v>
      </c>
      <c r="C214" s="5" t="s">
        <v>80</v>
      </c>
      <c r="D214" s="5" t="s">
        <v>81</v>
      </c>
      <c r="E214" s="5" t="s">
        <v>132</v>
      </c>
      <c r="F214" s="9">
        <v>2</v>
      </c>
      <c r="G214" s="9">
        <v>15</v>
      </c>
      <c r="H214" s="5" t="s">
        <v>20</v>
      </c>
      <c r="I214" s="5" t="s">
        <v>625</v>
      </c>
      <c r="J214" s="12" t="str">
        <f>HYPERLINK("https://www.boe.es/gazeta/dias/1805/01/04/pdfs/GMD-1805-2.pdf#page=3","Abrir facsímil")</f>
        <v>Abrir facsímil</v>
      </c>
      <c r="K214" s="15" t="s">
        <v>22</v>
      </c>
    </row>
    <row r="215" spans="1:11" ht="42" customHeight="1">
      <c r="A215" s="4" t="s">
        <v>626</v>
      </c>
      <c r="B215" s="5" t="s">
        <v>627</v>
      </c>
      <c r="C215" s="5" t="s">
        <v>17</v>
      </c>
      <c r="D215" s="5" t="s">
        <v>18</v>
      </c>
      <c r="E215" s="5" t="s">
        <v>135</v>
      </c>
      <c r="F215" s="9">
        <v>71</v>
      </c>
      <c r="G215" s="9">
        <v>758</v>
      </c>
      <c r="H215" s="5" t="s">
        <v>20</v>
      </c>
      <c r="I215" s="5" t="s">
        <v>628</v>
      </c>
      <c r="J215" s="12" t="str">
        <f>HYPERLINK("https://www.boe.es/gazeta/dias/1805/09/03/pdfs/GMD-1805-71.pdf#page=10","Abrir facsímil")</f>
        <v>Abrir facsímil</v>
      </c>
      <c r="K215" s="15" t="s">
        <v>22</v>
      </c>
    </row>
    <row r="216" spans="1:11" ht="42" customHeight="1">
      <c r="A216" s="4" t="s">
        <v>629</v>
      </c>
      <c r="B216" s="5" t="s">
        <v>630</v>
      </c>
      <c r="C216" s="5" t="s">
        <v>35</v>
      </c>
      <c r="D216" s="5" t="s">
        <v>36</v>
      </c>
      <c r="E216" s="5" t="s">
        <v>539</v>
      </c>
      <c r="F216" s="9">
        <v>97</v>
      </c>
      <c r="G216" s="9">
        <v>1045</v>
      </c>
      <c r="H216" s="5" t="s">
        <v>20</v>
      </c>
      <c r="I216" s="5" t="s">
        <v>631</v>
      </c>
      <c r="J216" s="12" t="str">
        <f>HYPERLINK("https://www.boe.es/gazeta/dias/1805/12/03/pdfs/GMD-1805-97.pdf#page=9","Abrir facsímil")</f>
        <v>Abrir facsímil</v>
      </c>
      <c r="K216" s="15" t="s">
        <v>22</v>
      </c>
    </row>
    <row r="217" spans="1:11" ht="42" customHeight="1">
      <c r="A217" s="4" t="s">
        <v>632</v>
      </c>
      <c r="B217" s="5" t="s">
        <v>633</v>
      </c>
      <c r="C217" s="5" t="s">
        <v>35</v>
      </c>
      <c r="D217" s="5" t="s">
        <v>36</v>
      </c>
      <c r="E217" s="5" t="s">
        <v>261</v>
      </c>
      <c r="F217" s="9">
        <v>18</v>
      </c>
      <c r="G217" s="9">
        <v>186</v>
      </c>
      <c r="H217" s="5" t="s">
        <v>20</v>
      </c>
      <c r="I217" s="5" t="s">
        <v>634</v>
      </c>
      <c r="J217" s="12" t="str">
        <f>HYPERLINK("https://www.boe.es/gazeta/dias/1805/03/01/pdfs/GMD-1805-18.pdf#page=6","Abrir facsímil")</f>
        <v>Abrir facsímil</v>
      </c>
      <c r="K217" s="15" t="s">
        <v>22</v>
      </c>
    </row>
    <row r="218" spans="1:11" ht="42" customHeight="1">
      <c r="A218" s="4" t="s">
        <v>635</v>
      </c>
      <c r="B218" s="5" t="s">
        <v>636</v>
      </c>
      <c r="C218" s="5" t="s">
        <v>35</v>
      </c>
      <c r="D218" s="5" t="s">
        <v>36</v>
      </c>
      <c r="E218" s="5" t="s">
        <v>63</v>
      </c>
      <c r="F218" s="9">
        <v>101</v>
      </c>
      <c r="G218" s="9">
        <v>1092</v>
      </c>
      <c r="H218" s="5" t="s">
        <v>20</v>
      </c>
      <c r="I218" s="5" t="s">
        <v>637</v>
      </c>
      <c r="J218" s="12" t="str">
        <f>HYPERLINK("https://www.boe.es/gazeta/dias/1805/12/17/pdfs/GMD-1805-101.pdf#page=8","Abrir facsímil")</f>
        <v>Abrir facsímil</v>
      </c>
      <c r="K218" s="15" t="s">
        <v>22</v>
      </c>
    </row>
    <row r="219" spans="1:11" ht="42" customHeight="1">
      <c r="A219" s="4" t="s">
        <v>638</v>
      </c>
      <c r="B219" s="5" t="s">
        <v>639</v>
      </c>
      <c r="C219" s="5" t="s">
        <v>85</v>
      </c>
      <c r="D219" s="5" t="s">
        <v>86</v>
      </c>
      <c r="E219" s="5" t="s">
        <v>91</v>
      </c>
      <c r="F219" s="9">
        <v>28</v>
      </c>
      <c r="G219" s="9">
        <v>299</v>
      </c>
      <c r="H219" s="5" t="s">
        <v>20</v>
      </c>
      <c r="I219" s="5" t="s">
        <v>640</v>
      </c>
      <c r="J219" s="12" t="str">
        <f>HYPERLINK("https://www.boe.es/gazeta/dias/1805/04/05/pdfs/GMD-1805-28.pdf#page=7","Abrir facsímil")</f>
        <v>Abrir facsímil</v>
      </c>
      <c r="K219" s="15" t="s">
        <v>22</v>
      </c>
    </row>
    <row r="220" spans="1:11" ht="42" customHeight="1">
      <c r="A220" s="4" t="s">
        <v>641</v>
      </c>
      <c r="B220" s="5" t="s">
        <v>641</v>
      </c>
      <c r="C220" s="5" t="s">
        <v>35</v>
      </c>
      <c r="D220" s="5" t="s">
        <v>36</v>
      </c>
      <c r="E220" s="5" t="s">
        <v>539</v>
      </c>
      <c r="F220" s="9">
        <v>97</v>
      </c>
      <c r="G220" s="9">
        <v>1048</v>
      </c>
      <c r="H220" s="5" t="s">
        <v>20</v>
      </c>
      <c r="I220" s="5" t="s">
        <v>642</v>
      </c>
      <c r="J220" s="12" t="str">
        <f>HYPERLINK("https://www.boe.es/gazeta/dias/1805/12/03/pdfs/GMD-1805-97.pdf#page=12","Abrir facsímil")</f>
        <v>Abrir facsímil</v>
      </c>
      <c r="K220" s="15" t="s">
        <v>22</v>
      </c>
    </row>
    <row r="221" spans="1:11" ht="42" customHeight="1">
      <c r="A221" s="4" t="s">
        <v>643</v>
      </c>
      <c r="B221" s="5" t="s">
        <v>643</v>
      </c>
      <c r="C221" s="5" t="s">
        <v>29</v>
      </c>
      <c r="D221" s="5" t="s">
        <v>30</v>
      </c>
      <c r="E221" s="5" t="s">
        <v>95</v>
      </c>
      <c r="F221" s="9">
        <v>13</v>
      </c>
      <c r="G221" s="9">
        <v>140</v>
      </c>
      <c r="H221" s="5" t="s">
        <v>20</v>
      </c>
      <c r="I221" s="5" t="s">
        <v>644</v>
      </c>
      <c r="J221" s="12" t="str">
        <f>HYPERLINK("https://www.boe.es/gazeta/dias/1805/02/12/pdfs/GMD-1805-13.pdf#page=8","Abrir facsímil")</f>
        <v>Abrir facsímil</v>
      </c>
      <c r="K221" s="15" t="s">
        <v>22</v>
      </c>
    </row>
    <row r="222" spans="1:11" ht="42" customHeight="1">
      <c r="A222" s="4" t="s">
        <v>643</v>
      </c>
      <c r="B222" s="5" t="s">
        <v>643</v>
      </c>
      <c r="C222" s="5" t="s">
        <v>29</v>
      </c>
      <c r="D222" s="5" t="s">
        <v>30</v>
      </c>
      <c r="E222" s="5" t="s">
        <v>645</v>
      </c>
      <c r="F222" s="9">
        <v>55</v>
      </c>
      <c r="G222" s="9">
        <v>588</v>
      </c>
      <c r="H222" s="5" t="s">
        <v>20</v>
      </c>
      <c r="I222" s="5" t="s">
        <v>646</v>
      </c>
      <c r="J222" s="12" t="str">
        <f>HYPERLINK("https://www.boe.es/gazeta/dias/1805/07/09/pdfs/GMD-1805-55.pdf#page=8","Abrir facsímil")</f>
        <v>Abrir facsímil</v>
      </c>
      <c r="K222" s="15" t="s">
        <v>22</v>
      </c>
    </row>
    <row r="223" spans="1:11" ht="42" customHeight="1">
      <c r="A223" s="4" t="s">
        <v>647</v>
      </c>
      <c r="B223" s="5" t="s">
        <v>648</v>
      </c>
      <c r="C223" s="5" t="s">
        <v>17</v>
      </c>
      <c r="D223" s="5" t="s">
        <v>18</v>
      </c>
      <c r="E223" s="5" t="s">
        <v>649</v>
      </c>
      <c r="F223" s="9">
        <v>7</v>
      </c>
      <c r="G223" s="9">
        <v>77</v>
      </c>
      <c r="H223" s="5" t="s">
        <v>20</v>
      </c>
      <c r="I223" s="5" t="s">
        <v>650</v>
      </c>
      <c r="J223" s="12" t="str">
        <f>HYPERLINK("https://www.boe.es/gazeta/dias/1805/01/22/pdfs/GMD-1805-7.pdf#page=9","Abrir facsímil")</f>
        <v>Abrir facsímil</v>
      </c>
      <c r="K223" s="15" t="s">
        <v>22</v>
      </c>
    </row>
    <row r="224" spans="1:11" ht="42" customHeight="1">
      <c r="A224" s="4" t="s">
        <v>651</v>
      </c>
      <c r="B224" s="5" t="s">
        <v>652</v>
      </c>
      <c r="C224" s="5" t="s">
        <v>17</v>
      </c>
      <c r="D224" s="5" t="s">
        <v>18</v>
      </c>
      <c r="E224" s="5" t="s">
        <v>63</v>
      </c>
      <c r="F224" s="9">
        <v>101</v>
      </c>
      <c r="G224" s="9">
        <v>1093</v>
      </c>
      <c r="H224" s="5" t="s">
        <v>20</v>
      </c>
      <c r="I224" s="5" t="s">
        <v>653</v>
      </c>
      <c r="J224" s="12" t="str">
        <f>HYPERLINK("https://www.boe.es/gazeta/dias/1805/12/17/pdfs/GMD-1805-101.pdf#page=9","Abrir facsímil")</f>
        <v>Abrir facsímil</v>
      </c>
      <c r="K224" s="15" t="s">
        <v>22</v>
      </c>
    </row>
    <row r="225" spans="1:11" ht="42" customHeight="1">
      <c r="A225" s="4" t="s">
        <v>654</v>
      </c>
      <c r="B225" s="5" t="s">
        <v>654</v>
      </c>
      <c r="C225" s="5" t="s">
        <v>35</v>
      </c>
      <c r="D225" s="5" t="s">
        <v>36</v>
      </c>
      <c r="E225" s="5" t="s">
        <v>506</v>
      </c>
      <c r="F225" s="9">
        <v>80</v>
      </c>
      <c r="G225" s="9">
        <v>849</v>
      </c>
      <c r="H225" s="5" t="s">
        <v>20</v>
      </c>
      <c r="I225" s="5" t="s">
        <v>655</v>
      </c>
      <c r="J225" s="12" t="str">
        <f>HYPERLINK("https://www.boe.es/gazeta/dias/1805/10/04/pdfs/GMD-1805-80.pdf#page=9","Abrir facsímil")</f>
        <v>Abrir facsímil</v>
      </c>
      <c r="K225" s="15" t="s">
        <v>22</v>
      </c>
    </row>
    <row r="226" spans="1:11" ht="42" customHeight="1">
      <c r="A226" s="4" t="s">
        <v>656</v>
      </c>
      <c r="B226" s="5" t="s">
        <v>656</v>
      </c>
      <c r="C226" s="5" t="s">
        <v>35</v>
      </c>
      <c r="D226" s="5" t="s">
        <v>36</v>
      </c>
      <c r="E226" s="5" t="s">
        <v>286</v>
      </c>
      <c r="F226" s="9">
        <v>48</v>
      </c>
      <c r="G226" s="9">
        <v>521</v>
      </c>
      <c r="H226" s="5" t="s">
        <v>20</v>
      </c>
      <c r="I226" s="5" t="s">
        <v>657</v>
      </c>
      <c r="J226" s="12" t="str">
        <f>HYPERLINK("https://www.boe.es/gazeta/dias/1805/06/14/pdfs/GMD-1805-48.pdf#page=9","Abrir facsímil")</f>
        <v>Abrir facsímil</v>
      </c>
      <c r="K226" s="15" t="s">
        <v>22</v>
      </c>
    </row>
    <row r="227" spans="1:11" ht="42" customHeight="1">
      <c r="A227" s="4" t="s">
        <v>658</v>
      </c>
      <c r="B227" s="5" t="s">
        <v>659</v>
      </c>
      <c r="C227" s="5" t="s">
        <v>35</v>
      </c>
      <c r="D227" s="5" t="s">
        <v>36</v>
      </c>
      <c r="E227" s="5" t="s">
        <v>422</v>
      </c>
      <c r="F227" s="9">
        <v>74</v>
      </c>
      <c r="G227" s="9">
        <v>786</v>
      </c>
      <c r="H227" s="5" t="s">
        <v>20</v>
      </c>
      <c r="I227" s="5" t="s">
        <v>660</v>
      </c>
      <c r="J227" s="12" t="str">
        <f>HYPERLINK("https://www.boe.es/gazeta/dias/1805/09/13/pdfs/GMD-1805-74.pdf#page=10","Abrir facsímil")</f>
        <v>Abrir facsímil</v>
      </c>
      <c r="K227" s="15" t="s">
        <v>22</v>
      </c>
    </row>
    <row r="228" spans="1:11" ht="42" customHeight="1">
      <c r="A228" s="4" t="s">
        <v>661</v>
      </c>
      <c r="B228" s="5" t="s">
        <v>662</v>
      </c>
      <c r="C228" s="5" t="s">
        <v>17</v>
      </c>
      <c r="D228" s="5" t="s">
        <v>18</v>
      </c>
      <c r="E228" s="5" t="s">
        <v>82</v>
      </c>
      <c r="F228" s="9">
        <v>25</v>
      </c>
      <c r="G228" s="9">
        <v>267</v>
      </c>
      <c r="H228" s="5" t="s">
        <v>20</v>
      </c>
      <c r="I228" s="5" t="s">
        <v>663</v>
      </c>
      <c r="J228" s="12" t="str">
        <f>HYPERLINK("https://www.boe.es/gazeta/dias/1805/03/26/pdfs/GMD-1805-25.pdf#page=7","Abrir facsímil")</f>
        <v>Abrir facsímil</v>
      </c>
      <c r="K228" s="15" t="s">
        <v>22</v>
      </c>
    </row>
    <row r="229" spans="1:11" ht="42" customHeight="1">
      <c r="A229" s="4" t="s">
        <v>664</v>
      </c>
      <c r="B229" s="5" t="s">
        <v>665</v>
      </c>
      <c r="C229" s="5" t="s">
        <v>17</v>
      </c>
      <c r="D229" s="5" t="s">
        <v>18</v>
      </c>
      <c r="E229" s="5" t="s">
        <v>48</v>
      </c>
      <c r="F229" s="9">
        <v>35</v>
      </c>
      <c r="G229" s="9">
        <v>378</v>
      </c>
      <c r="H229" s="5" t="s">
        <v>20</v>
      </c>
      <c r="I229" s="5" t="s">
        <v>666</v>
      </c>
      <c r="J229" s="12" t="str">
        <f>HYPERLINK("https://www.boe.es/gazeta/dias/1805/04/30/pdfs/GMD-1805-35.pdf#page=10","Abrir facsímil")</f>
        <v>Abrir facsímil</v>
      </c>
      <c r="K229" s="15" t="s">
        <v>22</v>
      </c>
    </row>
    <row r="230" spans="1:11" ht="42" customHeight="1">
      <c r="A230" s="4" t="s">
        <v>667</v>
      </c>
      <c r="B230" s="5" t="s">
        <v>668</v>
      </c>
      <c r="C230" s="5" t="s">
        <v>35</v>
      </c>
      <c r="D230" s="5" t="s">
        <v>36</v>
      </c>
      <c r="E230" s="5" t="s">
        <v>669</v>
      </c>
      <c r="F230" s="9">
        <v>84</v>
      </c>
      <c r="G230" s="9">
        <v>890</v>
      </c>
      <c r="H230" s="5" t="s">
        <v>20</v>
      </c>
      <c r="I230" s="5" t="s">
        <v>670</v>
      </c>
      <c r="J230" s="12" t="str">
        <f>HYPERLINK("https://www.boe.es/gazeta/dias/1805/10/18/pdfs/GMD-1805-84.pdf#page=6","Abrir facsímil")</f>
        <v>Abrir facsímil</v>
      </c>
      <c r="K230" s="15" t="s">
        <v>22</v>
      </c>
    </row>
    <row r="231" spans="1:11" ht="42" customHeight="1">
      <c r="A231" s="4" t="s">
        <v>671</v>
      </c>
      <c r="B231" s="5" t="s">
        <v>672</v>
      </c>
      <c r="C231" s="5" t="s">
        <v>29</v>
      </c>
      <c r="D231" s="5" t="s">
        <v>30</v>
      </c>
      <c r="E231" s="5" t="s">
        <v>673</v>
      </c>
      <c r="F231" s="9">
        <v>32</v>
      </c>
      <c r="G231" s="9">
        <v>344</v>
      </c>
      <c r="H231" s="5" t="s">
        <v>20</v>
      </c>
      <c r="I231" s="5" t="s">
        <v>674</v>
      </c>
      <c r="J231" s="12" t="str">
        <f>HYPERLINK("https://www.boe.es/gazeta/dias/1805/04/19/pdfs/GMD-1805-32.pdf#page=8","Abrir facsímil")</f>
        <v>Abrir facsímil</v>
      </c>
      <c r="K231" s="15" t="s">
        <v>22</v>
      </c>
    </row>
    <row r="232" spans="1:11" ht="42" customHeight="1">
      <c r="A232" s="4" t="s">
        <v>675</v>
      </c>
      <c r="B232" s="5" t="s">
        <v>675</v>
      </c>
      <c r="C232" s="5" t="s">
        <v>35</v>
      </c>
      <c r="D232" s="5" t="s">
        <v>36</v>
      </c>
      <c r="E232" s="5" t="s">
        <v>19</v>
      </c>
      <c r="F232" s="9">
        <v>86</v>
      </c>
      <c r="G232" s="9">
        <v>914</v>
      </c>
      <c r="H232" s="5" t="s">
        <v>20</v>
      </c>
      <c r="I232" s="5" t="s">
        <v>676</v>
      </c>
      <c r="J232" s="12" t="str">
        <f>HYPERLINK("https://www.boe.es/gazeta/dias/1805/10/25/pdfs/GMD-1805-86.pdf#page=10","Abrir facsímil")</f>
        <v>Abrir facsímil</v>
      </c>
      <c r="K232" s="15" t="s">
        <v>22</v>
      </c>
    </row>
    <row r="233" spans="1:11" ht="42" customHeight="1">
      <c r="A233" s="4" t="s">
        <v>677</v>
      </c>
      <c r="B233" s="5" t="s">
        <v>677</v>
      </c>
      <c r="C233" s="5" t="s">
        <v>184</v>
      </c>
      <c r="D233" s="5" t="s">
        <v>86</v>
      </c>
      <c r="E233" s="5" t="s">
        <v>207</v>
      </c>
      <c r="F233" s="9">
        <v>76</v>
      </c>
      <c r="G233" s="9">
        <v>806</v>
      </c>
      <c r="H233" s="5" t="s">
        <v>20</v>
      </c>
      <c r="I233" s="5" t="s">
        <v>678</v>
      </c>
      <c r="J233" s="12" t="str">
        <f>HYPERLINK("https://www.boe.es/gazeta/dias/1805/09/20/pdfs/GMD-1805-76.pdf#page=6","Abrir facsímil")</f>
        <v>Abrir facsímil</v>
      </c>
      <c r="K233" s="15" t="s">
        <v>22</v>
      </c>
    </row>
    <row r="234" spans="1:11" ht="42" customHeight="1">
      <c r="A234" s="4" t="s">
        <v>679</v>
      </c>
      <c r="B234" s="5" t="s">
        <v>680</v>
      </c>
      <c r="C234" s="5" t="s">
        <v>35</v>
      </c>
      <c r="D234" s="5" t="s">
        <v>36</v>
      </c>
      <c r="E234" s="5" t="s">
        <v>63</v>
      </c>
      <c r="F234" s="9">
        <v>101</v>
      </c>
      <c r="G234" s="9">
        <v>1092</v>
      </c>
      <c r="H234" s="5" t="s">
        <v>20</v>
      </c>
      <c r="I234" s="5" t="s">
        <v>681</v>
      </c>
      <c r="J234" s="12" t="str">
        <f>HYPERLINK("https://www.boe.es/gazeta/dias/1805/12/17/pdfs/GMD-1805-101.pdf#page=8","Abrir facsímil")</f>
        <v>Abrir facsímil</v>
      </c>
      <c r="K234" s="15" t="s">
        <v>22</v>
      </c>
    </row>
    <row r="235" spans="1:11" ht="42" customHeight="1">
      <c r="A235" s="4" t="s">
        <v>682</v>
      </c>
      <c r="B235" s="5" t="s">
        <v>683</v>
      </c>
      <c r="C235" s="5" t="s">
        <v>35</v>
      </c>
      <c r="D235" s="5" t="s">
        <v>36</v>
      </c>
      <c r="E235" s="5" t="s">
        <v>59</v>
      </c>
      <c r="F235" s="9">
        <v>21</v>
      </c>
      <c r="G235" s="9">
        <v>220</v>
      </c>
      <c r="H235" s="5" t="s">
        <v>20</v>
      </c>
      <c r="I235" s="5" t="s">
        <v>684</v>
      </c>
      <c r="J235" s="12" t="str">
        <f>HYPERLINK("https://www.boe.es/gazeta/dias/1805/03/12/pdfs/GMD-1805-21.pdf#page=8","Abrir facsímil")</f>
        <v>Abrir facsímil</v>
      </c>
      <c r="K235" s="15" t="s">
        <v>22</v>
      </c>
    </row>
    <row r="236" spans="1:11" ht="42" customHeight="1">
      <c r="A236" s="4" t="s">
        <v>685</v>
      </c>
      <c r="B236" s="5" t="s">
        <v>686</v>
      </c>
      <c r="C236" s="5" t="s">
        <v>17</v>
      </c>
      <c r="D236" s="5" t="s">
        <v>18</v>
      </c>
      <c r="E236" s="5" t="s">
        <v>352</v>
      </c>
      <c r="F236" s="9">
        <v>60</v>
      </c>
      <c r="G236" s="9">
        <v>646</v>
      </c>
      <c r="H236" s="5" t="s">
        <v>20</v>
      </c>
      <c r="I236" s="5" t="s">
        <v>687</v>
      </c>
      <c r="J236" s="12" t="str">
        <f>HYPERLINK("https://www.boe.es/gazeta/dias/1805/07/26/pdfs/GMD-1805-60.pdf#page=10","Abrir facsímil")</f>
        <v>Abrir facsímil</v>
      </c>
      <c r="K236" s="15" t="s">
        <v>22</v>
      </c>
    </row>
    <row r="237" spans="1:11" ht="42" customHeight="1">
      <c r="A237" s="4" t="s">
        <v>688</v>
      </c>
      <c r="B237" s="5" t="s">
        <v>689</v>
      </c>
      <c r="C237" s="5" t="s">
        <v>35</v>
      </c>
      <c r="D237" s="5" t="s">
        <v>36</v>
      </c>
      <c r="E237" s="5" t="s">
        <v>281</v>
      </c>
      <c r="F237" s="9">
        <v>15</v>
      </c>
      <c r="G237" s="9">
        <v>158</v>
      </c>
      <c r="H237" s="5" t="s">
        <v>20</v>
      </c>
      <c r="I237" s="5" t="s">
        <v>690</v>
      </c>
      <c r="J237" s="12" t="str">
        <f>HYPERLINK("https://www.boe.es/gazeta/dias/1805/02/19/pdfs/GMD-1805-15.pdf#page=10","Abrir facsímil")</f>
        <v>Abrir facsímil</v>
      </c>
      <c r="K237" s="15" t="s">
        <v>22</v>
      </c>
    </row>
    <row r="238" spans="1:11" ht="42" customHeight="1">
      <c r="A238" s="4" t="s">
        <v>691</v>
      </c>
      <c r="B238" s="5" t="s">
        <v>692</v>
      </c>
      <c r="C238" s="5" t="s">
        <v>80</v>
      </c>
      <c r="D238" s="5" t="s">
        <v>81</v>
      </c>
      <c r="E238" s="5" t="s">
        <v>215</v>
      </c>
      <c r="F238" s="9">
        <v>87</v>
      </c>
      <c r="G238" s="9">
        <v>926</v>
      </c>
      <c r="H238" s="5" t="s">
        <v>20</v>
      </c>
      <c r="I238" s="5" t="s">
        <v>693</v>
      </c>
      <c r="J238" s="12" t="str">
        <f>HYPERLINK("https://www.boe.es/gazeta/dias/1805/10/29/pdfs/GMD-1805-87.pdf#page=10","Abrir facsímil")</f>
        <v>Abrir facsímil</v>
      </c>
      <c r="K238" s="15" t="s">
        <v>22</v>
      </c>
    </row>
    <row r="239" spans="1:11" ht="42" customHeight="1">
      <c r="A239" s="4" t="s">
        <v>694</v>
      </c>
      <c r="B239" s="5" t="s">
        <v>695</v>
      </c>
      <c r="C239" s="5" t="s">
        <v>35</v>
      </c>
      <c r="D239" s="5" t="s">
        <v>36</v>
      </c>
      <c r="E239" s="5" t="s">
        <v>192</v>
      </c>
      <c r="F239" s="9">
        <v>105</v>
      </c>
      <c r="G239" s="9">
        <v>1137</v>
      </c>
      <c r="H239" s="5" t="s">
        <v>20</v>
      </c>
      <c r="I239" s="5" t="s">
        <v>696</v>
      </c>
      <c r="J239" s="12" t="str">
        <f>HYPERLINK("https://www.boe.es/gazeta/dias/1805/12/31/pdfs/GMD-1805-105.pdf#page=9","Abrir facsímil")</f>
        <v>Abrir facsímil</v>
      </c>
      <c r="K239" s="15" t="s">
        <v>22</v>
      </c>
    </row>
    <row r="240" spans="1:11" ht="42" customHeight="1">
      <c r="A240" s="4" t="s">
        <v>697</v>
      </c>
      <c r="B240" s="5" t="s">
        <v>698</v>
      </c>
      <c r="C240" s="5" t="s">
        <v>35</v>
      </c>
      <c r="D240" s="5" t="s">
        <v>36</v>
      </c>
      <c r="E240" s="5" t="s">
        <v>506</v>
      </c>
      <c r="F240" s="9">
        <v>80</v>
      </c>
      <c r="G240" s="9">
        <v>850</v>
      </c>
      <c r="H240" s="5" t="s">
        <v>20</v>
      </c>
      <c r="I240" s="5" t="s">
        <v>699</v>
      </c>
      <c r="J240" s="12" t="str">
        <f>HYPERLINK("https://www.boe.es/gazeta/dias/1805/10/04/pdfs/GMD-1805-80.pdf#page=10","Abrir facsímil")</f>
        <v>Abrir facsímil</v>
      </c>
      <c r="K240" s="15" t="s">
        <v>22</v>
      </c>
    </row>
    <row r="241" spans="1:11" ht="42" customHeight="1">
      <c r="A241" s="4" t="s">
        <v>700</v>
      </c>
      <c r="B241" s="5" t="s">
        <v>701</v>
      </c>
      <c r="C241" s="5" t="s">
        <v>35</v>
      </c>
      <c r="D241" s="5" t="s">
        <v>36</v>
      </c>
      <c r="E241" s="5" t="s">
        <v>91</v>
      </c>
      <c r="F241" s="9">
        <v>28</v>
      </c>
      <c r="G241" s="9">
        <v>301</v>
      </c>
      <c r="H241" s="5" t="s">
        <v>20</v>
      </c>
      <c r="I241" s="5" t="s">
        <v>702</v>
      </c>
      <c r="J241" s="12" t="str">
        <f>HYPERLINK("https://www.boe.es/gazeta/dias/1805/04/05/pdfs/GMD-1805-28.pdf#page=9","Abrir facsímil")</f>
        <v>Abrir facsímil</v>
      </c>
      <c r="K241" s="15" t="s">
        <v>22</v>
      </c>
    </row>
    <row r="242" spans="1:11" ht="42" customHeight="1">
      <c r="A242" s="4" t="s">
        <v>703</v>
      </c>
      <c r="B242" s="5" t="s">
        <v>704</v>
      </c>
      <c r="C242" s="5" t="s">
        <v>35</v>
      </c>
      <c r="D242" s="5" t="s">
        <v>36</v>
      </c>
      <c r="E242" s="5" t="s">
        <v>387</v>
      </c>
      <c r="F242" s="9">
        <v>4</v>
      </c>
      <c r="G242" s="9">
        <v>42</v>
      </c>
      <c r="H242" s="5" t="s">
        <v>20</v>
      </c>
      <c r="I242" s="5" t="s">
        <v>705</v>
      </c>
      <c r="J242" s="12" t="str">
        <f>HYPERLINK("https://www.boe.es/gazeta/dias/1805/01/11/pdfs/GMD-1805-4.pdf#page=10","Abrir facsímil")</f>
        <v>Abrir facsímil</v>
      </c>
      <c r="K242" s="15" t="s">
        <v>22</v>
      </c>
    </row>
    <row r="243" spans="1:11" ht="42" customHeight="1">
      <c r="A243" s="4" t="s">
        <v>706</v>
      </c>
      <c r="B243" s="5" t="s">
        <v>707</v>
      </c>
      <c r="C243" s="5" t="s">
        <v>85</v>
      </c>
      <c r="D243" s="5" t="s">
        <v>86</v>
      </c>
      <c r="E243" s="5" t="s">
        <v>71</v>
      </c>
      <c r="F243" s="9">
        <v>33</v>
      </c>
      <c r="G243" s="9">
        <v>352</v>
      </c>
      <c r="H243" s="5" t="s">
        <v>20</v>
      </c>
      <c r="I243" s="5" t="s">
        <v>708</v>
      </c>
      <c r="J243" s="12" t="str">
        <f>HYPERLINK("https://www.boe.es/gazeta/dias/1805/04/23/pdfs/GMD-1805-33.pdf#page=8","Abrir facsímil")</f>
        <v>Abrir facsímil</v>
      </c>
      <c r="K243" s="15" t="s">
        <v>22</v>
      </c>
    </row>
    <row r="244" spans="1:11" ht="42" customHeight="1">
      <c r="A244" s="4" t="s">
        <v>709</v>
      </c>
      <c r="B244" s="5" t="s">
        <v>710</v>
      </c>
      <c r="C244" s="5" t="s">
        <v>35</v>
      </c>
      <c r="D244" s="5" t="s">
        <v>36</v>
      </c>
      <c r="E244" s="5" t="s">
        <v>711</v>
      </c>
      <c r="F244" s="9">
        <v>63</v>
      </c>
      <c r="G244" s="9">
        <v>674</v>
      </c>
      <c r="H244" s="5" t="s">
        <v>20</v>
      </c>
      <c r="I244" s="5" t="s">
        <v>712</v>
      </c>
      <c r="J244" s="12" t="str">
        <f>HYPERLINK("https://www.boe.es/gazeta/dias/1805/08/06/pdfs/GMD-1805-63.pdf#page=10","Abrir facsímil")</f>
        <v>Abrir facsímil</v>
      </c>
      <c r="K244" s="15" t="s">
        <v>22</v>
      </c>
    </row>
    <row r="245" spans="1:11" ht="42" customHeight="1">
      <c r="A245" s="4" t="s">
        <v>713</v>
      </c>
      <c r="B245" s="5" t="s">
        <v>714</v>
      </c>
      <c r="C245" s="5" t="s">
        <v>35</v>
      </c>
      <c r="D245" s="5" t="s">
        <v>36</v>
      </c>
      <c r="E245" s="5" t="s">
        <v>506</v>
      </c>
      <c r="F245" s="9">
        <v>80</v>
      </c>
      <c r="G245" s="9">
        <v>849</v>
      </c>
      <c r="H245" s="5" t="s">
        <v>20</v>
      </c>
      <c r="I245" s="5" t="s">
        <v>715</v>
      </c>
      <c r="J245" s="12" t="str">
        <f>HYPERLINK("https://www.boe.es/gazeta/dias/1805/10/04/pdfs/GMD-1805-80.pdf#page=9","Abrir facsímil")</f>
        <v>Abrir facsímil</v>
      </c>
      <c r="K245" s="15" t="s">
        <v>22</v>
      </c>
    </row>
    <row r="246" spans="1:11" ht="42" customHeight="1">
      <c r="A246" s="4" t="s">
        <v>716</v>
      </c>
      <c r="B246" s="5" t="s">
        <v>716</v>
      </c>
      <c r="C246" s="5" t="s">
        <v>80</v>
      </c>
      <c r="D246" s="5" t="s">
        <v>81</v>
      </c>
      <c r="E246" s="5" t="s">
        <v>387</v>
      </c>
      <c r="F246" s="9">
        <v>4</v>
      </c>
      <c r="G246" s="9">
        <v>34</v>
      </c>
      <c r="H246" s="5" t="s">
        <v>20</v>
      </c>
      <c r="I246" s="5" t="s">
        <v>717</v>
      </c>
      <c r="J246" s="12" t="str">
        <f>HYPERLINK("https://www.boe.es/gazeta/dias/1805/01/11/pdfs/GMD-1805-4.pdf#page=2","Abrir facsímil")</f>
        <v>Abrir facsímil</v>
      </c>
      <c r="K246" s="15" t="s">
        <v>22</v>
      </c>
    </row>
    <row r="247" spans="1:11" ht="42" customHeight="1">
      <c r="A247" s="4" t="s">
        <v>716</v>
      </c>
      <c r="B247" s="5" t="s">
        <v>716</v>
      </c>
      <c r="C247" s="5" t="s">
        <v>184</v>
      </c>
      <c r="D247" s="5" t="s">
        <v>86</v>
      </c>
      <c r="E247" s="5" t="s">
        <v>91</v>
      </c>
      <c r="F247" s="9">
        <v>28</v>
      </c>
      <c r="G247" s="9">
        <v>295</v>
      </c>
      <c r="H247" s="5" t="s">
        <v>20</v>
      </c>
      <c r="I247" s="5" t="s">
        <v>718</v>
      </c>
      <c r="J247" s="12" t="str">
        <f>HYPERLINK("https://www.boe.es/gazeta/dias/1805/04/05/pdfs/GMD-1805-28.pdf#page=3","Abrir facsímil")</f>
        <v>Abrir facsímil</v>
      </c>
      <c r="K247" s="15" t="s">
        <v>22</v>
      </c>
    </row>
    <row r="248" spans="1:11" ht="42" customHeight="1">
      <c r="A248" s="4" t="s">
        <v>719</v>
      </c>
      <c r="B248" s="5" t="s">
        <v>720</v>
      </c>
      <c r="C248" s="5" t="s">
        <v>35</v>
      </c>
      <c r="D248" s="5" t="s">
        <v>36</v>
      </c>
      <c r="E248" s="5" t="s">
        <v>673</v>
      </c>
      <c r="F248" s="9">
        <v>32</v>
      </c>
      <c r="G248" s="9">
        <v>342</v>
      </c>
      <c r="H248" s="5" t="s">
        <v>20</v>
      </c>
      <c r="I248" s="5" t="s">
        <v>721</v>
      </c>
      <c r="J248" s="12" t="str">
        <f>HYPERLINK("https://www.boe.es/gazeta/dias/1805/04/19/pdfs/GMD-1805-32.pdf#page=6","Abrir facsímil")</f>
        <v>Abrir facsímil</v>
      </c>
      <c r="K248" s="15" t="s">
        <v>22</v>
      </c>
    </row>
    <row r="249" spans="1:11" ht="42" customHeight="1">
      <c r="A249" s="4" t="s">
        <v>722</v>
      </c>
      <c r="B249" s="5" t="s">
        <v>722</v>
      </c>
      <c r="C249" s="5" t="s">
        <v>80</v>
      </c>
      <c r="D249" s="5" t="s">
        <v>81</v>
      </c>
      <c r="E249" s="5" t="s">
        <v>512</v>
      </c>
      <c r="F249" s="9">
        <v>100</v>
      </c>
      <c r="G249" s="9">
        <v>1076</v>
      </c>
      <c r="H249" s="5" t="s">
        <v>20</v>
      </c>
      <c r="I249" s="5" t="s">
        <v>723</v>
      </c>
      <c r="J249" s="12" t="str">
        <f>HYPERLINK("https://www.boe.es/gazeta/dias/1805/12/13/pdfs/GMD-1805-100.pdf#page=4","Abrir facsímil")</f>
        <v>Abrir facsímil</v>
      </c>
      <c r="K249" s="15" t="s">
        <v>22</v>
      </c>
    </row>
    <row r="250" spans="1:11" ht="42" customHeight="1">
      <c r="A250" s="4" t="s">
        <v>724</v>
      </c>
      <c r="B250" s="5" t="s">
        <v>725</v>
      </c>
      <c r="C250" s="5" t="s">
        <v>35</v>
      </c>
      <c r="D250" s="5" t="s">
        <v>36</v>
      </c>
      <c r="E250" s="5" t="s">
        <v>138</v>
      </c>
      <c r="F250" s="9">
        <v>102</v>
      </c>
      <c r="G250" s="9">
        <v>1106</v>
      </c>
      <c r="H250" s="5" t="s">
        <v>20</v>
      </c>
      <c r="I250" s="5" t="s">
        <v>726</v>
      </c>
      <c r="J250" s="12" t="str">
        <f>HYPERLINK("https://www.boe.es/gazeta/dias/1805/12/20/pdfs/GMD-1805-102.pdf#page=10","Abrir facsímil")</f>
        <v>Abrir facsímil</v>
      </c>
      <c r="K250" s="15" t="s">
        <v>22</v>
      </c>
    </row>
    <row r="251" spans="1:11" ht="42" customHeight="1">
      <c r="A251" s="4" t="s">
        <v>727</v>
      </c>
      <c r="B251" s="5" t="s">
        <v>728</v>
      </c>
      <c r="C251" s="5" t="s">
        <v>17</v>
      </c>
      <c r="D251" s="5" t="s">
        <v>18</v>
      </c>
      <c r="E251" s="5" t="s">
        <v>729</v>
      </c>
      <c r="F251" s="9">
        <v>61</v>
      </c>
      <c r="G251" s="9">
        <v>654</v>
      </c>
      <c r="H251" s="5" t="s">
        <v>20</v>
      </c>
      <c r="I251" s="5" t="s">
        <v>730</v>
      </c>
      <c r="J251" s="12" t="str">
        <f>HYPERLINK("https://www.boe.es/gazeta/dias/1805/07/30/pdfs/GMD-1805-61.pdf#page=6","Abrir facsímil")</f>
        <v>Abrir facsímil</v>
      </c>
      <c r="K251" s="15" t="s">
        <v>22</v>
      </c>
    </row>
    <row r="252" spans="1:11" ht="42" customHeight="1">
      <c r="A252" s="4" t="s">
        <v>731</v>
      </c>
      <c r="B252" s="5" t="s">
        <v>732</v>
      </c>
      <c r="C252" s="5" t="s">
        <v>17</v>
      </c>
      <c r="D252" s="5" t="s">
        <v>18</v>
      </c>
      <c r="E252" s="5" t="s">
        <v>733</v>
      </c>
      <c r="F252" s="9">
        <v>45</v>
      </c>
      <c r="G252" s="9">
        <v>484</v>
      </c>
      <c r="H252" s="5" t="s">
        <v>20</v>
      </c>
      <c r="I252" s="5" t="s">
        <v>734</v>
      </c>
      <c r="J252" s="12" t="str">
        <f>HYPERLINK("https://www.boe.es/gazeta/dias/1805/06/04/pdfs/GMD-1805-45.pdf#page=8","Abrir facsímil")</f>
        <v>Abrir facsímil</v>
      </c>
      <c r="K252" s="15" t="s">
        <v>22</v>
      </c>
    </row>
    <row r="253" spans="1:11" ht="42" customHeight="1">
      <c r="A253" s="4" t="s">
        <v>735</v>
      </c>
      <c r="B253" s="5" t="s">
        <v>736</v>
      </c>
      <c r="C253" s="5" t="s">
        <v>80</v>
      </c>
      <c r="D253" s="5" t="s">
        <v>81</v>
      </c>
      <c r="E253" s="5" t="s">
        <v>132</v>
      </c>
      <c r="F253" s="9">
        <v>2</v>
      </c>
      <c r="G253" s="9">
        <v>19</v>
      </c>
      <c r="H253" s="5" t="s">
        <v>20</v>
      </c>
      <c r="I253" s="5" t="s">
        <v>737</v>
      </c>
      <c r="J253" s="12" t="str">
        <f>HYPERLINK("https://www.boe.es/gazeta/dias/1805/01/04/pdfs/GMD-1805-2.pdf#page=7","Abrir facsímil")</f>
        <v>Abrir facsímil</v>
      </c>
      <c r="K253" s="15" t="s">
        <v>22</v>
      </c>
    </row>
    <row r="254" spans="1:11" ht="42" customHeight="1">
      <c r="A254" s="4" t="s">
        <v>738</v>
      </c>
      <c r="B254" s="5" t="s">
        <v>739</v>
      </c>
      <c r="C254" s="5" t="s">
        <v>35</v>
      </c>
      <c r="D254" s="5" t="s">
        <v>36</v>
      </c>
      <c r="E254" s="5" t="s">
        <v>422</v>
      </c>
      <c r="F254" s="9">
        <v>74</v>
      </c>
      <c r="G254" s="9">
        <v>784</v>
      </c>
      <c r="H254" s="5" t="s">
        <v>20</v>
      </c>
      <c r="I254" s="5" t="s">
        <v>740</v>
      </c>
      <c r="J254" s="12" t="str">
        <f>HYPERLINK("https://www.boe.es/gazeta/dias/1805/09/13/pdfs/GMD-1805-74.pdf#page=8","Abrir facsímil")</f>
        <v>Abrir facsímil</v>
      </c>
      <c r="K254" s="15" t="s">
        <v>22</v>
      </c>
    </row>
    <row r="255" spans="1:11" ht="42" customHeight="1">
      <c r="A255" s="4" t="s">
        <v>738</v>
      </c>
      <c r="B255" s="5" t="s">
        <v>739</v>
      </c>
      <c r="C255" s="5" t="s">
        <v>80</v>
      </c>
      <c r="D255" s="5" t="s">
        <v>81</v>
      </c>
      <c r="E255" s="5" t="s">
        <v>552</v>
      </c>
      <c r="F255" s="9">
        <v>94</v>
      </c>
      <c r="G255" s="9">
        <v>1005</v>
      </c>
      <c r="H255" s="5" t="s">
        <v>20</v>
      </c>
      <c r="I255" s="5" t="s">
        <v>741</v>
      </c>
      <c r="J255" s="12" t="str">
        <f>HYPERLINK("https://www.boe.es/gazeta/dias/1805/11/22/pdfs/GMD-1805-94.pdf#page=5","Abrir facsímil")</f>
        <v>Abrir facsímil</v>
      </c>
      <c r="K255" s="15" t="s">
        <v>22</v>
      </c>
    </row>
    <row r="256" spans="1:11" ht="42" customHeight="1">
      <c r="A256" s="4" t="s">
        <v>742</v>
      </c>
      <c r="B256" s="5" t="s">
        <v>743</v>
      </c>
      <c r="C256" s="5" t="s">
        <v>17</v>
      </c>
      <c r="D256" s="5" t="s">
        <v>18</v>
      </c>
      <c r="E256" s="5" t="s">
        <v>426</v>
      </c>
      <c r="F256" s="9">
        <v>75</v>
      </c>
      <c r="G256" s="9">
        <v>797</v>
      </c>
      <c r="H256" s="5" t="s">
        <v>20</v>
      </c>
      <c r="I256" s="5" t="s">
        <v>744</v>
      </c>
      <c r="J256" s="12" t="str">
        <f>HYPERLINK("https://www.boe.es/gazeta/dias/1805/09/17/pdfs/GMD-1805-75.pdf#page=9","Abrir facsímil")</f>
        <v>Abrir facsímil</v>
      </c>
      <c r="K256" s="15" t="s">
        <v>22</v>
      </c>
    </row>
    <row r="257" spans="1:11" ht="42" customHeight="1">
      <c r="A257" s="4" t="s">
        <v>742</v>
      </c>
      <c r="B257" s="5" t="s">
        <v>743</v>
      </c>
      <c r="C257" s="5" t="s">
        <v>29</v>
      </c>
      <c r="D257" s="5" t="s">
        <v>30</v>
      </c>
      <c r="E257" s="5" t="s">
        <v>669</v>
      </c>
      <c r="F257" s="9">
        <v>84</v>
      </c>
      <c r="G257" s="9">
        <v>892</v>
      </c>
      <c r="H257" s="5" t="s">
        <v>20</v>
      </c>
      <c r="I257" s="5" t="s">
        <v>745</v>
      </c>
      <c r="J257" s="12" t="str">
        <f>HYPERLINK("https://www.boe.es/gazeta/dias/1805/10/18/pdfs/GMD-1805-84.pdf#page=8","Abrir facsímil")</f>
        <v>Abrir facsímil</v>
      </c>
      <c r="K257" s="15" t="s">
        <v>22</v>
      </c>
    </row>
    <row r="258" spans="1:11" ht="42" customHeight="1">
      <c r="A258" s="4" t="s">
        <v>746</v>
      </c>
      <c r="B258" s="5" t="s">
        <v>747</v>
      </c>
      <c r="C258" s="5" t="s">
        <v>80</v>
      </c>
      <c r="D258" s="5" t="s">
        <v>81</v>
      </c>
      <c r="E258" s="5" t="s">
        <v>141</v>
      </c>
      <c r="F258" s="9">
        <v>82</v>
      </c>
      <c r="G258" s="9">
        <v>861</v>
      </c>
      <c r="H258" s="5" t="s">
        <v>20</v>
      </c>
      <c r="I258" s="5" t="s">
        <v>748</v>
      </c>
      <c r="J258" s="12" t="str">
        <f>HYPERLINK("https://www.boe.es/gazeta/dias/1805/10/11/pdfs/GMD-1805-82.pdf#page=1","Abrir facsímil")</f>
        <v>Abrir facsímil</v>
      </c>
      <c r="K258" s="15" t="s">
        <v>22</v>
      </c>
    </row>
    <row r="259" spans="1:11" ht="42" customHeight="1">
      <c r="A259" s="4" t="s">
        <v>749</v>
      </c>
      <c r="B259" s="5" t="s">
        <v>750</v>
      </c>
      <c r="C259" s="5" t="s">
        <v>80</v>
      </c>
      <c r="D259" s="5" t="s">
        <v>81</v>
      </c>
      <c r="E259" s="5" t="s">
        <v>387</v>
      </c>
      <c r="F259" s="9">
        <v>4</v>
      </c>
      <c r="G259" s="9">
        <v>40</v>
      </c>
      <c r="H259" s="5" t="s">
        <v>20</v>
      </c>
      <c r="I259" s="5" t="s">
        <v>751</v>
      </c>
      <c r="J259" s="12" t="str">
        <f>HYPERLINK("https://www.boe.es/gazeta/dias/1805/01/11/pdfs/GMD-1805-4.pdf#page=8","Abrir facsímil")</f>
        <v>Abrir facsímil</v>
      </c>
      <c r="K259" s="15" t="s">
        <v>22</v>
      </c>
    </row>
    <row r="260" spans="1:11" ht="42" customHeight="1">
      <c r="A260" s="4" t="s">
        <v>749</v>
      </c>
      <c r="B260" s="5" t="s">
        <v>750</v>
      </c>
      <c r="C260" s="5" t="s">
        <v>80</v>
      </c>
      <c r="D260" s="5" t="s">
        <v>81</v>
      </c>
      <c r="E260" s="5" t="s">
        <v>213</v>
      </c>
      <c r="F260" s="9">
        <v>56</v>
      </c>
      <c r="G260" s="9">
        <v>599</v>
      </c>
      <c r="H260" s="5" t="s">
        <v>20</v>
      </c>
      <c r="I260" s="5" t="s">
        <v>752</v>
      </c>
      <c r="J260" s="12" t="str">
        <f>HYPERLINK("https://www.boe.es/gazeta/dias/1805/07/12/pdfs/GMD-1805-56.pdf#page=7","Abrir facsímil")</f>
        <v>Abrir facsímil</v>
      </c>
      <c r="K260" s="15" t="s">
        <v>22</v>
      </c>
    </row>
    <row r="261" spans="1:11" ht="42" customHeight="1">
      <c r="A261" s="4" t="s">
        <v>749</v>
      </c>
      <c r="B261" s="5" t="s">
        <v>750</v>
      </c>
      <c r="C261" s="5" t="s">
        <v>29</v>
      </c>
      <c r="D261" s="5" t="s">
        <v>30</v>
      </c>
      <c r="E261" s="5" t="s">
        <v>181</v>
      </c>
      <c r="F261" s="9">
        <v>90</v>
      </c>
      <c r="G261" s="9">
        <v>968</v>
      </c>
      <c r="H261" s="5" t="s">
        <v>20</v>
      </c>
      <c r="I261" s="5" t="s">
        <v>753</v>
      </c>
      <c r="J261" s="12" t="str">
        <f>HYPERLINK("https://www.boe.es/gazeta/dias/1805/11/08/pdfs/GMD-1805-90.pdf#page=12","Abrir facsímil")</f>
        <v>Abrir facsímil</v>
      </c>
      <c r="K261" s="15" t="s">
        <v>22</v>
      </c>
    </row>
    <row r="262" spans="1:11" ht="42" customHeight="1">
      <c r="A262" s="4" t="s">
        <v>749</v>
      </c>
      <c r="B262" s="5" t="s">
        <v>750</v>
      </c>
      <c r="C262" s="5" t="s">
        <v>29</v>
      </c>
      <c r="D262" s="5" t="s">
        <v>30</v>
      </c>
      <c r="E262" s="5" t="s">
        <v>495</v>
      </c>
      <c r="F262" s="9">
        <v>103</v>
      </c>
      <c r="G262" s="9">
        <v>1116</v>
      </c>
      <c r="H262" s="5" t="s">
        <v>20</v>
      </c>
      <c r="I262" s="5" t="s">
        <v>754</v>
      </c>
      <c r="J262" s="12" t="str">
        <f>HYPERLINK("https://www.boe.es/gazeta/dias/1805/12/24/pdfs/GMD-1805-103.pdf#page=8","Abrir facsímil")</f>
        <v>Abrir facsímil</v>
      </c>
      <c r="K262" s="15" t="s">
        <v>22</v>
      </c>
    </row>
    <row r="263" spans="1:11" ht="42" customHeight="1">
      <c r="A263" s="4" t="s">
        <v>755</v>
      </c>
      <c r="B263" s="5" t="s">
        <v>756</v>
      </c>
      <c r="C263" s="5" t="s">
        <v>184</v>
      </c>
      <c r="D263" s="5" t="s">
        <v>86</v>
      </c>
      <c r="E263" s="5" t="s">
        <v>281</v>
      </c>
      <c r="F263" s="9">
        <v>15</v>
      </c>
      <c r="G263" s="9">
        <v>158</v>
      </c>
      <c r="H263" s="5" t="s">
        <v>20</v>
      </c>
      <c r="I263" s="5" t="s">
        <v>757</v>
      </c>
      <c r="J263" s="12" t="str">
        <f>HYPERLINK("https://www.boe.es/gazeta/dias/1805/02/19/pdfs/GMD-1805-15.pdf#page=10","Abrir facsímil")</f>
        <v>Abrir facsímil</v>
      </c>
      <c r="K263" s="15" t="s">
        <v>22</v>
      </c>
    </row>
    <row r="264" spans="1:11" ht="42" customHeight="1">
      <c r="A264" s="4" t="s">
        <v>758</v>
      </c>
      <c r="B264" s="5" t="s">
        <v>759</v>
      </c>
      <c r="C264" s="5" t="s">
        <v>17</v>
      </c>
      <c r="D264" s="5" t="s">
        <v>18</v>
      </c>
      <c r="E264" s="5" t="s">
        <v>196</v>
      </c>
      <c r="F264" s="9">
        <v>67</v>
      </c>
      <c r="G264" s="9">
        <v>718</v>
      </c>
      <c r="H264" s="5" t="s">
        <v>20</v>
      </c>
      <c r="I264" s="5" t="s">
        <v>760</v>
      </c>
      <c r="J264" s="12" t="str">
        <f>HYPERLINK("https://www.boe.es/gazeta/dias/1805/08/20/pdfs/GMD-1805-67.pdf#page=6","Abrir facsímil")</f>
        <v>Abrir facsímil</v>
      </c>
      <c r="K264" s="15" t="s">
        <v>22</v>
      </c>
    </row>
    <row r="265" spans="1:11" ht="42" customHeight="1">
      <c r="A265" s="4" t="s">
        <v>761</v>
      </c>
      <c r="B265" s="5" t="s">
        <v>762</v>
      </c>
      <c r="C265" s="5" t="s">
        <v>29</v>
      </c>
      <c r="D265" s="5" t="s">
        <v>30</v>
      </c>
      <c r="E265" s="5" t="s">
        <v>170</v>
      </c>
      <c r="F265" s="9">
        <v>9</v>
      </c>
      <c r="G265" s="9">
        <v>104</v>
      </c>
      <c r="H265" s="5" t="s">
        <v>20</v>
      </c>
      <c r="I265" s="5" t="s">
        <v>763</v>
      </c>
      <c r="J265" s="12" t="str">
        <f>HYPERLINK("https://www.boe.es/gazeta/dias/1805/01/29/pdfs/GMD-1805-9.pdf#page=12","Abrir facsímil")</f>
        <v>Abrir facsímil</v>
      </c>
      <c r="K265" s="15" t="s">
        <v>22</v>
      </c>
    </row>
    <row r="266" spans="1:11" ht="42" customHeight="1">
      <c r="A266" s="4" t="s">
        <v>764</v>
      </c>
      <c r="B266" s="5" t="s">
        <v>765</v>
      </c>
      <c r="C266" s="5" t="s">
        <v>80</v>
      </c>
      <c r="D266" s="5" t="s">
        <v>81</v>
      </c>
      <c r="E266" s="5" t="s">
        <v>217</v>
      </c>
      <c r="F266" s="9">
        <v>96</v>
      </c>
      <c r="G266" s="9">
        <v>1025</v>
      </c>
      <c r="H266" s="5" t="s">
        <v>20</v>
      </c>
      <c r="I266" s="5" t="s">
        <v>766</v>
      </c>
      <c r="J266" s="12" t="str">
        <f>HYPERLINK("https://www.boe.es/gazeta/dias/1805/11/29/pdfs/GMD-1805-96.pdf#page=1","Abrir facsímil")</f>
        <v>Abrir facsímil</v>
      </c>
      <c r="K266" s="15" t="s">
        <v>22</v>
      </c>
    </row>
    <row r="267" spans="1:11" ht="42" customHeight="1">
      <c r="A267" s="4" t="s">
        <v>767</v>
      </c>
      <c r="B267" s="5" t="s">
        <v>768</v>
      </c>
      <c r="C267" s="5" t="s">
        <v>35</v>
      </c>
      <c r="D267" s="5" t="s">
        <v>36</v>
      </c>
      <c r="E267" s="5" t="s">
        <v>163</v>
      </c>
      <c r="F267" s="9">
        <v>77</v>
      </c>
      <c r="G267" s="9">
        <v>817</v>
      </c>
      <c r="H267" s="5" t="s">
        <v>20</v>
      </c>
      <c r="I267" s="5" t="s">
        <v>769</v>
      </c>
      <c r="J267" s="12" t="str">
        <f>HYPERLINK("https://www.boe.es/gazeta/dias/1805/09/24/pdfs/GMD-1805-77.pdf#page=9","Abrir facsímil")</f>
        <v>Abrir facsímil</v>
      </c>
      <c r="K267" s="15" t="s">
        <v>22</v>
      </c>
    </row>
    <row r="268" spans="1:11" ht="42" customHeight="1">
      <c r="A268" s="4" t="s">
        <v>770</v>
      </c>
      <c r="B268" s="5" t="s">
        <v>771</v>
      </c>
      <c r="C268" s="5" t="s">
        <v>52</v>
      </c>
      <c r="D268" s="5" t="s">
        <v>53</v>
      </c>
      <c r="E268" s="5" t="s">
        <v>144</v>
      </c>
      <c r="F268" s="9">
        <v>85</v>
      </c>
      <c r="G268" s="9" t="s">
        <v>772</v>
      </c>
      <c r="H268" s="5" t="s">
        <v>20</v>
      </c>
      <c r="I268" s="5" t="s">
        <v>773</v>
      </c>
      <c r="J268" s="12" t="str">
        <f>HYPERLINK("https://www.boe.es/gazeta/dias/1805/10/22/pdfs/GMD-C-1805-85.pdf#page=6","Abrir facsímil")</f>
        <v>Abrir facsímil</v>
      </c>
      <c r="K268" s="15" t="s">
        <v>22</v>
      </c>
    </row>
    <row r="269" spans="1:11" ht="42" customHeight="1">
      <c r="A269" s="4" t="s">
        <v>774</v>
      </c>
      <c r="B269" s="5" t="s">
        <v>775</v>
      </c>
      <c r="C269" s="5" t="s">
        <v>35</v>
      </c>
      <c r="D269" s="5" t="s">
        <v>36</v>
      </c>
      <c r="E269" s="5" t="s">
        <v>456</v>
      </c>
      <c r="F269" s="9">
        <v>70</v>
      </c>
      <c r="G269" s="9">
        <v>747</v>
      </c>
      <c r="H269" s="5" t="s">
        <v>20</v>
      </c>
      <c r="I269" s="5" t="s">
        <v>776</v>
      </c>
      <c r="J269" s="12" t="str">
        <f>HYPERLINK("https://www.boe.es/gazeta/dias/1805/08/30/pdfs/GMD-1805-70.pdf#page=7","Abrir facsímil")</f>
        <v>Abrir facsímil</v>
      </c>
      <c r="K269" s="15" t="s">
        <v>22</v>
      </c>
    </row>
    <row r="270" spans="1:11" ht="42" customHeight="1">
      <c r="A270" s="4" t="s">
        <v>777</v>
      </c>
      <c r="B270" s="5" t="s">
        <v>778</v>
      </c>
      <c r="C270" s="5" t="s">
        <v>85</v>
      </c>
      <c r="D270" s="5" t="s">
        <v>86</v>
      </c>
      <c r="E270" s="5" t="s">
        <v>226</v>
      </c>
      <c r="F270" s="9">
        <v>73</v>
      </c>
      <c r="G270" s="9">
        <v>773</v>
      </c>
      <c r="H270" s="5" t="s">
        <v>20</v>
      </c>
      <c r="I270" s="5" t="s">
        <v>779</v>
      </c>
      <c r="J270" s="12" t="str">
        <f>HYPERLINK("https://www.boe.es/gazeta/dias/1805/09/10/pdfs/GMD-1805-73.pdf#page=5","Abrir facsímil")</f>
        <v>Abrir facsímil</v>
      </c>
      <c r="K270" s="15" t="s">
        <v>22</v>
      </c>
    </row>
    <row r="271" spans="1:11" ht="42" customHeight="1">
      <c r="A271" s="4" t="s">
        <v>780</v>
      </c>
      <c r="B271" s="5" t="s">
        <v>780</v>
      </c>
      <c r="C271" s="5" t="s">
        <v>17</v>
      </c>
      <c r="D271" s="5" t="s">
        <v>18</v>
      </c>
      <c r="E271" s="5" t="s">
        <v>24</v>
      </c>
      <c r="F271" s="9">
        <v>11</v>
      </c>
      <c r="G271" s="9">
        <v>123</v>
      </c>
      <c r="H271" s="5" t="s">
        <v>20</v>
      </c>
      <c r="I271" s="5" t="s">
        <v>781</v>
      </c>
      <c r="J271" s="12" t="str">
        <f>HYPERLINK("https://www.boe.es/gazeta/dias/1805/02/05/pdfs/GMD-1805-11.pdf#page=11","Abrir facsímil")</f>
        <v>Abrir facsímil</v>
      </c>
      <c r="K271" s="15" t="s">
        <v>22</v>
      </c>
    </row>
    <row r="272" spans="1:11" ht="42" customHeight="1">
      <c r="A272" s="4" t="s">
        <v>782</v>
      </c>
      <c r="B272" s="5" t="s">
        <v>783</v>
      </c>
      <c r="C272" s="5" t="s">
        <v>80</v>
      </c>
      <c r="D272" s="5" t="s">
        <v>81</v>
      </c>
      <c r="E272" s="5" t="s">
        <v>200</v>
      </c>
      <c r="F272" s="9">
        <v>91</v>
      </c>
      <c r="G272" s="9">
        <v>970</v>
      </c>
      <c r="H272" s="5" t="s">
        <v>20</v>
      </c>
      <c r="I272" s="5" t="s">
        <v>784</v>
      </c>
      <c r="J272" s="12" t="str">
        <f>HYPERLINK("https://www.boe.es/gazeta/dias/1805/11/12/pdfs/GMD-1805-91.pdf#page=2","Abrir facsímil")</f>
        <v>Abrir facsímil</v>
      </c>
      <c r="K272" s="15" t="s">
        <v>22</v>
      </c>
    </row>
    <row r="273" spans="1:11" ht="42" customHeight="1">
      <c r="A273" s="4" t="s">
        <v>785</v>
      </c>
      <c r="B273" s="5" t="s">
        <v>786</v>
      </c>
      <c r="C273" s="5" t="s">
        <v>17</v>
      </c>
      <c r="D273" s="5" t="s">
        <v>18</v>
      </c>
      <c r="E273" s="5" t="s">
        <v>787</v>
      </c>
      <c r="F273" s="9">
        <v>95</v>
      </c>
      <c r="G273" s="9">
        <v>1016</v>
      </c>
      <c r="H273" s="5" t="s">
        <v>20</v>
      </c>
      <c r="I273" s="5" t="s">
        <v>788</v>
      </c>
      <c r="J273" s="12" t="str">
        <f>HYPERLINK("https://www.boe.es/gazeta/dias/1805/11/26/pdfs/GMD-1805-95.pdf#page=4","Abrir facsímil")</f>
        <v>Abrir facsímil</v>
      </c>
      <c r="K273" s="15" t="s">
        <v>22</v>
      </c>
    </row>
    <row r="274" spans="1:11" ht="42" customHeight="1">
      <c r="A274" s="4" t="s">
        <v>785</v>
      </c>
      <c r="B274" s="5" t="s">
        <v>786</v>
      </c>
      <c r="C274" s="5" t="s">
        <v>80</v>
      </c>
      <c r="D274" s="5" t="s">
        <v>81</v>
      </c>
      <c r="E274" s="5" t="s">
        <v>789</v>
      </c>
      <c r="F274" s="9">
        <v>104</v>
      </c>
      <c r="G274" s="9">
        <v>1123</v>
      </c>
      <c r="H274" s="5" t="s">
        <v>20</v>
      </c>
      <c r="I274" s="5" t="s">
        <v>790</v>
      </c>
      <c r="J274" s="12" t="str">
        <f>HYPERLINK("https://www.boe.es/gazeta/dias/1805/12/27/pdfs/GMD-1805-104.pdf#page=7","Abrir facsímil")</f>
        <v>Abrir facsímil</v>
      </c>
      <c r="K274" s="15" t="s">
        <v>22</v>
      </c>
    </row>
    <row r="275" spans="1:11" ht="42" customHeight="1">
      <c r="A275" s="4" t="s">
        <v>785</v>
      </c>
      <c r="B275" s="5" t="s">
        <v>786</v>
      </c>
      <c r="C275" s="5" t="s">
        <v>80</v>
      </c>
      <c r="D275" s="5" t="s">
        <v>81</v>
      </c>
      <c r="E275" s="5" t="s">
        <v>192</v>
      </c>
      <c r="F275" s="9">
        <v>105</v>
      </c>
      <c r="G275" s="9">
        <v>1135</v>
      </c>
      <c r="H275" s="5" t="s">
        <v>20</v>
      </c>
      <c r="I275" s="5" t="s">
        <v>791</v>
      </c>
      <c r="J275" s="12" t="str">
        <f>HYPERLINK("https://www.boe.es/gazeta/dias/1805/12/31/pdfs/GMD-1805-105.pdf#page=7","Abrir facsímil")</f>
        <v>Abrir facsímil</v>
      </c>
      <c r="K275" s="15" t="s">
        <v>22</v>
      </c>
    </row>
    <row r="276" spans="1:11" ht="42" customHeight="1">
      <c r="A276" s="4" t="s">
        <v>792</v>
      </c>
      <c r="B276" s="5" t="s">
        <v>793</v>
      </c>
      <c r="C276" s="5" t="s">
        <v>35</v>
      </c>
      <c r="D276" s="5" t="s">
        <v>36</v>
      </c>
      <c r="E276" s="5" t="s">
        <v>67</v>
      </c>
      <c r="F276" s="9">
        <v>98</v>
      </c>
      <c r="G276" s="9">
        <v>1059</v>
      </c>
      <c r="H276" s="5" t="s">
        <v>20</v>
      </c>
      <c r="I276" s="5" t="s">
        <v>794</v>
      </c>
      <c r="J276" s="12" t="str">
        <f>HYPERLINK("https://www.boe.es/gazeta/dias/1805/12/06/pdfs/GMD-1805-98.pdf#page=11","Abrir facsímil")</f>
        <v>Abrir facsímil</v>
      </c>
      <c r="K276" s="15" t="s">
        <v>22</v>
      </c>
    </row>
    <row r="277" spans="1:11" ht="42" customHeight="1">
      <c r="A277" s="4" t="s">
        <v>795</v>
      </c>
      <c r="B277" s="5" t="s">
        <v>796</v>
      </c>
      <c r="C277" s="5" t="s">
        <v>35</v>
      </c>
      <c r="D277" s="5" t="s">
        <v>36</v>
      </c>
      <c r="E277" s="5" t="s">
        <v>789</v>
      </c>
      <c r="F277" s="9">
        <v>104</v>
      </c>
      <c r="G277" s="9">
        <v>1128</v>
      </c>
      <c r="H277" s="5" t="s">
        <v>20</v>
      </c>
      <c r="I277" s="5" t="s">
        <v>797</v>
      </c>
      <c r="J277" s="12" t="str">
        <f>HYPERLINK("https://www.boe.es/gazeta/dias/1805/12/27/pdfs/GMD-1805-104.pdf#page=12","Abrir facsímil")</f>
        <v>Abrir facsímil</v>
      </c>
      <c r="K277" s="15" t="s">
        <v>22</v>
      </c>
    </row>
    <row r="278" spans="1:11" ht="42" customHeight="1">
      <c r="A278" s="4" t="s">
        <v>798</v>
      </c>
      <c r="B278" s="5" t="s">
        <v>798</v>
      </c>
      <c r="C278" s="5" t="s">
        <v>17</v>
      </c>
      <c r="D278" s="5" t="s">
        <v>18</v>
      </c>
      <c r="E278" s="5" t="s">
        <v>141</v>
      </c>
      <c r="F278" s="9">
        <v>82</v>
      </c>
      <c r="G278" s="9">
        <v>871</v>
      </c>
      <c r="H278" s="5" t="s">
        <v>20</v>
      </c>
      <c r="I278" s="5" t="s">
        <v>799</v>
      </c>
      <c r="J278" s="12" t="str">
        <f>HYPERLINK("https://www.boe.es/gazeta/dias/1805/10/11/pdfs/GMD-1805-82.pdf#page=11","Abrir facsímil")</f>
        <v>Abrir facsímil</v>
      </c>
      <c r="K278" s="15" t="s">
        <v>22</v>
      </c>
    </row>
    <row r="279" spans="1:11" ht="42" customHeight="1">
      <c r="A279" s="4" t="s">
        <v>800</v>
      </c>
      <c r="B279" s="5" t="s">
        <v>801</v>
      </c>
      <c r="C279" s="5" t="s">
        <v>29</v>
      </c>
      <c r="D279" s="5" t="s">
        <v>30</v>
      </c>
      <c r="E279" s="5" t="s">
        <v>506</v>
      </c>
      <c r="F279" s="9">
        <v>80</v>
      </c>
      <c r="G279" s="9">
        <v>852</v>
      </c>
      <c r="H279" s="5" t="s">
        <v>20</v>
      </c>
      <c r="I279" s="5" t="s">
        <v>802</v>
      </c>
      <c r="J279" s="12" t="str">
        <f>HYPERLINK("https://www.boe.es/gazeta/dias/1805/10/04/pdfs/GMD-1805-80.pdf#page=12","Abrir facsímil")</f>
        <v>Abrir facsímil</v>
      </c>
      <c r="K279" s="15" t="s">
        <v>22</v>
      </c>
    </row>
    <row r="280" spans="1:11" ht="42" customHeight="1">
      <c r="A280" s="4" t="s">
        <v>803</v>
      </c>
      <c r="B280" s="5" t="s">
        <v>804</v>
      </c>
      <c r="C280" s="5" t="s">
        <v>80</v>
      </c>
      <c r="D280" s="5" t="s">
        <v>81</v>
      </c>
      <c r="E280" s="5" t="s">
        <v>27</v>
      </c>
      <c r="F280" s="9">
        <v>37</v>
      </c>
      <c r="G280" s="9">
        <v>398</v>
      </c>
      <c r="H280" s="5" t="s">
        <v>20</v>
      </c>
      <c r="I280" s="5" t="s">
        <v>805</v>
      </c>
      <c r="J280" s="12" t="str">
        <f>HYPERLINK("https://www.boe.es/gazeta/dias/1805/05/07/pdfs/GMD-1805-37.pdf#page=6","Abrir facsímil")</f>
        <v>Abrir facsímil</v>
      </c>
      <c r="K280" s="15" t="s">
        <v>22</v>
      </c>
    </row>
    <row r="281" spans="1:11" ht="42" customHeight="1">
      <c r="A281" s="4" t="s">
        <v>806</v>
      </c>
      <c r="B281" s="5" t="s">
        <v>807</v>
      </c>
      <c r="C281" s="5" t="s">
        <v>29</v>
      </c>
      <c r="D281" s="5" t="s">
        <v>30</v>
      </c>
      <c r="E281" s="5" t="s">
        <v>512</v>
      </c>
      <c r="F281" s="9">
        <v>100</v>
      </c>
      <c r="G281" s="9">
        <v>1083</v>
      </c>
      <c r="H281" s="5" t="s">
        <v>20</v>
      </c>
      <c r="I281" s="5" t="s">
        <v>808</v>
      </c>
      <c r="J281" s="12" t="str">
        <f>HYPERLINK("https://www.boe.es/gazeta/dias/1805/12/13/pdfs/GMD-1805-100.pdf#page=11","Abrir facsímil")</f>
        <v>Abrir facsímil</v>
      </c>
      <c r="K281" s="15" t="s">
        <v>22</v>
      </c>
    </row>
    <row r="282" spans="1:11" ht="42" customHeight="1">
      <c r="A282" s="4" t="s">
        <v>809</v>
      </c>
      <c r="B282" s="5" t="s">
        <v>810</v>
      </c>
      <c r="C282" s="5" t="s">
        <v>80</v>
      </c>
      <c r="D282" s="5" t="s">
        <v>81</v>
      </c>
      <c r="E282" s="5" t="s">
        <v>387</v>
      </c>
      <c r="F282" s="9">
        <v>4</v>
      </c>
      <c r="G282" s="9">
        <v>36</v>
      </c>
      <c r="H282" s="5" t="s">
        <v>20</v>
      </c>
      <c r="I282" s="5" t="s">
        <v>811</v>
      </c>
      <c r="J282" s="12" t="str">
        <f>HYPERLINK("https://www.boe.es/gazeta/dias/1805/01/11/pdfs/GMD-1805-4.pdf#page=4","Abrir facsímil")</f>
        <v>Abrir facsímil</v>
      </c>
      <c r="K282" s="15" t="s">
        <v>22</v>
      </c>
    </row>
    <row r="283" spans="1:11" ht="42" customHeight="1">
      <c r="A283" s="4" t="s">
        <v>812</v>
      </c>
      <c r="B283" s="5" t="s">
        <v>813</v>
      </c>
      <c r="C283" s="5" t="s">
        <v>80</v>
      </c>
      <c r="D283" s="5" t="s">
        <v>81</v>
      </c>
      <c r="E283" s="5" t="s">
        <v>215</v>
      </c>
      <c r="F283" s="9">
        <v>87</v>
      </c>
      <c r="G283" s="9">
        <v>919</v>
      </c>
      <c r="H283" s="5" t="s">
        <v>20</v>
      </c>
      <c r="I283" s="5" t="s">
        <v>814</v>
      </c>
      <c r="J283" s="12" t="str">
        <f>HYPERLINK("https://www.boe.es/gazeta/dias/1805/10/29/pdfs/GMD-1805-87.pdf#page=3","Abrir facsímil")</f>
        <v>Abrir facsímil</v>
      </c>
      <c r="K283" s="15" t="s">
        <v>22</v>
      </c>
    </row>
    <row r="284" spans="1:11" ht="42" customHeight="1">
      <c r="A284" s="4" t="s">
        <v>815</v>
      </c>
      <c r="B284" s="5" t="s">
        <v>816</v>
      </c>
      <c r="C284" s="5" t="s">
        <v>35</v>
      </c>
      <c r="D284" s="5" t="s">
        <v>36</v>
      </c>
      <c r="E284" s="5" t="s">
        <v>817</v>
      </c>
      <c r="F284" s="9">
        <v>92</v>
      </c>
      <c r="G284" s="9">
        <v>982</v>
      </c>
      <c r="H284" s="5" t="s">
        <v>20</v>
      </c>
      <c r="I284" s="5" t="s">
        <v>818</v>
      </c>
      <c r="J284" s="12" t="str">
        <f>HYPERLINK("https://www.boe.es/gazeta/dias/1805/11/15/pdfs/GMD-1805-92.pdf#page=2","Abrir facsímil")</f>
        <v>Abrir facsímil</v>
      </c>
      <c r="K284" s="15" t="s">
        <v>22</v>
      </c>
    </row>
    <row r="285" spans="1:11" ht="42" customHeight="1">
      <c r="A285" s="4" t="s">
        <v>819</v>
      </c>
      <c r="B285" s="5" t="s">
        <v>820</v>
      </c>
      <c r="C285" s="5" t="s">
        <v>35</v>
      </c>
      <c r="D285" s="5" t="s">
        <v>36</v>
      </c>
      <c r="E285" s="5" t="s">
        <v>209</v>
      </c>
      <c r="F285" s="9">
        <v>89</v>
      </c>
      <c r="G285" s="9">
        <v>947</v>
      </c>
      <c r="H285" s="5" t="s">
        <v>20</v>
      </c>
      <c r="I285" s="5" t="s">
        <v>821</v>
      </c>
      <c r="J285" s="12" t="str">
        <f>HYPERLINK("https://www.boe.es/gazeta/dias/1805/11/05/pdfs/GMD-1805-89.pdf#page=7","Abrir facsímil")</f>
        <v>Abrir facsímil</v>
      </c>
      <c r="K285" s="15" t="s">
        <v>22</v>
      </c>
    </row>
    <row r="286" spans="1:11" ht="42" customHeight="1">
      <c r="A286" s="4" t="s">
        <v>819</v>
      </c>
      <c r="B286" s="5" t="s">
        <v>820</v>
      </c>
      <c r="C286" s="5" t="s">
        <v>80</v>
      </c>
      <c r="D286" s="5" t="s">
        <v>81</v>
      </c>
      <c r="E286" s="5" t="s">
        <v>217</v>
      </c>
      <c r="F286" s="9">
        <v>96</v>
      </c>
      <c r="G286" s="9">
        <v>1027</v>
      </c>
      <c r="H286" s="5" t="s">
        <v>20</v>
      </c>
      <c r="I286" s="5" t="s">
        <v>822</v>
      </c>
      <c r="J286" s="12" t="str">
        <f>HYPERLINK("https://www.boe.es/gazeta/dias/1805/11/29/pdfs/GMD-1805-96.pdf#page=3","Abrir facsímil")</f>
        <v>Abrir facsímil</v>
      </c>
      <c r="K286" s="15" t="s">
        <v>22</v>
      </c>
    </row>
    <row r="287" spans="1:11" ht="42" customHeight="1">
      <c r="A287" s="4" t="s">
        <v>823</v>
      </c>
      <c r="B287" s="5" t="s">
        <v>824</v>
      </c>
      <c r="C287" s="5" t="s">
        <v>17</v>
      </c>
      <c r="D287" s="5" t="s">
        <v>18</v>
      </c>
      <c r="E287" s="5" t="s">
        <v>539</v>
      </c>
      <c r="F287" s="9">
        <v>97</v>
      </c>
      <c r="G287" s="9">
        <v>1044</v>
      </c>
      <c r="H287" s="5" t="s">
        <v>20</v>
      </c>
      <c r="I287" s="5" t="s">
        <v>825</v>
      </c>
      <c r="J287" s="12" t="str">
        <f>HYPERLINK("https://www.boe.es/gazeta/dias/1805/12/03/pdfs/GMD-1805-97.pdf#page=8","Abrir facsímil")</f>
        <v>Abrir facsímil</v>
      </c>
      <c r="K287" s="15" t="s">
        <v>22</v>
      </c>
    </row>
    <row r="288" spans="1:11" ht="42" customHeight="1">
      <c r="A288" s="4" t="s">
        <v>826</v>
      </c>
      <c r="B288" s="5" t="s">
        <v>827</v>
      </c>
      <c r="C288" s="5" t="s">
        <v>29</v>
      </c>
      <c r="D288" s="5" t="s">
        <v>30</v>
      </c>
      <c r="E288" s="5" t="s">
        <v>286</v>
      </c>
      <c r="F288" s="9">
        <v>48</v>
      </c>
      <c r="G288" s="9">
        <v>524</v>
      </c>
      <c r="H288" s="5" t="s">
        <v>20</v>
      </c>
      <c r="I288" s="5" t="s">
        <v>828</v>
      </c>
      <c r="J288" s="12" t="str">
        <f>HYPERLINK("https://www.boe.es/gazeta/dias/1805/06/14/pdfs/GMD-1805-48.pdf#page=12","Abrir facsímil")</f>
        <v>Abrir facsímil</v>
      </c>
      <c r="K288" s="15" t="s">
        <v>22</v>
      </c>
    </row>
    <row r="289" spans="1:11" ht="42" customHeight="1">
      <c r="A289" s="4" t="s">
        <v>829</v>
      </c>
      <c r="B289" s="5" t="s">
        <v>830</v>
      </c>
      <c r="C289" s="5" t="s">
        <v>17</v>
      </c>
      <c r="D289" s="5" t="s">
        <v>18</v>
      </c>
      <c r="E289" s="5" t="s">
        <v>831</v>
      </c>
      <c r="F289" s="9">
        <v>62</v>
      </c>
      <c r="G289" s="9">
        <v>663</v>
      </c>
      <c r="H289" s="5" t="s">
        <v>20</v>
      </c>
      <c r="I289" s="5" t="s">
        <v>832</v>
      </c>
      <c r="J289" s="12" t="str">
        <f>HYPERLINK("https://www.boe.es/gazeta/dias/1805/08/02/pdfs/GMD-1805-62.pdf#page=7","Abrir facsímil")</f>
        <v>Abrir facsímil</v>
      </c>
      <c r="K289" s="15" t="s">
        <v>22</v>
      </c>
    </row>
    <row r="290" spans="1:11" ht="42" customHeight="1">
      <c r="A290" s="4" t="s">
        <v>829</v>
      </c>
      <c r="B290" s="5" t="s">
        <v>830</v>
      </c>
      <c r="C290" s="5" t="s">
        <v>35</v>
      </c>
      <c r="D290" s="5" t="s">
        <v>36</v>
      </c>
      <c r="E290" s="5" t="s">
        <v>506</v>
      </c>
      <c r="F290" s="9">
        <v>80</v>
      </c>
      <c r="G290" s="9">
        <v>849</v>
      </c>
      <c r="H290" s="5" t="s">
        <v>20</v>
      </c>
      <c r="I290" s="5" t="s">
        <v>833</v>
      </c>
      <c r="J290" s="12" t="str">
        <f>HYPERLINK("https://www.boe.es/gazeta/dias/1805/10/04/pdfs/GMD-1805-80.pdf#page=9","Abrir facsímil")</f>
        <v>Abrir facsímil</v>
      </c>
      <c r="K290" s="15" t="s">
        <v>22</v>
      </c>
    </row>
    <row r="291" spans="1:11" ht="42" customHeight="1">
      <c r="A291" s="4" t="s">
        <v>834</v>
      </c>
      <c r="B291" s="5" t="s">
        <v>835</v>
      </c>
      <c r="C291" s="5" t="s">
        <v>35</v>
      </c>
      <c r="D291" s="5" t="s">
        <v>36</v>
      </c>
      <c r="E291" s="5" t="s">
        <v>352</v>
      </c>
      <c r="F291" s="9">
        <v>60</v>
      </c>
      <c r="G291" s="9">
        <v>645</v>
      </c>
      <c r="H291" s="5" t="s">
        <v>20</v>
      </c>
      <c r="I291" s="5" t="s">
        <v>836</v>
      </c>
      <c r="J291" s="12" t="str">
        <f>HYPERLINK("https://www.boe.es/gazeta/dias/1805/07/26/pdfs/GMD-1805-60.pdf#page=9","Abrir facsímil")</f>
        <v>Abrir facsímil</v>
      </c>
      <c r="K291" s="15" t="s">
        <v>22</v>
      </c>
    </row>
    <row r="292" spans="1:11" ht="42" customHeight="1">
      <c r="A292" s="4" t="s">
        <v>837</v>
      </c>
      <c r="B292" s="5" t="s">
        <v>838</v>
      </c>
      <c r="C292" s="5" t="s">
        <v>35</v>
      </c>
      <c r="D292" s="5" t="s">
        <v>36</v>
      </c>
      <c r="E292" s="5" t="s">
        <v>91</v>
      </c>
      <c r="F292" s="9">
        <v>28</v>
      </c>
      <c r="G292" s="9">
        <v>301</v>
      </c>
      <c r="H292" s="5" t="s">
        <v>20</v>
      </c>
      <c r="I292" s="5" t="s">
        <v>839</v>
      </c>
      <c r="J292" s="12" t="str">
        <f>HYPERLINK("https://www.boe.es/gazeta/dias/1805/04/05/pdfs/GMD-1805-28.pdf#page=9","Abrir facsímil")</f>
        <v>Abrir facsímil</v>
      </c>
      <c r="K292" s="15" t="s">
        <v>22</v>
      </c>
    </row>
    <row r="293" spans="1:11" ht="42" customHeight="1">
      <c r="A293" s="4" t="s">
        <v>840</v>
      </c>
      <c r="B293" s="5" t="s">
        <v>840</v>
      </c>
      <c r="C293" s="5" t="s">
        <v>29</v>
      </c>
      <c r="D293" s="5" t="s">
        <v>30</v>
      </c>
      <c r="E293" s="5" t="s">
        <v>59</v>
      </c>
      <c r="F293" s="9">
        <v>21</v>
      </c>
      <c r="G293" s="9">
        <v>222</v>
      </c>
      <c r="H293" s="5" t="s">
        <v>20</v>
      </c>
      <c r="I293" s="5" t="s">
        <v>841</v>
      </c>
      <c r="J293" s="12" t="str">
        <f>HYPERLINK("https://www.boe.es/gazeta/dias/1805/03/12/pdfs/GMD-1805-21.pdf#page=10","Abrir facsímil")</f>
        <v>Abrir facsímil</v>
      </c>
      <c r="K293" s="15" t="s">
        <v>22</v>
      </c>
    </row>
    <row r="294" spans="1:11" ht="42" customHeight="1">
      <c r="A294" s="4" t="s">
        <v>842</v>
      </c>
      <c r="B294" s="5" t="s">
        <v>843</v>
      </c>
      <c r="C294" s="5" t="s">
        <v>35</v>
      </c>
      <c r="D294" s="5" t="s">
        <v>36</v>
      </c>
      <c r="E294" s="5" t="s">
        <v>296</v>
      </c>
      <c r="F294" s="9">
        <v>26</v>
      </c>
      <c r="G294" s="9">
        <v>277</v>
      </c>
      <c r="H294" s="5" t="s">
        <v>20</v>
      </c>
      <c r="I294" s="5" t="s">
        <v>844</v>
      </c>
      <c r="J294" s="12" t="str">
        <f>HYPERLINK("https://www.boe.es/gazeta/dias/1805/03/29/pdfs/GMD-1805-26.pdf#page=9","Abrir facsímil")</f>
        <v>Abrir facsímil</v>
      </c>
      <c r="K294" s="15" t="s">
        <v>22</v>
      </c>
    </row>
    <row r="295" spans="1:11" ht="42" customHeight="1">
      <c r="A295" s="4" t="s">
        <v>845</v>
      </c>
      <c r="B295" s="5" t="s">
        <v>846</v>
      </c>
      <c r="C295" s="5" t="s">
        <v>35</v>
      </c>
      <c r="D295" s="5" t="s">
        <v>36</v>
      </c>
      <c r="E295" s="5" t="s">
        <v>114</v>
      </c>
      <c r="F295" s="9">
        <v>17</v>
      </c>
      <c r="G295" s="9">
        <v>177</v>
      </c>
      <c r="H295" s="5" t="s">
        <v>20</v>
      </c>
      <c r="I295" s="5" t="s">
        <v>847</v>
      </c>
      <c r="J295" s="12" t="str">
        <f>HYPERLINK("https://www.boe.es/gazeta/dias/1805/02/26/pdfs/GMD-1805-17.pdf#page=9","Abrir facsímil")</f>
        <v>Abrir facsímil</v>
      </c>
      <c r="K295" s="15" t="s">
        <v>22</v>
      </c>
    </row>
    <row r="296" spans="1:11" ht="42" customHeight="1">
      <c r="A296" s="4" t="s">
        <v>848</v>
      </c>
      <c r="B296" s="5" t="s">
        <v>849</v>
      </c>
      <c r="C296" s="5" t="s">
        <v>29</v>
      </c>
      <c r="D296" s="5" t="s">
        <v>30</v>
      </c>
      <c r="E296" s="5" t="s">
        <v>850</v>
      </c>
      <c r="F296" s="9">
        <v>42</v>
      </c>
      <c r="G296" s="9">
        <v>453</v>
      </c>
      <c r="H296" s="5" t="s">
        <v>20</v>
      </c>
      <c r="I296" s="5" t="s">
        <v>851</v>
      </c>
      <c r="J296" s="12" t="str">
        <f>HYPERLINK("https://www.boe.es/gazeta/dias/1805/05/24/pdfs/GMD-1805-42.pdf#page=9","Abrir facsímil")</f>
        <v>Abrir facsímil</v>
      </c>
      <c r="K296" s="15" t="s">
        <v>22</v>
      </c>
    </row>
    <row r="297" spans="1:11" ht="42" customHeight="1">
      <c r="A297" s="4" t="s">
        <v>852</v>
      </c>
      <c r="B297" s="5" t="s">
        <v>853</v>
      </c>
      <c r="C297" s="5" t="s">
        <v>35</v>
      </c>
      <c r="D297" s="5" t="s">
        <v>36</v>
      </c>
      <c r="E297" s="5" t="s">
        <v>854</v>
      </c>
      <c r="F297" s="9">
        <v>46</v>
      </c>
      <c r="G297" s="9">
        <v>499</v>
      </c>
      <c r="H297" s="5" t="s">
        <v>20</v>
      </c>
      <c r="I297" s="5" t="s">
        <v>855</v>
      </c>
      <c r="J297" s="12" t="str">
        <f>HYPERLINK("https://www.boe.es/gazeta/dias/1805/06/07/pdfs/GMD-1805-46.pdf#page=11","Abrir facsímil")</f>
        <v>Abrir facsímil</v>
      </c>
      <c r="K297" s="15" t="s">
        <v>22</v>
      </c>
    </row>
    <row r="298" spans="1:11" ht="42" customHeight="1">
      <c r="A298" s="4" t="s">
        <v>856</v>
      </c>
      <c r="B298" s="5" t="s">
        <v>857</v>
      </c>
      <c r="C298" s="5" t="s">
        <v>80</v>
      </c>
      <c r="D298" s="5" t="s">
        <v>81</v>
      </c>
      <c r="E298" s="5" t="s">
        <v>226</v>
      </c>
      <c r="F298" s="9">
        <v>73</v>
      </c>
      <c r="G298" s="9">
        <v>770</v>
      </c>
      <c r="H298" s="5" t="s">
        <v>20</v>
      </c>
      <c r="I298" s="5" t="s">
        <v>858</v>
      </c>
      <c r="J298" s="12" t="str">
        <f>HYPERLINK("https://www.boe.es/gazeta/dias/1805/09/10/pdfs/GMD-1805-73.pdf#page=2","Abrir facsímil")</f>
        <v>Abrir facsímil</v>
      </c>
      <c r="K298" s="15" t="s">
        <v>22</v>
      </c>
    </row>
    <row r="299" spans="1:11" ht="42" customHeight="1">
      <c r="A299" s="4" t="s">
        <v>859</v>
      </c>
      <c r="B299" s="5" t="s">
        <v>860</v>
      </c>
      <c r="C299" s="5" t="s">
        <v>35</v>
      </c>
      <c r="D299" s="5" t="s">
        <v>36</v>
      </c>
      <c r="E299" s="5" t="s">
        <v>711</v>
      </c>
      <c r="F299" s="9">
        <v>63</v>
      </c>
      <c r="G299" s="9">
        <v>674</v>
      </c>
      <c r="H299" s="5" t="s">
        <v>20</v>
      </c>
      <c r="I299" s="5" t="s">
        <v>861</v>
      </c>
      <c r="J299" s="12" t="str">
        <f>HYPERLINK("https://www.boe.es/gazeta/dias/1805/08/06/pdfs/GMD-1805-63.pdf#page=10","Abrir facsímil")</f>
        <v>Abrir facsímil</v>
      </c>
      <c r="K299" s="15" t="s">
        <v>22</v>
      </c>
    </row>
    <row r="300" spans="1:11" ht="42" customHeight="1">
      <c r="A300" s="4" t="s">
        <v>862</v>
      </c>
      <c r="B300" s="5" t="s">
        <v>863</v>
      </c>
      <c r="C300" s="5" t="s">
        <v>80</v>
      </c>
      <c r="D300" s="5" t="s">
        <v>81</v>
      </c>
      <c r="E300" s="5" t="s">
        <v>864</v>
      </c>
      <c r="F300" s="9">
        <v>88</v>
      </c>
      <c r="G300" s="9">
        <v>932</v>
      </c>
      <c r="H300" s="5" t="s">
        <v>20</v>
      </c>
      <c r="I300" s="5" t="s">
        <v>865</v>
      </c>
      <c r="J300" s="12" t="str">
        <f>HYPERLINK("https://www.boe.es/gazeta/dias/1805/11/01/pdfs/GMD-1805-88.pdf#page=4","Abrir facsímil")</f>
        <v>Abrir facsímil</v>
      </c>
      <c r="K300" s="15" t="s">
        <v>22</v>
      </c>
    </row>
    <row r="301" spans="1:11" ht="42" customHeight="1">
      <c r="A301" s="4" t="s">
        <v>866</v>
      </c>
      <c r="B301" s="5" t="s">
        <v>866</v>
      </c>
      <c r="C301" s="5" t="s">
        <v>184</v>
      </c>
      <c r="D301" s="5" t="s">
        <v>86</v>
      </c>
      <c r="E301" s="5" t="s">
        <v>352</v>
      </c>
      <c r="F301" s="9">
        <v>60</v>
      </c>
      <c r="G301" s="9">
        <v>644</v>
      </c>
      <c r="H301" s="5" t="s">
        <v>20</v>
      </c>
      <c r="I301" s="5" t="s">
        <v>867</v>
      </c>
      <c r="J301" s="12" t="str">
        <f>HYPERLINK("https://www.boe.es/gazeta/dias/1805/07/26/pdfs/GMD-1805-60.pdf#page=8","Abrir facsímil")</f>
        <v>Abrir facsímil</v>
      </c>
      <c r="K301" s="15" t="s">
        <v>22</v>
      </c>
    </row>
    <row r="302" spans="1:11" ht="42" customHeight="1">
      <c r="A302" s="4" t="s">
        <v>866</v>
      </c>
      <c r="B302" s="5" t="s">
        <v>866</v>
      </c>
      <c r="C302" s="5" t="s">
        <v>35</v>
      </c>
      <c r="D302" s="5" t="s">
        <v>36</v>
      </c>
      <c r="E302" s="5" t="s">
        <v>711</v>
      </c>
      <c r="F302" s="9">
        <v>63</v>
      </c>
      <c r="G302" s="9">
        <v>667</v>
      </c>
      <c r="H302" s="5" t="s">
        <v>20</v>
      </c>
      <c r="I302" s="5" t="s">
        <v>868</v>
      </c>
      <c r="J302" s="12" t="str">
        <f>HYPERLINK("https://www.boe.es/gazeta/dias/1805/08/06/pdfs/GMD-1805-63.pdf#page=3","Abrir facsímil")</f>
        <v>Abrir facsímil</v>
      </c>
      <c r="K302" s="15" t="s">
        <v>22</v>
      </c>
    </row>
    <row r="303" spans="1:11" ht="42" customHeight="1">
      <c r="A303" s="4" t="s">
        <v>866</v>
      </c>
      <c r="B303" s="5" t="s">
        <v>866</v>
      </c>
      <c r="C303" s="5" t="s">
        <v>80</v>
      </c>
      <c r="D303" s="5" t="s">
        <v>81</v>
      </c>
      <c r="E303" s="5" t="s">
        <v>135</v>
      </c>
      <c r="F303" s="9">
        <v>71</v>
      </c>
      <c r="G303" s="9">
        <v>751</v>
      </c>
      <c r="H303" s="5" t="s">
        <v>20</v>
      </c>
      <c r="I303" s="5" t="s">
        <v>869</v>
      </c>
      <c r="J303" s="12" t="str">
        <f>HYPERLINK("https://www.boe.es/gazeta/dias/1805/09/03/pdfs/GMD-1805-71.pdf#page=3","Abrir facsímil")</f>
        <v>Abrir facsímil</v>
      </c>
      <c r="K303" s="15" t="s">
        <v>22</v>
      </c>
    </row>
    <row r="304" spans="1:11" ht="42" customHeight="1">
      <c r="A304" s="4" t="s">
        <v>866</v>
      </c>
      <c r="B304" s="5" t="s">
        <v>866</v>
      </c>
      <c r="C304" s="5" t="s">
        <v>80</v>
      </c>
      <c r="D304" s="5" t="s">
        <v>81</v>
      </c>
      <c r="E304" s="5" t="s">
        <v>335</v>
      </c>
      <c r="F304" s="9">
        <v>79</v>
      </c>
      <c r="G304" s="9">
        <v>835</v>
      </c>
      <c r="H304" s="5" t="s">
        <v>20</v>
      </c>
      <c r="I304" s="5" t="s">
        <v>870</v>
      </c>
      <c r="J304" s="12" t="str">
        <f>HYPERLINK("https://www.boe.es/gazeta/dias/1805/10/01/pdfs/GMD-1805-79.pdf#page=7","Abrir facsímil")</f>
        <v>Abrir facsímil</v>
      </c>
      <c r="K304" s="15" t="s">
        <v>22</v>
      </c>
    </row>
    <row r="305" spans="1:11" ht="42" customHeight="1">
      <c r="A305" s="4" t="s">
        <v>866</v>
      </c>
      <c r="B305" s="5" t="s">
        <v>866</v>
      </c>
      <c r="C305" s="5" t="s">
        <v>80</v>
      </c>
      <c r="D305" s="5" t="s">
        <v>81</v>
      </c>
      <c r="E305" s="5" t="s">
        <v>669</v>
      </c>
      <c r="F305" s="9">
        <v>84</v>
      </c>
      <c r="G305" s="9">
        <v>887</v>
      </c>
      <c r="H305" s="5" t="s">
        <v>20</v>
      </c>
      <c r="I305" s="5" t="s">
        <v>871</v>
      </c>
      <c r="J305" s="12" t="str">
        <f>HYPERLINK("https://www.boe.es/gazeta/dias/1805/10/18/pdfs/GMD-1805-84.pdf#page=3","Abrir facsímil")</f>
        <v>Abrir facsímil</v>
      </c>
      <c r="K305" s="15" t="s">
        <v>22</v>
      </c>
    </row>
    <row r="306" spans="1:11" ht="42" customHeight="1">
      <c r="A306" s="4" t="s">
        <v>872</v>
      </c>
      <c r="B306" s="5" t="s">
        <v>872</v>
      </c>
      <c r="C306" s="5" t="s">
        <v>184</v>
      </c>
      <c r="D306" s="5" t="s">
        <v>86</v>
      </c>
      <c r="E306" s="5" t="s">
        <v>99</v>
      </c>
      <c r="F306" s="9">
        <v>83</v>
      </c>
      <c r="G306" s="9">
        <v>878</v>
      </c>
      <c r="H306" s="5" t="s">
        <v>20</v>
      </c>
      <c r="I306" s="5" t="s">
        <v>873</v>
      </c>
      <c r="J306" s="12" t="str">
        <f>HYPERLINK("https://www.boe.es/gazeta/dias/1805/10/15/pdfs/GMD-1805-83.pdf#page=6","Abrir facsímil")</f>
        <v>Abrir facsímil</v>
      </c>
      <c r="K306" s="15" t="s">
        <v>22</v>
      </c>
    </row>
    <row r="307" spans="1:11" ht="42" customHeight="1">
      <c r="A307" s="4" t="s">
        <v>874</v>
      </c>
      <c r="B307" s="5" t="s">
        <v>874</v>
      </c>
      <c r="C307" s="5" t="s">
        <v>184</v>
      </c>
      <c r="D307" s="5" t="s">
        <v>86</v>
      </c>
      <c r="E307" s="5" t="s">
        <v>864</v>
      </c>
      <c r="F307" s="9">
        <v>88</v>
      </c>
      <c r="G307" s="9">
        <v>929</v>
      </c>
      <c r="H307" s="5" t="s">
        <v>20</v>
      </c>
      <c r="I307" s="5" t="s">
        <v>875</v>
      </c>
      <c r="J307" s="12" t="str">
        <f>HYPERLINK("https://www.boe.es/gazeta/dias/1805/11/01/pdfs/GMD-1805-88.pdf#page=1","Abrir facsímil")</f>
        <v>Abrir facsímil</v>
      </c>
      <c r="K307" s="15" t="s">
        <v>22</v>
      </c>
    </row>
    <row r="308" spans="1:11" ht="42" customHeight="1">
      <c r="A308" s="4" t="s">
        <v>876</v>
      </c>
      <c r="B308" s="5" t="s">
        <v>877</v>
      </c>
      <c r="C308" s="5" t="s">
        <v>35</v>
      </c>
      <c r="D308" s="5" t="s">
        <v>36</v>
      </c>
      <c r="E308" s="5" t="s">
        <v>539</v>
      </c>
      <c r="F308" s="9">
        <v>97</v>
      </c>
      <c r="G308" s="9">
        <v>1044</v>
      </c>
      <c r="H308" s="5" t="s">
        <v>20</v>
      </c>
      <c r="I308" s="5" t="s">
        <v>878</v>
      </c>
      <c r="J308" s="12" t="str">
        <f>HYPERLINK("https://www.boe.es/gazeta/dias/1805/12/03/pdfs/GMD-1805-97.pdf#page=8","Abrir facsímil")</f>
        <v>Abrir facsímil</v>
      </c>
      <c r="K308" s="15" t="s">
        <v>22</v>
      </c>
    </row>
    <row r="309" spans="1:11" ht="42" customHeight="1">
      <c r="A309" s="4" t="s">
        <v>879</v>
      </c>
      <c r="B309" s="5" t="s">
        <v>879</v>
      </c>
      <c r="C309" s="5" t="s">
        <v>80</v>
      </c>
      <c r="D309" s="5" t="s">
        <v>81</v>
      </c>
      <c r="E309" s="5" t="s">
        <v>356</v>
      </c>
      <c r="F309" s="9">
        <v>12</v>
      </c>
      <c r="G309" s="9">
        <v>126</v>
      </c>
      <c r="H309" s="5" t="s">
        <v>20</v>
      </c>
      <c r="I309" s="5" t="s">
        <v>880</v>
      </c>
      <c r="J309" s="12" t="str">
        <f>HYPERLINK("https://www.boe.es/gazeta/dias/1805/02/08/pdfs/GMD-1805-12.pdf#page=2","Abrir facsímil")</f>
        <v>Abrir facsímil</v>
      </c>
      <c r="K309" s="15" t="s">
        <v>22</v>
      </c>
    </row>
    <row r="310" spans="1:11" ht="42" customHeight="1">
      <c r="A310" s="4" t="s">
        <v>881</v>
      </c>
      <c r="B310" s="5" t="s">
        <v>882</v>
      </c>
      <c r="C310" s="5" t="s">
        <v>35</v>
      </c>
      <c r="D310" s="5" t="s">
        <v>36</v>
      </c>
      <c r="E310" s="5" t="s">
        <v>181</v>
      </c>
      <c r="F310" s="9">
        <v>90</v>
      </c>
      <c r="G310" s="9">
        <v>965</v>
      </c>
      <c r="H310" s="5" t="s">
        <v>20</v>
      </c>
      <c r="I310" s="5" t="s">
        <v>883</v>
      </c>
      <c r="J310" s="12" t="str">
        <f>HYPERLINK("https://www.boe.es/gazeta/dias/1805/11/08/pdfs/GMD-1805-90.pdf#page=9","Abrir facsímil")</f>
        <v>Abrir facsímil</v>
      </c>
      <c r="K310" s="15" t="s">
        <v>22</v>
      </c>
    </row>
    <row r="311" spans="1:11" ht="42" customHeight="1">
      <c r="A311" s="4" t="s">
        <v>884</v>
      </c>
      <c r="B311" s="5" t="s">
        <v>885</v>
      </c>
      <c r="C311" s="5" t="s">
        <v>80</v>
      </c>
      <c r="D311" s="5" t="s">
        <v>81</v>
      </c>
      <c r="E311" s="5" t="s">
        <v>886</v>
      </c>
      <c r="F311" s="9">
        <v>93</v>
      </c>
      <c r="G311" s="9">
        <v>993</v>
      </c>
      <c r="H311" s="5" t="s">
        <v>20</v>
      </c>
      <c r="I311" s="5" t="s">
        <v>887</v>
      </c>
      <c r="J311" s="12" t="str">
        <f>HYPERLINK("https://www.boe.es/gazeta/dias/1805/11/19/pdfs/GMD-1805-93.pdf#page=5","Abrir facsímil")</f>
        <v>Abrir facsímil</v>
      </c>
      <c r="K311" s="15" t="s">
        <v>22</v>
      </c>
    </row>
    <row r="312" spans="1:11" ht="42" customHeight="1">
      <c r="A312" s="4" t="s">
        <v>888</v>
      </c>
      <c r="B312" s="5" t="s">
        <v>889</v>
      </c>
      <c r="C312" s="5" t="s">
        <v>29</v>
      </c>
      <c r="D312" s="5" t="s">
        <v>30</v>
      </c>
      <c r="E312" s="5" t="s">
        <v>107</v>
      </c>
      <c r="F312" s="9">
        <v>19</v>
      </c>
      <c r="G312" s="9">
        <v>197</v>
      </c>
      <c r="H312" s="5" t="s">
        <v>20</v>
      </c>
      <c r="I312" s="5" t="s">
        <v>890</v>
      </c>
      <c r="J312" s="12" t="str">
        <f>HYPERLINK("https://www.boe.es/gazeta/dias/1805/03/05/pdfs/GMD-1805-19.pdf#page=9","Abrir facsímil")</f>
        <v>Abrir facsímil</v>
      </c>
      <c r="K312" s="15" t="s">
        <v>22</v>
      </c>
    </row>
    <row r="313" spans="1:11" ht="42" customHeight="1">
      <c r="A313" s="4" t="s">
        <v>891</v>
      </c>
      <c r="B313" s="5" t="s">
        <v>892</v>
      </c>
      <c r="C313" s="5" t="s">
        <v>85</v>
      </c>
      <c r="D313" s="5" t="s">
        <v>86</v>
      </c>
      <c r="E313" s="5" t="s">
        <v>711</v>
      </c>
      <c r="F313" s="9">
        <v>63</v>
      </c>
      <c r="G313" s="9">
        <v>671</v>
      </c>
      <c r="H313" s="5" t="s">
        <v>20</v>
      </c>
      <c r="I313" s="5" t="s">
        <v>893</v>
      </c>
      <c r="J313" s="12" t="str">
        <f>HYPERLINK("https://www.boe.es/gazeta/dias/1805/08/06/pdfs/GMD-1805-63.pdf#page=7","Abrir facsímil")</f>
        <v>Abrir facsímil</v>
      </c>
      <c r="K313" s="15" t="s">
        <v>22</v>
      </c>
    </row>
    <row r="314" spans="1:11" ht="42" customHeight="1">
      <c r="A314" s="4" t="s">
        <v>894</v>
      </c>
      <c r="B314" s="5" t="s">
        <v>895</v>
      </c>
      <c r="C314" s="5" t="s">
        <v>80</v>
      </c>
      <c r="D314" s="5" t="s">
        <v>81</v>
      </c>
      <c r="E314" s="5" t="s">
        <v>426</v>
      </c>
      <c r="F314" s="9">
        <v>75</v>
      </c>
      <c r="G314" s="9">
        <v>794</v>
      </c>
      <c r="H314" s="5" t="s">
        <v>20</v>
      </c>
      <c r="I314" s="5" t="s">
        <v>896</v>
      </c>
      <c r="J314" s="12" t="str">
        <f>HYPERLINK("https://www.boe.es/gazeta/dias/1805/09/17/pdfs/GMD-1805-75.pdf#page=6","Abrir facsímil")</f>
        <v>Abrir facsímil</v>
      </c>
      <c r="K314" s="15" t="s">
        <v>22</v>
      </c>
    </row>
    <row r="315" spans="1:11" ht="42" customHeight="1">
      <c r="A315" s="4" t="s">
        <v>894</v>
      </c>
      <c r="B315" s="5" t="s">
        <v>895</v>
      </c>
      <c r="C315" s="5" t="s">
        <v>17</v>
      </c>
      <c r="D315" s="5" t="s">
        <v>18</v>
      </c>
      <c r="E315" s="5" t="s">
        <v>506</v>
      </c>
      <c r="F315" s="9">
        <v>80</v>
      </c>
      <c r="G315" s="9">
        <v>845</v>
      </c>
      <c r="H315" s="5" t="s">
        <v>20</v>
      </c>
      <c r="I315" s="5" t="s">
        <v>897</v>
      </c>
      <c r="J315" s="12" t="str">
        <f>HYPERLINK("https://www.boe.es/gazeta/dias/1805/10/04/pdfs/GMD-1805-80.pdf#page=5","Abrir facsímil")</f>
        <v>Abrir facsímil</v>
      </c>
      <c r="K315" s="15" t="s">
        <v>22</v>
      </c>
    </row>
    <row r="316" spans="1:11" ht="42" customHeight="1">
      <c r="A316" s="4" t="s">
        <v>898</v>
      </c>
      <c r="B316" s="5" t="s">
        <v>899</v>
      </c>
      <c r="C316" s="5" t="s">
        <v>35</v>
      </c>
      <c r="D316" s="5" t="s">
        <v>36</v>
      </c>
      <c r="E316" s="5" t="s">
        <v>19</v>
      </c>
      <c r="F316" s="9">
        <v>86</v>
      </c>
      <c r="G316" s="9">
        <v>914</v>
      </c>
      <c r="H316" s="5" t="s">
        <v>20</v>
      </c>
      <c r="I316" s="5" t="s">
        <v>900</v>
      </c>
      <c r="J316" s="12" t="str">
        <f>HYPERLINK("https://www.boe.es/gazeta/dias/1805/10/25/pdfs/GMD-1805-86.pdf#page=10","Abrir facsímil")</f>
        <v>Abrir facsímil</v>
      </c>
      <c r="K316" s="15" t="s">
        <v>22</v>
      </c>
    </row>
    <row r="317" spans="1:11" ht="42" customHeight="1">
      <c r="A317" s="4" t="s">
        <v>901</v>
      </c>
      <c r="B317" s="5" t="s">
        <v>901</v>
      </c>
      <c r="C317" s="5" t="s">
        <v>184</v>
      </c>
      <c r="D317" s="5" t="s">
        <v>86</v>
      </c>
      <c r="E317" s="5" t="s">
        <v>71</v>
      </c>
      <c r="F317" s="9">
        <v>33</v>
      </c>
      <c r="G317" s="9">
        <v>355</v>
      </c>
      <c r="H317" s="5" t="s">
        <v>20</v>
      </c>
      <c r="I317" s="5" t="s">
        <v>902</v>
      </c>
      <c r="J317" s="12" t="str">
        <f>HYPERLINK("https://www.boe.es/gazeta/dias/1805/04/23/pdfs/GMD-1805-33.pdf#page=11","Abrir facsímil")</f>
        <v>Abrir facsímil</v>
      </c>
      <c r="K317" s="15" t="s">
        <v>22</v>
      </c>
    </row>
    <row r="318" spans="1:11" ht="42" customHeight="1">
      <c r="A318" s="4" t="s">
        <v>903</v>
      </c>
      <c r="B318" s="5" t="s">
        <v>903</v>
      </c>
      <c r="C318" s="5" t="s">
        <v>184</v>
      </c>
      <c r="D318" s="5" t="s">
        <v>86</v>
      </c>
      <c r="E318" s="5" t="s">
        <v>904</v>
      </c>
      <c r="F318" s="9">
        <v>47</v>
      </c>
      <c r="G318" s="9">
        <v>510</v>
      </c>
      <c r="H318" s="5" t="s">
        <v>20</v>
      </c>
      <c r="I318" s="5" t="s">
        <v>905</v>
      </c>
      <c r="J318" s="12" t="str">
        <f>HYPERLINK("https://www.boe.es/gazeta/dias/1805/06/11/pdfs/GMD-1805-47.pdf#page=10","Abrir facsímil")</f>
        <v>Abrir facsímil</v>
      </c>
      <c r="K318" s="15" t="s">
        <v>22</v>
      </c>
    </row>
    <row r="319" spans="1:11" ht="42" customHeight="1">
      <c r="A319" s="4" t="s">
        <v>906</v>
      </c>
      <c r="B319" s="5" t="s">
        <v>907</v>
      </c>
      <c r="C319" s="5" t="s">
        <v>17</v>
      </c>
      <c r="D319" s="5" t="s">
        <v>18</v>
      </c>
      <c r="E319" s="5" t="s">
        <v>729</v>
      </c>
      <c r="F319" s="9">
        <v>61</v>
      </c>
      <c r="G319" s="9">
        <v>655</v>
      </c>
      <c r="H319" s="5" t="s">
        <v>20</v>
      </c>
      <c r="I319" s="5" t="s">
        <v>908</v>
      </c>
      <c r="J319" s="12" t="str">
        <f>HYPERLINK("https://www.boe.es/gazeta/dias/1805/07/30/pdfs/GMD-1805-61.pdf#page=7","Abrir facsímil")</f>
        <v>Abrir facsímil</v>
      </c>
      <c r="K319" s="15" t="s">
        <v>22</v>
      </c>
    </row>
    <row r="320" spans="1:11" ht="42" customHeight="1">
      <c r="A320" s="4" t="s">
        <v>909</v>
      </c>
      <c r="B320" s="5" t="s">
        <v>910</v>
      </c>
      <c r="C320" s="5" t="s">
        <v>35</v>
      </c>
      <c r="D320" s="5" t="s">
        <v>36</v>
      </c>
      <c r="E320" s="5" t="s">
        <v>200</v>
      </c>
      <c r="F320" s="9">
        <v>91</v>
      </c>
      <c r="G320" s="9">
        <v>977</v>
      </c>
      <c r="H320" s="5" t="s">
        <v>20</v>
      </c>
      <c r="I320" s="5" t="s">
        <v>911</v>
      </c>
      <c r="J320" s="12" t="str">
        <f>HYPERLINK("https://www.boe.es/gazeta/dias/1805/11/12/pdfs/GMD-1805-91.pdf#page=9","Abrir facsímil")</f>
        <v>Abrir facsímil</v>
      </c>
      <c r="K320" s="15" t="s">
        <v>22</v>
      </c>
    </row>
    <row r="321" spans="1:11" ht="42" customHeight="1">
      <c r="A321" s="4" t="s">
        <v>912</v>
      </c>
      <c r="B321" s="5" t="s">
        <v>912</v>
      </c>
      <c r="C321" s="5" t="s">
        <v>17</v>
      </c>
      <c r="D321" s="5" t="s">
        <v>18</v>
      </c>
      <c r="E321" s="5" t="s">
        <v>200</v>
      </c>
      <c r="F321" s="9">
        <v>91</v>
      </c>
      <c r="G321" s="9">
        <v>977</v>
      </c>
      <c r="H321" s="5" t="s">
        <v>20</v>
      </c>
      <c r="I321" s="5" t="s">
        <v>913</v>
      </c>
      <c r="J321" s="12" t="str">
        <f>HYPERLINK("https://www.boe.es/gazeta/dias/1805/11/12/pdfs/GMD-1805-91.pdf#page=9","Abrir facsímil")</f>
        <v>Abrir facsímil</v>
      </c>
      <c r="K321" s="15" t="s">
        <v>22</v>
      </c>
    </row>
    <row r="322" spans="1:11" ht="42" customHeight="1">
      <c r="A322" s="4" t="s">
        <v>914</v>
      </c>
      <c r="B322" s="5" t="s">
        <v>914</v>
      </c>
      <c r="C322" s="5" t="s">
        <v>35</v>
      </c>
      <c r="D322" s="5" t="s">
        <v>36</v>
      </c>
      <c r="E322" s="5" t="s">
        <v>82</v>
      </c>
      <c r="F322" s="9">
        <v>25</v>
      </c>
      <c r="G322" s="9">
        <v>267</v>
      </c>
      <c r="H322" s="5" t="s">
        <v>20</v>
      </c>
      <c r="I322" s="5" t="s">
        <v>915</v>
      </c>
      <c r="J322" s="12" t="str">
        <f>HYPERLINK("https://www.boe.es/gazeta/dias/1805/03/26/pdfs/GMD-1805-25.pdf#page=7","Abrir facsímil")</f>
        <v>Abrir facsímil</v>
      </c>
      <c r="K322" s="15" t="s">
        <v>22</v>
      </c>
    </row>
    <row r="323" spans="1:11" ht="42" customHeight="1">
      <c r="A323" s="4" t="s">
        <v>916</v>
      </c>
      <c r="B323" s="5" t="s">
        <v>916</v>
      </c>
      <c r="C323" s="5" t="s">
        <v>17</v>
      </c>
      <c r="D323" s="5" t="s">
        <v>18</v>
      </c>
      <c r="E323" s="5" t="s">
        <v>200</v>
      </c>
      <c r="F323" s="9">
        <v>91</v>
      </c>
      <c r="G323" s="9">
        <v>977</v>
      </c>
      <c r="H323" s="5" t="s">
        <v>20</v>
      </c>
      <c r="I323" s="5" t="s">
        <v>917</v>
      </c>
      <c r="J323" s="12" t="str">
        <f>HYPERLINK("https://www.boe.es/gazeta/dias/1805/11/12/pdfs/GMD-1805-91.pdf#page=9","Abrir facsímil")</f>
        <v>Abrir facsímil</v>
      </c>
      <c r="K323" s="15" t="s">
        <v>22</v>
      </c>
    </row>
    <row r="324" spans="1:11" ht="42" customHeight="1">
      <c r="A324" s="4" t="s">
        <v>918</v>
      </c>
      <c r="B324" s="5" t="s">
        <v>918</v>
      </c>
      <c r="C324" s="5" t="s">
        <v>85</v>
      </c>
      <c r="D324" s="5" t="s">
        <v>86</v>
      </c>
      <c r="E324" s="5" t="s">
        <v>290</v>
      </c>
      <c r="F324" s="9">
        <v>36</v>
      </c>
      <c r="G324" s="9">
        <v>388</v>
      </c>
      <c r="H324" s="5" t="s">
        <v>20</v>
      </c>
      <c r="I324" s="5" t="s">
        <v>919</v>
      </c>
      <c r="J324" s="12" t="str">
        <f>HYPERLINK("https://www.boe.es/gazeta/dias/1805/05/03/pdfs/GMD-1805-36.pdf#page=8","Abrir facsímil")</f>
        <v>Abrir facsímil</v>
      </c>
      <c r="K324" s="15" t="s">
        <v>22</v>
      </c>
    </row>
    <row r="325" spans="1:11" ht="42" customHeight="1">
      <c r="A325" s="4" t="s">
        <v>920</v>
      </c>
      <c r="B325" s="5" t="s">
        <v>920</v>
      </c>
      <c r="C325" s="5" t="s">
        <v>35</v>
      </c>
      <c r="D325" s="5" t="s">
        <v>36</v>
      </c>
      <c r="E325" s="5" t="s">
        <v>138</v>
      </c>
      <c r="F325" s="9">
        <v>102</v>
      </c>
      <c r="G325" s="9">
        <v>1103</v>
      </c>
      <c r="H325" s="5" t="s">
        <v>20</v>
      </c>
      <c r="I325" s="5" t="s">
        <v>921</v>
      </c>
      <c r="J325" s="12" t="str">
        <f>HYPERLINK("https://www.boe.es/gazeta/dias/1805/12/20/pdfs/GMD-1805-102.pdf#page=7","Abrir facsímil")</f>
        <v>Abrir facsímil</v>
      </c>
      <c r="K325" s="15" t="s">
        <v>22</v>
      </c>
    </row>
    <row r="326" spans="1:11" ht="42" customHeight="1">
      <c r="A326" s="4" t="s">
        <v>922</v>
      </c>
      <c r="B326" s="5" t="s">
        <v>923</v>
      </c>
      <c r="C326" s="5" t="s">
        <v>35</v>
      </c>
      <c r="D326" s="5" t="s">
        <v>36</v>
      </c>
      <c r="E326" s="5" t="s">
        <v>24</v>
      </c>
      <c r="F326" s="9">
        <v>11</v>
      </c>
      <c r="G326" s="9">
        <v>120</v>
      </c>
      <c r="H326" s="5" t="s">
        <v>20</v>
      </c>
      <c r="I326" s="5" t="s">
        <v>924</v>
      </c>
      <c r="J326" s="12" t="str">
        <f>HYPERLINK("https://www.boe.es/gazeta/dias/1805/02/05/pdfs/GMD-1805-11.pdf#page=8","Abrir facsímil")</f>
        <v>Abrir facsímil</v>
      </c>
      <c r="K326" s="15" t="s">
        <v>22</v>
      </c>
    </row>
    <row r="327" spans="1:11" ht="42" customHeight="1">
      <c r="A327" s="4" t="s">
        <v>925</v>
      </c>
      <c r="B327" s="5" t="s">
        <v>926</v>
      </c>
      <c r="C327" s="5" t="s">
        <v>35</v>
      </c>
      <c r="D327" s="5" t="s">
        <v>36</v>
      </c>
      <c r="E327" s="5" t="s">
        <v>107</v>
      </c>
      <c r="F327" s="9">
        <v>19</v>
      </c>
      <c r="G327" s="9">
        <v>198</v>
      </c>
      <c r="H327" s="5" t="s">
        <v>20</v>
      </c>
      <c r="I327" s="5" t="s">
        <v>927</v>
      </c>
      <c r="J327" s="12" t="str">
        <f>HYPERLINK("https://www.boe.es/gazeta/dias/1805/03/05/pdfs/GMD-1805-19.pdf#page=10","Abrir facsímil")</f>
        <v>Abrir facsímil</v>
      </c>
      <c r="K327" s="15" t="s">
        <v>22</v>
      </c>
    </row>
    <row r="328" spans="1:11" ht="42" customHeight="1">
      <c r="A328" s="4" t="s">
        <v>928</v>
      </c>
      <c r="B328" s="5" t="s">
        <v>929</v>
      </c>
      <c r="C328" s="5" t="s">
        <v>80</v>
      </c>
      <c r="D328" s="5" t="s">
        <v>81</v>
      </c>
      <c r="E328" s="5" t="s">
        <v>67</v>
      </c>
      <c r="F328" s="9">
        <v>98</v>
      </c>
      <c r="G328" s="9">
        <v>1056</v>
      </c>
      <c r="H328" s="5" t="s">
        <v>20</v>
      </c>
      <c r="I328" s="5" t="s">
        <v>930</v>
      </c>
      <c r="J328" s="12" t="str">
        <f>HYPERLINK("https://www.boe.es/gazeta/dias/1805/12/06/pdfs/GMD-1805-98.pdf#page=8","Abrir facsímil")</f>
        <v>Abrir facsímil</v>
      </c>
      <c r="K328" s="15" t="s">
        <v>22</v>
      </c>
    </row>
    <row r="329" spans="1:11" ht="42" customHeight="1">
      <c r="A329" s="4" t="s">
        <v>931</v>
      </c>
      <c r="B329" s="5" t="s">
        <v>932</v>
      </c>
      <c r="C329" s="5" t="s">
        <v>80</v>
      </c>
      <c r="D329" s="5" t="s">
        <v>81</v>
      </c>
      <c r="E329" s="5" t="s">
        <v>209</v>
      </c>
      <c r="F329" s="9">
        <v>89</v>
      </c>
      <c r="G329" s="9">
        <v>945</v>
      </c>
      <c r="H329" s="5" t="s">
        <v>20</v>
      </c>
      <c r="I329" s="5" t="s">
        <v>933</v>
      </c>
      <c r="J329" s="12" t="str">
        <f>HYPERLINK("https://www.boe.es/gazeta/dias/1805/11/05/pdfs/GMD-1805-89.pdf#page=5","Abrir facsímil")</f>
        <v>Abrir facsímil</v>
      </c>
      <c r="K329" s="15" t="s">
        <v>22</v>
      </c>
    </row>
    <row r="330" spans="1:11" ht="42" customHeight="1">
      <c r="A330" s="4" t="s">
        <v>934</v>
      </c>
      <c r="B330" s="5" t="s">
        <v>935</v>
      </c>
      <c r="C330" s="5" t="s">
        <v>85</v>
      </c>
      <c r="D330" s="5" t="s">
        <v>86</v>
      </c>
      <c r="E330" s="5" t="s">
        <v>440</v>
      </c>
      <c r="F330" s="9">
        <v>27</v>
      </c>
      <c r="G330" s="9">
        <v>288</v>
      </c>
      <c r="H330" s="5" t="s">
        <v>20</v>
      </c>
      <c r="I330" s="5" t="s">
        <v>936</v>
      </c>
      <c r="J330" s="12" t="str">
        <f>HYPERLINK("https://www.boe.es/gazeta/dias/1805/04/02/pdfs/GMD-1805-27.pdf#page=8","Abrir facsímil")</f>
        <v>Abrir facsímil</v>
      </c>
      <c r="K330" s="15" t="s">
        <v>22</v>
      </c>
    </row>
    <row r="331" spans="1:11" ht="42" customHeight="1">
      <c r="A331" s="4" t="s">
        <v>937</v>
      </c>
      <c r="B331" s="5" t="s">
        <v>938</v>
      </c>
      <c r="C331" s="5" t="s">
        <v>35</v>
      </c>
      <c r="D331" s="5" t="s">
        <v>36</v>
      </c>
      <c r="E331" s="5" t="s">
        <v>120</v>
      </c>
      <c r="F331" s="9">
        <v>24</v>
      </c>
      <c r="G331" s="9">
        <v>256</v>
      </c>
      <c r="H331" s="5" t="s">
        <v>20</v>
      </c>
      <c r="I331" s="5" t="s">
        <v>939</v>
      </c>
      <c r="J331" s="12" t="str">
        <f>HYPERLINK("https://www.boe.es/gazeta/dias/1805/03/22/pdfs/GMD-1805-24.pdf#page=8","Abrir facsímil")</f>
        <v>Abrir facsímil</v>
      </c>
      <c r="K331" s="15" t="s">
        <v>22</v>
      </c>
    </row>
    <row r="332" spans="1:11" ht="42" customHeight="1">
      <c r="A332" s="4" t="s">
        <v>940</v>
      </c>
      <c r="B332" s="5" t="s">
        <v>941</v>
      </c>
      <c r="C332" s="5" t="s">
        <v>35</v>
      </c>
      <c r="D332" s="5" t="s">
        <v>36</v>
      </c>
      <c r="E332" s="5" t="s">
        <v>67</v>
      </c>
      <c r="F332" s="9">
        <v>98</v>
      </c>
      <c r="G332" s="9">
        <v>1059</v>
      </c>
      <c r="H332" s="5" t="s">
        <v>20</v>
      </c>
      <c r="I332" s="5" t="s">
        <v>942</v>
      </c>
      <c r="J332" s="12" t="str">
        <f>HYPERLINK("https://www.boe.es/gazeta/dias/1805/12/06/pdfs/GMD-1805-98.pdf#page=11","Abrir facsímil")</f>
        <v>Abrir facsímil</v>
      </c>
      <c r="K332" s="15" t="s">
        <v>22</v>
      </c>
    </row>
    <row r="333" spans="1:11" ht="42" customHeight="1">
      <c r="A333" s="4" t="s">
        <v>943</v>
      </c>
      <c r="B333" s="5" t="s">
        <v>944</v>
      </c>
      <c r="C333" s="5" t="s">
        <v>35</v>
      </c>
      <c r="D333" s="5" t="s">
        <v>36</v>
      </c>
      <c r="E333" s="5" t="s">
        <v>132</v>
      </c>
      <c r="F333" s="9">
        <v>2</v>
      </c>
      <c r="G333" s="9">
        <v>21</v>
      </c>
      <c r="H333" s="5" t="s">
        <v>20</v>
      </c>
      <c r="I333" s="5" t="s">
        <v>945</v>
      </c>
      <c r="J333" s="12" t="str">
        <f>HYPERLINK("https://www.boe.es/gazeta/dias/1805/01/04/pdfs/GMD-1805-2.pdf#page=9","Abrir facsímil")</f>
        <v>Abrir facsímil</v>
      </c>
      <c r="K333" s="15" t="s">
        <v>22</v>
      </c>
    </row>
    <row r="334" spans="1:11" ht="42" customHeight="1">
      <c r="A334" s="4" t="s">
        <v>946</v>
      </c>
      <c r="B334" s="5" t="s">
        <v>947</v>
      </c>
      <c r="C334" s="5" t="s">
        <v>17</v>
      </c>
      <c r="D334" s="5" t="s">
        <v>18</v>
      </c>
      <c r="E334" s="5" t="s">
        <v>649</v>
      </c>
      <c r="F334" s="9">
        <v>7</v>
      </c>
      <c r="G334" s="9">
        <v>74</v>
      </c>
      <c r="H334" s="5" t="s">
        <v>20</v>
      </c>
      <c r="I334" s="5" t="s">
        <v>948</v>
      </c>
      <c r="J334" s="12" t="str">
        <f>HYPERLINK("https://www.boe.es/gazeta/dias/1805/01/22/pdfs/GMD-1805-7.pdf#page=6","Abrir facsímil")</f>
        <v>Abrir facsímil</v>
      </c>
      <c r="K334" s="15" t="s">
        <v>22</v>
      </c>
    </row>
    <row r="335" spans="1:11" ht="42" customHeight="1">
      <c r="A335" s="4" t="s">
        <v>949</v>
      </c>
      <c r="B335" s="5" t="s">
        <v>950</v>
      </c>
      <c r="C335" s="5" t="s">
        <v>17</v>
      </c>
      <c r="D335" s="5" t="s">
        <v>18</v>
      </c>
      <c r="E335" s="5" t="s">
        <v>393</v>
      </c>
      <c r="F335" s="9">
        <v>44</v>
      </c>
      <c r="G335" s="9">
        <v>468</v>
      </c>
      <c r="H335" s="5" t="s">
        <v>20</v>
      </c>
      <c r="I335" s="5" t="s">
        <v>951</v>
      </c>
      <c r="J335" s="12" t="str">
        <f>HYPERLINK("https://www.boe.es/gazeta/dias/1805/05/31/pdfs/GMD-1805-44.pdf#page=4","Abrir facsímil")</f>
        <v>Abrir facsímil</v>
      </c>
      <c r="K335" s="15" t="s">
        <v>22</v>
      </c>
    </row>
    <row r="336" spans="1:11" ht="42" customHeight="1">
      <c r="A336" s="4" t="s">
        <v>952</v>
      </c>
      <c r="B336" s="5" t="s">
        <v>953</v>
      </c>
      <c r="C336" s="5" t="s">
        <v>35</v>
      </c>
      <c r="D336" s="5" t="s">
        <v>36</v>
      </c>
      <c r="E336" s="5" t="s">
        <v>904</v>
      </c>
      <c r="F336" s="9">
        <v>47</v>
      </c>
      <c r="G336" s="9">
        <v>505</v>
      </c>
      <c r="H336" s="5" t="s">
        <v>20</v>
      </c>
      <c r="I336" s="5" t="s">
        <v>954</v>
      </c>
      <c r="J336" s="12" t="str">
        <f>HYPERLINK("https://www.boe.es/gazeta/dias/1805/06/11/pdfs/GMD-1805-47.pdf#page=5","Abrir facsímil")</f>
        <v>Abrir facsímil</v>
      </c>
      <c r="K336" s="15" t="s">
        <v>22</v>
      </c>
    </row>
    <row r="337" spans="1:11" ht="42" customHeight="1">
      <c r="A337" s="4" t="s">
        <v>952</v>
      </c>
      <c r="B337" s="5" t="s">
        <v>953</v>
      </c>
      <c r="C337" s="5" t="s">
        <v>35</v>
      </c>
      <c r="D337" s="5" t="s">
        <v>36</v>
      </c>
      <c r="E337" s="5" t="s">
        <v>99</v>
      </c>
      <c r="F337" s="9">
        <v>83</v>
      </c>
      <c r="G337" s="9">
        <v>875</v>
      </c>
      <c r="H337" s="5" t="s">
        <v>20</v>
      </c>
      <c r="I337" s="5" t="s">
        <v>955</v>
      </c>
      <c r="J337" s="12" t="str">
        <f>HYPERLINK("https://www.boe.es/gazeta/dias/1805/10/15/pdfs/GMD-1805-83.pdf#page=3","Abrir facsímil")</f>
        <v>Abrir facsímil</v>
      </c>
      <c r="K337" s="15" t="s">
        <v>22</v>
      </c>
    </row>
    <row r="338" spans="1:11" ht="42" customHeight="1">
      <c r="A338" s="4" t="s">
        <v>956</v>
      </c>
      <c r="B338" s="5" t="s">
        <v>957</v>
      </c>
      <c r="C338" s="5" t="s">
        <v>35</v>
      </c>
      <c r="D338" s="5" t="s">
        <v>36</v>
      </c>
      <c r="E338" s="5" t="s">
        <v>958</v>
      </c>
      <c r="F338" s="9">
        <v>58</v>
      </c>
      <c r="G338" s="9">
        <v>618</v>
      </c>
      <c r="H338" s="5" t="s">
        <v>20</v>
      </c>
      <c r="I338" s="5" t="s">
        <v>959</v>
      </c>
      <c r="J338" s="12" t="str">
        <f>HYPERLINK("https://www.boe.es/gazeta/dias/1805/07/19/pdfs/GMD-1805-58.pdf#page=2","Abrir facsímil")</f>
        <v>Abrir facsímil</v>
      </c>
      <c r="K338" s="15" t="s">
        <v>22</v>
      </c>
    </row>
    <row r="339" spans="1:11" ht="42" customHeight="1">
      <c r="A339" s="4" t="s">
        <v>960</v>
      </c>
      <c r="B339" s="5" t="s">
        <v>961</v>
      </c>
      <c r="C339" s="5" t="s">
        <v>80</v>
      </c>
      <c r="D339" s="5" t="s">
        <v>81</v>
      </c>
      <c r="E339" s="5" t="s">
        <v>209</v>
      </c>
      <c r="F339" s="9">
        <v>89</v>
      </c>
      <c r="G339" s="9">
        <v>948</v>
      </c>
      <c r="H339" s="5" t="s">
        <v>20</v>
      </c>
      <c r="I339" s="5" t="s">
        <v>962</v>
      </c>
      <c r="J339" s="12" t="str">
        <f>HYPERLINK("https://www.boe.es/gazeta/dias/1805/11/05/pdfs/GMD-1805-89.pdf#page=8","Abrir facsímil")</f>
        <v>Abrir facsímil</v>
      </c>
      <c r="K339" s="15" t="s">
        <v>22</v>
      </c>
    </row>
    <row r="340" spans="1:11" ht="42" customHeight="1">
      <c r="A340" s="4" t="s">
        <v>963</v>
      </c>
      <c r="B340" s="5" t="s">
        <v>964</v>
      </c>
      <c r="C340" s="5" t="s">
        <v>35</v>
      </c>
      <c r="D340" s="5" t="s">
        <v>36</v>
      </c>
      <c r="E340" s="5" t="s">
        <v>31</v>
      </c>
      <c r="F340" s="9">
        <v>65</v>
      </c>
      <c r="G340" s="9">
        <v>691</v>
      </c>
      <c r="H340" s="5" t="s">
        <v>20</v>
      </c>
      <c r="I340" s="5" t="s">
        <v>965</v>
      </c>
      <c r="J340" s="12" t="str">
        <f>HYPERLINK("https://www.boe.es/gazeta/dias/1805/08/13/pdfs/GMD-1805-65.pdf#page=3","Abrir facsímil")</f>
        <v>Abrir facsímil</v>
      </c>
      <c r="K340" s="15" t="s">
        <v>22</v>
      </c>
    </row>
    <row r="341" spans="1:11" ht="42" customHeight="1">
      <c r="A341" s="4" t="s">
        <v>966</v>
      </c>
      <c r="B341" s="5" t="s">
        <v>967</v>
      </c>
      <c r="C341" s="5" t="s">
        <v>35</v>
      </c>
      <c r="D341" s="5" t="s">
        <v>36</v>
      </c>
      <c r="E341" s="5" t="s">
        <v>215</v>
      </c>
      <c r="F341" s="9">
        <v>87</v>
      </c>
      <c r="G341" s="9">
        <v>922</v>
      </c>
      <c r="H341" s="5" t="s">
        <v>20</v>
      </c>
      <c r="I341" s="5" t="s">
        <v>968</v>
      </c>
      <c r="J341" s="12" t="str">
        <f>HYPERLINK("https://www.boe.es/gazeta/dias/1805/10/29/pdfs/GMD-1805-87.pdf#page=6","Abrir facsímil")</f>
        <v>Abrir facsímil</v>
      </c>
      <c r="K341" s="15" t="s">
        <v>22</v>
      </c>
    </row>
    <row r="342" spans="1:11" ht="42" customHeight="1">
      <c r="A342" s="4" t="s">
        <v>969</v>
      </c>
      <c r="B342" s="5" t="s">
        <v>970</v>
      </c>
      <c r="C342" s="5" t="s">
        <v>35</v>
      </c>
      <c r="D342" s="5" t="s">
        <v>36</v>
      </c>
      <c r="E342" s="5" t="s">
        <v>958</v>
      </c>
      <c r="F342" s="9">
        <v>58</v>
      </c>
      <c r="G342" s="9">
        <v>618</v>
      </c>
      <c r="H342" s="5" t="s">
        <v>20</v>
      </c>
      <c r="I342" s="5" t="s">
        <v>971</v>
      </c>
      <c r="J342" s="12" t="str">
        <f>HYPERLINK("https://www.boe.es/gazeta/dias/1805/07/19/pdfs/GMD-1805-58.pdf#page=2","Abrir facsímil")</f>
        <v>Abrir facsímil</v>
      </c>
      <c r="K342" s="15" t="s">
        <v>22</v>
      </c>
    </row>
    <row r="343" spans="1:11" ht="42" customHeight="1">
      <c r="A343" s="4" t="s">
        <v>972</v>
      </c>
      <c r="B343" s="5" t="s">
        <v>973</v>
      </c>
      <c r="C343" s="5" t="s">
        <v>80</v>
      </c>
      <c r="D343" s="5" t="s">
        <v>81</v>
      </c>
      <c r="E343" s="5" t="s">
        <v>711</v>
      </c>
      <c r="F343" s="9">
        <v>63</v>
      </c>
      <c r="G343" s="9">
        <v>668</v>
      </c>
      <c r="H343" s="5" t="s">
        <v>20</v>
      </c>
      <c r="I343" s="5" t="s">
        <v>974</v>
      </c>
      <c r="J343" s="12" t="str">
        <f>HYPERLINK("https://www.boe.es/gazeta/dias/1805/08/06/pdfs/GMD-1805-63.pdf#page=4","Abrir facsímil")</f>
        <v>Abrir facsímil</v>
      </c>
      <c r="K343" s="15" t="s">
        <v>22</v>
      </c>
    </row>
    <row r="344" spans="1:11" ht="42" customHeight="1">
      <c r="A344" s="4" t="s">
        <v>975</v>
      </c>
      <c r="B344" s="5" t="s">
        <v>976</v>
      </c>
      <c r="C344" s="5" t="s">
        <v>35</v>
      </c>
      <c r="D344" s="5" t="s">
        <v>36</v>
      </c>
      <c r="E344" s="5" t="s">
        <v>138</v>
      </c>
      <c r="F344" s="9">
        <v>102</v>
      </c>
      <c r="G344" s="9">
        <v>1104</v>
      </c>
      <c r="H344" s="5" t="s">
        <v>20</v>
      </c>
      <c r="I344" s="5" t="s">
        <v>977</v>
      </c>
      <c r="J344" s="12" t="str">
        <f>HYPERLINK("https://www.boe.es/gazeta/dias/1805/12/20/pdfs/GMD-1805-102.pdf#page=8","Abrir facsímil")</f>
        <v>Abrir facsímil</v>
      </c>
      <c r="K344" s="15" t="s">
        <v>22</v>
      </c>
    </row>
    <row r="345" spans="1:11" ht="42" customHeight="1">
      <c r="A345" s="4" t="s">
        <v>978</v>
      </c>
      <c r="B345" s="5" t="s">
        <v>979</v>
      </c>
      <c r="C345" s="5" t="s">
        <v>35</v>
      </c>
      <c r="D345" s="5" t="s">
        <v>36</v>
      </c>
      <c r="E345" s="5" t="s">
        <v>181</v>
      </c>
      <c r="F345" s="9">
        <v>90</v>
      </c>
      <c r="G345" s="9">
        <v>964</v>
      </c>
      <c r="H345" s="5" t="s">
        <v>20</v>
      </c>
      <c r="I345" s="5" t="s">
        <v>980</v>
      </c>
      <c r="J345" s="12" t="str">
        <f>HYPERLINK("https://www.boe.es/gazeta/dias/1805/11/08/pdfs/GMD-1805-90.pdf#page=8","Abrir facsímil")</f>
        <v>Abrir facsímil</v>
      </c>
      <c r="K345" s="15" t="s">
        <v>22</v>
      </c>
    </row>
    <row r="346" spans="1:11" ht="42" customHeight="1">
      <c r="A346" s="4" t="s">
        <v>981</v>
      </c>
      <c r="B346" s="5" t="s">
        <v>982</v>
      </c>
      <c r="C346" s="5" t="s">
        <v>35</v>
      </c>
      <c r="D346" s="5" t="s">
        <v>36</v>
      </c>
      <c r="E346" s="5" t="s">
        <v>19</v>
      </c>
      <c r="F346" s="9">
        <v>86</v>
      </c>
      <c r="G346" s="9">
        <v>913</v>
      </c>
      <c r="H346" s="5" t="s">
        <v>20</v>
      </c>
      <c r="I346" s="5" t="s">
        <v>983</v>
      </c>
      <c r="J346" s="12" t="str">
        <f>HYPERLINK("https://www.boe.es/gazeta/dias/1805/10/25/pdfs/GMD-1805-86.pdf#page=9","Abrir facsímil")</f>
        <v>Abrir facsímil</v>
      </c>
      <c r="K346" s="15" t="s">
        <v>22</v>
      </c>
    </row>
    <row r="347" spans="1:11" ht="42" customHeight="1">
      <c r="A347" s="4" t="s">
        <v>984</v>
      </c>
      <c r="B347" s="5" t="s">
        <v>985</v>
      </c>
      <c r="C347" s="5" t="s">
        <v>17</v>
      </c>
      <c r="D347" s="5" t="s">
        <v>18</v>
      </c>
      <c r="E347" s="5" t="s">
        <v>59</v>
      </c>
      <c r="F347" s="9">
        <v>21</v>
      </c>
      <c r="G347" s="9">
        <v>220</v>
      </c>
      <c r="H347" s="5" t="s">
        <v>20</v>
      </c>
      <c r="I347" s="5" t="s">
        <v>986</v>
      </c>
      <c r="J347" s="12" t="str">
        <f>HYPERLINK("https://www.boe.es/gazeta/dias/1805/03/12/pdfs/GMD-1805-21.pdf#page=8","Abrir facsímil")</f>
        <v>Abrir facsímil</v>
      </c>
      <c r="K347" s="15" t="s">
        <v>22</v>
      </c>
    </row>
    <row r="348" spans="1:11" ht="42" customHeight="1">
      <c r="A348" s="4" t="s">
        <v>984</v>
      </c>
      <c r="B348" s="5" t="s">
        <v>985</v>
      </c>
      <c r="C348" s="5" t="s">
        <v>17</v>
      </c>
      <c r="D348" s="5" t="s">
        <v>18</v>
      </c>
      <c r="E348" s="5" t="s">
        <v>76</v>
      </c>
      <c r="F348" s="9">
        <v>66</v>
      </c>
      <c r="G348" s="9">
        <v>707</v>
      </c>
      <c r="H348" s="5" t="s">
        <v>20</v>
      </c>
      <c r="I348" s="5" t="s">
        <v>987</v>
      </c>
      <c r="J348" s="12" t="str">
        <f>HYPERLINK("https://www.boe.es/gazeta/dias/1805/08/16/pdfs/GMD-1805-66.pdf#page=7","Abrir facsímil")</f>
        <v>Abrir facsímil</v>
      </c>
      <c r="K348" s="15" t="s">
        <v>22</v>
      </c>
    </row>
    <row r="349" spans="1:11" ht="42" customHeight="1">
      <c r="A349" s="4" t="s">
        <v>988</v>
      </c>
      <c r="B349" s="5" t="s">
        <v>989</v>
      </c>
      <c r="C349" s="5" t="s">
        <v>35</v>
      </c>
      <c r="D349" s="5" t="s">
        <v>36</v>
      </c>
      <c r="E349" s="5" t="s">
        <v>399</v>
      </c>
      <c r="F349" s="9">
        <v>39</v>
      </c>
      <c r="G349" s="9">
        <v>422</v>
      </c>
      <c r="H349" s="5" t="s">
        <v>20</v>
      </c>
      <c r="I349" s="5" t="s">
        <v>990</v>
      </c>
      <c r="J349" s="12" t="str">
        <f>HYPERLINK("https://www.boe.es/gazeta/dias/1805/05/14/pdfs/GMD-1805-39.pdf#page=10","Abrir facsímil")</f>
        <v>Abrir facsímil</v>
      </c>
      <c r="K349" s="15" t="s">
        <v>22</v>
      </c>
    </row>
    <row r="350" spans="1:11" ht="42" customHeight="1">
      <c r="A350" s="4" t="s">
        <v>991</v>
      </c>
      <c r="B350" s="5" t="s">
        <v>992</v>
      </c>
      <c r="C350" s="5" t="s">
        <v>35</v>
      </c>
      <c r="D350" s="5" t="s">
        <v>36</v>
      </c>
      <c r="E350" s="5" t="s">
        <v>19</v>
      </c>
      <c r="F350" s="9">
        <v>86</v>
      </c>
      <c r="G350" s="9">
        <v>914</v>
      </c>
      <c r="H350" s="5" t="s">
        <v>20</v>
      </c>
      <c r="I350" s="5" t="s">
        <v>993</v>
      </c>
      <c r="J350" s="12" t="str">
        <f>HYPERLINK("https://www.boe.es/gazeta/dias/1805/10/25/pdfs/GMD-1805-86.pdf#page=10","Abrir facsímil")</f>
        <v>Abrir facsímil</v>
      </c>
      <c r="K350" s="15" t="s">
        <v>22</v>
      </c>
    </row>
    <row r="351" spans="1:11" ht="42" customHeight="1">
      <c r="A351" s="4" t="s">
        <v>994</v>
      </c>
      <c r="B351" s="5" t="s">
        <v>995</v>
      </c>
      <c r="C351" s="5" t="s">
        <v>17</v>
      </c>
      <c r="D351" s="5" t="s">
        <v>18</v>
      </c>
      <c r="E351" s="5" t="s">
        <v>512</v>
      </c>
      <c r="F351" s="9">
        <v>100</v>
      </c>
      <c r="G351" s="9">
        <v>1081</v>
      </c>
      <c r="H351" s="5" t="s">
        <v>20</v>
      </c>
      <c r="I351" s="5" t="s">
        <v>996</v>
      </c>
      <c r="J351" s="12" t="str">
        <f>HYPERLINK("https://www.boe.es/gazeta/dias/1805/12/13/pdfs/GMD-1805-100.pdf#page=9","Abrir facsímil")</f>
        <v>Abrir facsímil</v>
      </c>
      <c r="K351" s="15" t="s">
        <v>22</v>
      </c>
    </row>
    <row r="352" spans="1:11" ht="42" customHeight="1">
      <c r="A352" s="4" t="s">
        <v>997</v>
      </c>
      <c r="B352" s="5" t="s">
        <v>998</v>
      </c>
      <c r="C352" s="5" t="s">
        <v>35</v>
      </c>
      <c r="D352" s="5" t="s">
        <v>36</v>
      </c>
      <c r="E352" s="5" t="s">
        <v>539</v>
      </c>
      <c r="F352" s="9">
        <v>97</v>
      </c>
      <c r="G352" s="9">
        <v>1045</v>
      </c>
      <c r="H352" s="5" t="s">
        <v>20</v>
      </c>
      <c r="I352" s="5" t="s">
        <v>999</v>
      </c>
      <c r="J352" s="12" t="str">
        <f>HYPERLINK("https://www.boe.es/gazeta/dias/1805/12/03/pdfs/GMD-1805-97.pdf#page=9","Abrir facsímil")</f>
        <v>Abrir facsímil</v>
      </c>
      <c r="K352" s="15" t="s">
        <v>22</v>
      </c>
    </row>
    <row r="353" spans="1:11" ht="42" customHeight="1">
      <c r="A353" s="4" t="s">
        <v>1000</v>
      </c>
      <c r="B353" s="5" t="s">
        <v>1001</v>
      </c>
      <c r="C353" s="5" t="s">
        <v>52</v>
      </c>
      <c r="D353" s="5" t="s">
        <v>53</v>
      </c>
      <c r="E353" s="5" t="s">
        <v>144</v>
      </c>
      <c r="F353" s="9">
        <v>85</v>
      </c>
      <c r="G353" s="9" t="s">
        <v>1002</v>
      </c>
      <c r="H353" s="5" t="s">
        <v>20</v>
      </c>
      <c r="I353" s="5" t="s">
        <v>1003</v>
      </c>
      <c r="J353" s="12" t="str">
        <f>HYPERLINK("https://www.boe.es/gazeta/dias/1805/10/22/pdfs/GMD-C-1805-85.pdf#page=7","Abrir facsímil")</f>
        <v>Abrir facsímil</v>
      </c>
      <c r="K353" s="15" t="s">
        <v>22</v>
      </c>
    </row>
    <row r="354" spans="1:11" ht="42" customHeight="1">
      <c r="A354" s="4" t="s">
        <v>1004</v>
      </c>
      <c r="B354" s="5" t="s">
        <v>1005</v>
      </c>
      <c r="C354" s="5" t="s">
        <v>184</v>
      </c>
      <c r="D354" s="5" t="s">
        <v>86</v>
      </c>
      <c r="E354" s="5" t="s">
        <v>552</v>
      </c>
      <c r="F354" s="9">
        <v>94</v>
      </c>
      <c r="G354" s="9">
        <v>1009</v>
      </c>
      <c r="H354" s="5" t="s">
        <v>20</v>
      </c>
      <c r="I354" s="5" t="s">
        <v>1006</v>
      </c>
      <c r="J354" s="12" t="str">
        <f>HYPERLINK("https://www.boe.es/gazeta/dias/1805/11/22/pdfs/GMD-1805-94.pdf#page=9","Abrir facsímil")</f>
        <v>Abrir facsímil</v>
      </c>
      <c r="K354" s="15" t="s">
        <v>22</v>
      </c>
    </row>
    <row r="355" spans="1:11" ht="42" customHeight="1">
      <c r="A355" s="4" t="s">
        <v>1007</v>
      </c>
      <c r="B355" s="5" t="s">
        <v>1007</v>
      </c>
      <c r="C355" s="5" t="s">
        <v>17</v>
      </c>
      <c r="D355" s="5" t="s">
        <v>18</v>
      </c>
      <c r="E355" s="5" t="s">
        <v>281</v>
      </c>
      <c r="F355" s="9">
        <v>15</v>
      </c>
      <c r="G355" s="9">
        <v>156</v>
      </c>
      <c r="H355" s="5" t="s">
        <v>20</v>
      </c>
      <c r="I355" s="5" t="s">
        <v>1008</v>
      </c>
      <c r="J355" s="12" t="str">
        <f>HYPERLINK("https://www.boe.es/gazeta/dias/1805/02/19/pdfs/GMD-1805-15.pdf#page=8","Abrir facsímil")</f>
        <v>Abrir facsímil</v>
      </c>
      <c r="K355" s="15" t="s">
        <v>22</v>
      </c>
    </row>
    <row r="356" spans="1:11" ht="42" customHeight="1">
      <c r="A356" s="4" t="s">
        <v>1009</v>
      </c>
      <c r="B356" s="5" t="s">
        <v>1010</v>
      </c>
      <c r="C356" s="5" t="s">
        <v>85</v>
      </c>
      <c r="D356" s="5" t="s">
        <v>86</v>
      </c>
      <c r="E356" s="5" t="s">
        <v>217</v>
      </c>
      <c r="F356" s="9">
        <v>96</v>
      </c>
      <c r="G356" s="9">
        <v>1029</v>
      </c>
      <c r="H356" s="5" t="s">
        <v>20</v>
      </c>
      <c r="I356" s="5" t="s">
        <v>1011</v>
      </c>
      <c r="J356" s="12" t="str">
        <f>HYPERLINK("https://www.boe.es/gazeta/dias/1805/11/29/pdfs/GMD-1805-96.pdf#page=5","Abrir facsímil")</f>
        <v>Abrir facsímil</v>
      </c>
      <c r="K356" s="15" t="s">
        <v>22</v>
      </c>
    </row>
    <row r="357" spans="1:11" ht="42" customHeight="1">
      <c r="A357" s="4" t="s">
        <v>1012</v>
      </c>
      <c r="B357" s="5" t="s">
        <v>1012</v>
      </c>
      <c r="C357" s="5" t="s">
        <v>17</v>
      </c>
      <c r="D357" s="5" t="s">
        <v>18</v>
      </c>
      <c r="E357" s="5" t="s">
        <v>365</v>
      </c>
      <c r="F357" s="9">
        <v>3</v>
      </c>
      <c r="G357" s="9">
        <v>32</v>
      </c>
      <c r="H357" s="5" t="s">
        <v>20</v>
      </c>
      <c r="I357" s="5" t="s">
        <v>1013</v>
      </c>
      <c r="J357" s="12" t="str">
        <f>HYPERLINK("https://www.boe.es/gazeta/dias/1805/01/08/pdfs/GMD-1805-3.pdf#page=8","Abrir facsímil")</f>
        <v>Abrir facsímil</v>
      </c>
      <c r="K357" s="15" t="s">
        <v>22</v>
      </c>
    </row>
    <row r="358" spans="1:11" ht="42" customHeight="1">
      <c r="A358" s="4" t="s">
        <v>1014</v>
      </c>
      <c r="B358" s="5" t="s">
        <v>1015</v>
      </c>
      <c r="C358" s="5" t="s">
        <v>35</v>
      </c>
      <c r="D358" s="5" t="s">
        <v>36</v>
      </c>
      <c r="E358" s="5" t="s">
        <v>506</v>
      </c>
      <c r="F358" s="9">
        <v>80</v>
      </c>
      <c r="G358" s="9">
        <v>850</v>
      </c>
      <c r="H358" s="5" t="s">
        <v>20</v>
      </c>
      <c r="I358" s="5" t="s">
        <v>1016</v>
      </c>
      <c r="J358" s="12" t="str">
        <f>HYPERLINK("https://www.boe.es/gazeta/dias/1805/10/04/pdfs/GMD-1805-80.pdf#page=10","Abrir facsímil")</f>
        <v>Abrir facsímil</v>
      </c>
      <c r="K358" s="15" t="s">
        <v>22</v>
      </c>
    </row>
    <row r="359" spans="1:11" ht="42" customHeight="1">
      <c r="A359" s="4" t="s">
        <v>1017</v>
      </c>
      <c r="B359" s="5" t="s">
        <v>1017</v>
      </c>
      <c r="C359" s="5" t="s">
        <v>35</v>
      </c>
      <c r="D359" s="5" t="s">
        <v>36</v>
      </c>
      <c r="E359" s="5" t="s">
        <v>649</v>
      </c>
      <c r="F359" s="9">
        <v>7</v>
      </c>
      <c r="G359" s="9">
        <v>74</v>
      </c>
      <c r="H359" s="5" t="s">
        <v>20</v>
      </c>
      <c r="I359" s="5" t="s">
        <v>1018</v>
      </c>
      <c r="J359" s="12" t="str">
        <f>HYPERLINK("https://www.boe.es/gazeta/dias/1805/01/22/pdfs/GMD-1805-7.pdf#page=6","Abrir facsímil")</f>
        <v>Abrir facsímil</v>
      </c>
      <c r="K359" s="15" t="s">
        <v>22</v>
      </c>
    </row>
    <row r="360" spans="1:11" ht="42" customHeight="1">
      <c r="A360" s="4" t="s">
        <v>1019</v>
      </c>
      <c r="B360" s="5" t="s">
        <v>1019</v>
      </c>
      <c r="C360" s="5" t="s">
        <v>17</v>
      </c>
      <c r="D360" s="5" t="s">
        <v>18</v>
      </c>
      <c r="E360" s="5" t="s">
        <v>506</v>
      </c>
      <c r="F360" s="9">
        <v>80</v>
      </c>
      <c r="G360" s="9">
        <v>849</v>
      </c>
      <c r="H360" s="5" t="s">
        <v>20</v>
      </c>
      <c r="I360" s="5" t="s">
        <v>1020</v>
      </c>
      <c r="J360" s="12" t="str">
        <f>HYPERLINK("https://www.boe.es/gazeta/dias/1805/10/04/pdfs/GMD-1805-80.pdf#page=9","Abrir facsímil")</f>
        <v>Abrir facsímil</v>
      </c>
      <c r="K360" s="15" t="s">
        <v>22</v>
      </c>
    </row>
    <row r="361" spans="1:11" ht="42" customHeight="1">
      <c r="A361" s="4" t="s">
        <v>1021</v>
      </c>
      <c r="B361" s="5" t="s">
        <v>1021</v>
      </c>
      <c r="C361" s="5" t="s">
        <v>80</v>
      </c>
      <c r="D361" s="5" t="s">
        <v>81</v>
      </c>
      <c r="E361" s="5" t="s">
        <v>1022</v>
      </c>
      <c r="F361" s="9">
        <v>52</v>
      </c>
      <c r="G361" s="9">
        <v>556</v>
      </c>
      <c r="H361" s="5" t="s">
        <v>20</v>
      </c>
      <c r="I361" s="5" t="s">
        <v>1023</v>
      </c>
      <c r="J361" s="12" t="str">
        <f>HYPERLINK("https://www.boe.es/gazeta/dias/1805/06/28/pdfs/GMD-1805-52.pdf#page=4","Abrir facsímil")</f>
        <v>Abrir facsímil</v>
      </c>
      <c r="K361" s="15" t="s">
        <v>22</v>
      </c>
    </row>
    <row r="362" spans="1:11" ht="42" customHeight="1">
      <c r="A362" s="4" t="s">
        <v>1024</v>
      </c>
      <c r="B362" s="5" t="s">
        <v>1025</v>
      </c>
      <c r="C362" s="5" t="s">
        <v>17</v>
      </c>
      <c r="D362" s="5" t="s">
        <v>18</v>
      </c>
      <c r="E362" s="5" t="s">
        <v>649</v>
      </c>
      <c r="F362" s="9">
        <v>7</v>
      </c>
      <c r="G362" s="9">
        <v>74</v>
      </c>
      <c r="H362" s="5" t="s">
        <v>20</v>
      </c>
      <c r="I362" s="5" t="s">
        <v>1026</v>
      </c>
      <c r="J362" s="12" t="str">
        <f>HYPERLINK("https://www.boe.es/gazeta/dias/1805/01/22/pdfs/GMD-1805-7.pdf#page=6","Abrir facsímil")</f>
        <v>Abrir facsímil</v>
      </c>
      <c r="K362" s="15" t="s">
        <v>22</v>
      </c>
    </row>
    <row r="363" spans="1:11" ht="42" customHeight="1">
      <c r="A363" s="4" t="s">
        <v>1027</v>
      </c>
      <c r="B363" s="5" t="s">
        <v>1028</v>
      </c>
      <c r="C363" s="5" t="s">
        <v>35</v>
      </c>
      <c r="D363" s="5" t="s">
        <v>36</v>
      </c>
      <c r="E363" s="5" t="s">
        <v>854</v>
      </c>
      <c r="F363" s="9">
        <v>46</v>
      </c>
      <c r="G363" s="9">
        <v>499</v>
      </c>
      <c r="H363" s="5" t="s">
        <v>20</v>
      </c>
      <c r="I363" s="5" t="s">
        <v>1029</v>
      </c>
      <c r="J363" s="12" t="str">
        <f>HYPERLINK("https://www.boe.es/gazeta/dias/1805/06/07/pdfs/GMD-1805-46.pdf#page=11","Abrir facsímil")</f>
        <v>Abrir facsímil</v>
      </c>
      <c r="K363" s="15" t="s">
        <v>22</v>
      </c>
    </row>
    <row r="364" spans="1:11" ht="42" customHeight="1">
      <c r="A364" s="4" t="s">
        <v>1030</v>
      </c>
      <c r="B364" s="5" t="s">
        <v>1030</v>
      </c>
      <c r="C364" s="5" t="s">
        <v>35</v>
      </c>
      <c r="D364" s="5" t="s">
        <v>36</v>
      </c>
      <c r="E364" s="5" t="s">
        <v>281</v>
      </c>
      <c r="F364" s="9">
        <v>15</v>
      </c>
      <c r="G364" s="9">
        <v>159</v>
      </c>
      <c r="H364" s="5" t="s">
        <v>20</v>
      </c>
      <c r="I364" s="5" t="s">
        <v>1031</v>
      </c>
      <c r="J364" s="12" t="str">
        <f>HYPERLINK("https://www.boe.es/gazeta/dias/1805/02/19/pdfs/GMD-1805-15.pdf#page=11","Abrir facsímil")</f>
        <v>Abrir facsímil</v>
      </c>
      <c r="K364" s="15" t="s">
        <v>22</v>
      </c>
    </row>
    <row r="365" spans="1:11" ht="42" customHeight="1">
      <c r="A365" s="4" t="s">
        <v>1032</v>
      </c>
      <c r="B365" s="5" t="s">
        <v>1033</v>
      </c>
      <c r="C365" s="5" t="s">
        <v>17</v>
      </c>
      <c r="D365" s="5" t="s">
        <v>18</v>
      </c>
      <c r="E365" s="5" t="s">
        <v>831</v>
      </c>
      <c r="F365" s="9">
        <v>62</v>
      </c>
      <c r="G365" s="9">
        <v>663</v>
      </c>
      <c r="H365" s="5" t="s">
        <v>20</v>
      </c>
      <c r="I365" s="5" t="s">
        <v>1034</v>
      </c>
      <c r="J365" s="12" t="str">
        <f>HYPERLINK("https://www.boe.es/gazeta/dias/1805/08/02/pdfs/GMD-1805-62.pdf#page=7","Abrir facsímil")</f>
        <v>Abrir facsímil</v>
      </c>
      <c r="K365" s="15" t="s">
        <v>22</v>
      </c>
    </row>
    <row r="366" spans="1:11" ht="42" customHeight="1">
      <c r="A366" s="4" t="s">
        <v>1035</v>
      </c>
      <c r="B366" s="5" t="s">
        <v>1036</v>
      </c>
      <c r="C366" s="5" t="s">
        <v>80</v>
      </c>
      <c r="D366" s="5" t="s">
        <v>81</v>
      </c>
      <c r="E366" s="5" t="s">
        <v>335</v>
      </c>
      <c r="F366" s="9">
        <v>79</v>
      </c>
      <c r="G366" s="9">
        <v>829</v>
      </c>
      <c r="H366" s="5" t="s">
        <v>20</v>
      </c>
      <c r="I366" s="5" t="s">
        <v>1037</v>
      </c>
      <c r="J366" s="12" t="str">
        <f>HYPERLINK("https://www.boe.es/gazeta/dias/1805/10/01/pdfs/GMD-1805-79.pdf#page=1","Abrir facsímil")</f>
        <v>Abrir facsímil</v>
      </c>
      <c r="K366" s="15" t="s">
        <v>22</v>
      </c>
    </row>
    <row r="367" spans="1:11" ht="42" customHeight="1">
      <c r="A367" s="4" t="s">
        <v>1038</v>
      </c>
      <c r="B367" s="5" t="s">
        <v>1039</v>
      </c>
      <c r="C367" s="5" t="s">
        <v>80</v>
      </c>
      <c r="D367" s="5" t="s">
        <v>81</v>
      </c>
      <c r="E367" s="5" t="s">
        <v>1022</v>
      </c>
      <c r="F367" s="9">
        <v>52</v>
      </c>
      <c r="G367" s="9">
        <v>553</v>
      </c>
      <c r="H367" s="5" t="s">
        <v>20</v>
      </c>
      <c r="I367" s="5" t="s">
        <v>1040</v>
      </c>
      <c r="J367" s="12" t="str">
        <f>HYPERLINK("https://www.boe.es/gazeta/dias/1805/06/28/pdfs/GMD-1805-52.pdf#page=1","Abrir facsímil")</f>
        <v>Abrir facsímil</v>
      </c>
      <c r="K367" s="15" t="s">
        <v>22</v>
      </c>
    </row>
    <row r="368" spans="1:11" ht="42" customHeight="1">
      <c r="A368" s="4" t="s">
        <v>1041</v>
      </c>
      <c r="B368" s="5" t="s">
        <v>1042</v>
      </c>
      <c r="C368" s="5" t="s">
        <v>85</v>
      </c>
      <c r="D368" s="5" t="s">
        <v>86</v>
      </c>
      <c r="E368" s="5" t="s">
        <v>539</v>
      </c>
      <c r="F368" s="9">
        <v>97</v>
      </c>
      <c r="G368" s="9">
        <v>1044</v>
      </c>
      <c r="H368" s="5" t="s">
        <v>20</v>
      </c>
      <c r="I368" s="5" t="s">
        <v>1043</v>
      </c>
      <c r="J368" s="12" t="str">
        <f>HYPERLINK("https://www.boe.es/gazeta/dias/1805/12/03/pdfs/GMD-1805-97.pdf#page=8","Abrir facsímil")</f>
        <v>Abrir facsímil</v>
      </c>
      <c r="K368" s="15" t="s">
        <v>22</v>
      </c>
    </row>
    <row r="369" spans="1:11" ht="42" customHeight="1">
      <c r="A369" s="4" t="s">
        <v>1044</v>
      </c>
      <c r="B369" s="5" t="s">
        <v>1044</v>
      </c>
      <c r="C369" s="5" t="s">
        <v>80</v>
      </c>
      <c r="D369" s="5" t="s">
        <v>81</v>
      </c>
      <c r="E369" s="5" t="s">
        <v>286</v>
      </c>
      <c r="F369" s="9">
        <v>48</v>
      </c>
      <c r="G369" s="9">
        <v>519</v>
      </c>
      <c r="H369" s="5" t="s">
        <v>20</v>
      </c>
      <c r="I369" s="5" t="s">
        <v>1045</v>
      </c>
      <c r="J369" s="12" t="str">
        <f>HYPERLINK("https://www.boe.es/gazeta/dias/1805/06/14/pdfs/GMD-1805-48.pdf#page=7","Abrir facsímil")</f>
        <v>Abrir facsímil</v>
      </c>
      <c r="K369" s="15" t="s">
        <v>22</v>
      </c>
    </row>
    <row r="370" spans="1:11" ht="42" customHeight="1">
      <c r="A370" s="4" t="s">
        <v>1046</v>
      </c>
      <c r="B370" s="5" t="s">
        <v>1047</v>
      </c>
      <c r="C370" s="5" t="s">
        <v>35</v>
      </c>
      <c r="D370" s="5" t="s">
        <v>36</v>
      </c>
      <c r="E370" s="5" t="s">
        <v>539</v>
      </c>
      <c r="F370" s="9">
        <v>97</v>
      </c>
      <c r="G370" s="9">
        <v>1043</v>
      </c>
      <c r="H370" s="5" t="s">
        <v>20</v>
      </c>
      <c r="I370" s="5" t="s">
        <v>1048</v>
      </c>
      <c r="J370" s="12" t="str">
        <f>HYPERLINK("https://www.boe.es/gazeta/dias/1805/12/03/pdfs/GMD-1805-97.pdf#page=7","Abrir facsímil")</f>
        <v>Abrir facsímil</v>
      </c>
      <c r="K370" s="15" t="s">
        <v>22</v>
      </c>
    </row>
    <row r="371" spans="1:11" ht="42" customHeight="1">
      <c r="A371" s="4" t="s">
        <v>1049</v>
      </c>
      <c r="B371" s="5" t="s">
        <v>1050</v>
      </c>
      <c r="C371" s="5" t="s">
        <v>35</v>
      </c>
      <c r="D371" s="5" t="s">
        <v>36</v>
      </c>
      <c r="E371" s="5" t="s">
        <v>539</v>
      </c>
      <c r="F371" s="9">
        <v>97</v>
      </c>
      <c r="G371" s="9">
        <v>1043</v>
      </c>
      <c r="H371" s="5" t="s">
        <v>20</v>
      </c>
      <c r="I371" s="5" t="s">
        <v>1051</v>
      </c>
      <c r="J371" s="12" t="str">
        <f>HYPERLINK("https://www.boe.es/gazeta/dias/1805/12/03/pdfs/GMD-1805-97.pdf#page=7","Abrir facsímil")</f>
        <v>Abrir facsímil</v>
      </c>
      <c r="K371" s="15" t="s">
        <v>22</v>
      </c>
    </row>
    <row r="372" spans="1:11" ht="42" customHeight="1">
      <c r="A372" s="4" t="s">
        <v>1052</v>
      </c>
      <c r="B372" s="5" t="s">
        <v>1053</v>
      </c>
      <c r="C372" s="5" t="s">
        <v>35</v>
      </c>
      <c r="D372" s="5" t="s">
        <v>36</v>
      </c>
      <c r="E372" s="5" t="s">
        <v>138</v>
      </c>
      <c r="F372" s="9">
        <v>102</v>
      </c>
      <c r="G372" s="9">
        <v>1103</v>
      </c>
      <c r="H372" s="5" t="s">
        <v>20</v>
      </c>
      <c r="I372" s="5" t="s">
        <v>1054</v>
      </c>
      <c r="J372" s="12" t="str">
        <f>HYPERLINK("https://www.boe.es/gazeta/dias/1805/12/20/pdfs/GMD-1805-102.pdf#page=7","Abrir facsímil")</f>
        <v>Abrir facsímil</v>
      </c>
      <c r="K372" s="15" t="s">
        <v>22</v>
      </c>
    </row>
    <row r="373" spans="1:11" ht="42" customHeight="1">
      <c r="A373" s="4" t="s">
        <v>1055</v>
      </c>
      <c r="B373" s="5" t="s">
        <v>1056</v>
      </c>
      <c r="C373" s="5" t="s">
        <v>35</v>
      </c>
      <c r="D373" s="5" t="s">
        <v>36</v>
      </c>
      <c r="E373" s="5" t="s">
        <v>226</v>
      </c>
      <c r="F373" s="9">
        <v>73</v>
      </c>
      <c r="G373" s="9">
        <v>774</v>
      </c>
      <c r="H373" s="5" t="s">
        <v>20</v>
      </c>
      <c r="I373" s="5" t="s">
        <v>1057</v>
      </c>
      <c r="J373" s="12" t="str">
        <f>HYPERLINK("https://www.boe.es/gazeta/dias/1805/09/10/pdfs/GMD-1805-73.pdf#page=6","Abrir facsímil")</f>
        <v>Abrir facsímil</v>
      </c>
      <c r="K373" s="15" t="s">
        <v>22</v>
      </c>
    </row>
    <row r="374" spans="1:11" ht="42" customHeight="1">
      <c r="A374" s="4" t="s">
        <v>1058</v>
      </c>
      <c r="B374" s="5" t="s">
        <v>1059</v>
      </c>
      <c r="C374" s="5" t="s">
        <v>35</v>
      </c>
      <c r="D374" s="5" t="s">
        <v>36</v>
      </c>
      <c r="E374" s="5" t="s">
        <v>120</v>
      </c>
      <c r="F374" s="9">
        <v>24</v>
      </c>
      <c r="G374" s="9">
        <v>252</v>
      </c>
      <c r="H374" s="5" t="s">
        <v>20</v>
      </c>
      <c r="I374" s="5" t="s">
        <v>1060</v>
      </c>
      <c r="J374" s="12" t="str">
        <f>HYPERLINK("https://www.boe.es/gazeta/dias/1805/03/22/pdfs/GMD-1805-24.pdf#page=4","Abrir facsímil")</f>
        <v>Abrir facsímil</v>
      </c>
      <c r="K374" s="15" t="s">
        <v>22</v>
      </c>
    </row>
    <row r="375" spans="1:11" ht="42" customHeight="1">
      <c r="A375" s="4" t="s">
        <v>1061</v>
      </c>
      <c r="B375" s="5" t="s">
        <v>1062</v>
      </c>
      <c r="C375" s="5" t="s">
        <v>35</v>
      </c>
      <c r="D375" s="5" t="s">
        <v>36</v>
      </c>
      <c r="E375" s="5" t="s">
        <v>114</v>
      </c>
      <c r="F375" s="9">
        <v>17</v>
      </c>
      <c r="G375" s="9">
        <v>177</v>
      </c>
      <c r="H375" s="5" t="s">
        <v>20</v>
      </c>
      <c r="I375" s="5" t="s">
        <v>1063</v>
      </c>
      <c r="J375" s="12" t="str">
        <f>HYPERLINK("https://www.boe.es/gazeta/dias/1805/02/26/pdfs/GMD-1805-17.pdf#page=9","Abrir facsímil")</f>
        <v>Abrir facsímil</v>
      </c>
      <c r="K375" s="15" t="s">
        <v>22</v>
      </c>
    </row>
    <row r="376" spans="1:11" ht="42" customHeight="1">
      <c r="A376" s="4" t="s">
        <v>1064</v>
      </c>
      <c r="B376" s="5" t="s">
        <v>1065</v>
      </c>
      <c r="C376" s="5" t="s">
        <v>35</v>
      </c>
      <c r="D376" s="5" t="s">
        <v>36</v>
      </c>
      <c r="E376" s="5" t="s">
        <v>48</v>
      </c>
      <c r="F376" s="9">
        <v>35</v>
      </c>
      <c r="G376" s="9">
        <v>375</v>
      </c>
      <c r="H376" s="5" t="s">
        <v>20</v>
      </c>
      <c r="I376" s="5" t="s">
        <v>1066</v>
      </c>
      <c r="J376" s="12" t="str">
        <f>HYPERLINK("https://www.boe.es/gazeta/dias/1805/04/30/pdfs/GMD-1805-35.pdf#page=7","Abrir facsímil")</f>
        <v>Abrir facsímil</v>
      </c>
      <c r="K376" s="15" t="s">
        <v>22</v>
      </c>
    </row>
    <row r="377" spans="1:11" ht="42" customHeight="1">
      <c r="A377" s="4" t="s">
        <v>1067</v>
      </c>
      <c r="B377" s="5" t="s">
        <v>1067</v>
      </c>
      <c r="C377" s="5" t="s">
        <v>35</v>
      </c>
      <c r="D377" s="5" t="s">
        <v>36</v>
      </c>
      <c r="E377" s="5" t="s">
        <v>91</v>
      </c>
      <c r="F377" s="9">
        <v>28</v>
      </c>
      <c r="G377" s="9">
        <v>299</v>
      </c>
      <c r="H377" s="5" t="s">
        <v>20</v>
      </c>
      <c r="I377" s="5" t="s">
        <v>1068</v>
      </c>
      <c r="J377" s="12" t="str">
        <f>HYPERLINK("https://www.boe.es/gazeta/dias/1805/04/05/pdfs/GMD-1805-28.pdf#page=7","Abrir facsímil")</f>
        <v>Abrir facsímil</v>
      </c>
      <c r="K377" s="15" t="s">
        <v>22</v>
      </c>
    </row>
    <row r="378" spans="1:11" ht="42" customHeight="1">
      <c r="A378" s="4" t="s">
        <v>1069</v>
      </c>
      <c r="B378" s="5" t="s">
        <v>1070</v>
      </c>
      <c r="C378" s="5" t="s">
        <v>80</v>
      </c>
      <c r="D378" s="5" t="s">
        <v>81</v>
      </c>
      <c r="E378" s="5" t="s">
        <v>215</v>
      </c>
      <c r="F378" s="9">
        <v>87</v>
      </c>
      <c r="G378" s="9">
        <v>926</v>
      </c>
      <c r="H378" s="5" t="s">
        <v>20</v>
      </c>
      <c r="I378" s="5" t="s">
        <v>1071</v>
      </c>
      <c r="J378" s="12" t="str">
        <f>HYPERLINK("https://www.boe.es/gazeta/dias/1805/10/29/pdfs/GMD-1805-87.pdf#page=10","Abrir facsímil")</f>
        <v>Abrir facsímil</v>
      </c>
      <c r="K378" s="15" t="s">
        <v>22</v>
      </c>
    </row>
    <row r="379" spans="1:11" ht="42" customHeight="1">
      <c r="A379" s="4" t="s">
        <v>1072</v>
      </c>
      <c r="B379" s="5" t="s">
        <v>1073</v>
      </c>
      <c r="C379" s="5" t="s">
        <v>17</v>
      </c>
      <c r="D379" s="5" t="s">
        <v>18</v>
      </c>
      <c r="E379" s="5" t="s">
        <v>787</v>
      </c>
      <c r="F379" s="9">
        <v>95</v>
      </c>
      <c r="G379" s="9">
        <v>1018</v>
      </c>
      <c r="H379" s="5" t="s">
        <v>20</v>
      </c>
      <c r="I379" s="5" t="s">
        <v>1074</v>
      </c>
      <c r="J379" s="12" t="str">
        <f>HYPERLINK("https://www.boe.es/gazeta/dias/1805/11/26/pdfs/GMD-1805-95.pdf#page=6","Abrir facsímil")</f>
        <v>Abrir facsímil</v>
      </c>
      <c r="K379" s="15" t="s">
        <v>22</v>
      </c>
    </row>
    <row r="380" spans="1:11" ht="42" customHeight="1">
      <c r="A380" s="4" t="s">
        <v>1072</v>
      </c>
      <c r="B380" s="5" t="s">
        <v>1073</v>
      </c>
      <c r="C380" s="5" t="s">
        <v>80</v>
      </c>
      <c r="D380" s="5" t="s">
        <v>81</v>
      </c>
      <c r="E380" s="5" t="s">
        <v>217</v>
      </c>
      <c r="F380" s="9">
        <v>96</v>
      </c>
      <c r="G380" s="9">
        <v>1027</v>
      </c>
      <c r="H380" s="5" t="s">
        <v>20</v>
      </c>
      <c r="I380" s="5" t="s">
        <v>1075</v>
      </c>
      <c r="J380" s="12" t="str">
        <f>HYPERLINK("https://www.boe.es/gazeta/dias/1805/11/29/pdfs/GMD-1805-96.pdf#page=3","Abrir facsímil")</f>
        <v>Abrir facsímil</v>
      </c>
      <c r="K380" s="15" t="s">
        <v>22</v>
      </c>
    </row>
    <row r="381" spans="1:11" ht="42" customHeight="1">
      <c r="A381" s="4" t="s">
        <v>1076</v>
      </c>
      <c r="B381" s="5" t="s">
        <v>1077</v>
      </c>
      <c r="C381" s="5" t="s">
        <v>35</v>
      </c>
      <c r="D381" s="5" t="s">
        <v>36</v>
      </c>
      <c r="E381" s="5" t="s">
        <v>71</v>
      </c>
      <c r="F381" s="9">
        <v>33</v>
      </c>
      <c r="G381" s="9">
        <v>351</v>
      </c>
      <c r="H381" s="5" t="s">
        <v>20</v>
      </c>
      <c r="I381" s="5" t="s">
        <v>1078</v>
      </c>
      <c r="J381" s="12" t="str">
        <f>HYPERLINK("https://www.boe.es/gazeta/dias/1805/04/23/pdfs/GMD-1805-33.pdf#page=7","Abrir facsímil")</f>
        <v>Abrir facsímil</v>
      </c>
      <c r="K381" s="15" t="s">
        <v>22</v>
      </c>
    </row>
    <row r="382" spans="1:11" ht="42" customHeight="1">
      <c r="A382" s="4" t="s">
        <v>1079</v>
      </c>
      <c r="B382" s="5" t="s">
        <v>1080</v>
      </c>
      <c r="C382" s="5" t="s">
        <v>80</v>
      </c>
      <c r="D382" s="5" t="s">
        <v>81</v>
      </c>
      <c r="E382" s="5" t="s">
        <v>103</v>
      </c>
      <c r="F382" s="9">
        <v>30</v>
      </c>
      <c r="G382" s="9">
        <v>321</v>
      </c>
      <c r="H382" s="5" t="s">
        <v>20</v>
      </c>
      <c r="I382" s="5" t="s">
        <v>1081</v>
      </c>
      <c r="J382" s="12" t="str">
        <f>HYPERLINK("https://www.boe.es/gazeta/dias/1805/04/12/pdfs/GMD-1805-30.pdf#page=5","Abrir facsímil")</f>
        <v>Abrir facsímil</v>
      </c>
      <c r="K382" s="15" t="s">
        <v>22</v>
      </c>
    </row>
    <row r="383" spans="1:11" ht="42" customHeight="1">
      <c r="A383" s="4" t="s">
        <v>1082</v>
      </c>
      <c r="B383" s="5" t="s">
        <v>1083</v>
      </c>
      <c r="C383" s="5" t="s">
        <v>17</v>
      </c>
      <c r="D383" s="5" t="s">
        <v>18</v>
      </c>
      <c r="E383" s="5" t="s">
        <v>76</v>
      </c>
      <c r="F383" s="9">
        <v>66</v>
      </c>
      <c r="G383" s="9">
        <v>708</v>
      </c>
      <c r="H383" s="5" t="s">
        <v>20</v>
      </c>
      <c r="I383" s="5" t="s">
        <v>1084</v>
      </c>
      <c r="J383" s="12" t="str">
        <f>HYPERLINK("https://www.boe.es/gazeta/dias/1805/08/16/pdfs/GMD-1805-66.pdf#page=8","Abrir facsímil")</f>
        <v>Abrir facsímil</v>
      </c>
      <c r="K383" s="15" t="s">
        <v>22</v>
      </c>
    </row>
    <row r="384" spans="1:11" ht="42" customHeight="1">
      <c r="A384" s="4" t="s">
        <v>1085</v>
      </c>
      <c r="B384" s="5" t="s">
        <v>1086</v>
      </c>
      <c r="C384" s="5" t="s">
        <v>17</v>
      </c>
      <c r="D384" s="5" t="s">
        <v>18</v>
      </c>
      <c r="E384" s="5" t="s">
        <v>63</v>
      </c>
      <c r="F384" s="9">
        <v>101</v>
      </c>
      <c r="G384" s="9">
        <v>1091</v>
      </c>
      <c r="H384" s="5" t="s">
        <v>20</v>
      </c>
      <c r="I384" s="5" t="s">
        <v>1087</v>
      </c>
      <c r="J384" s="12" t="str">
        <f>HYPERLINK("https://www.boe.es/gazeta/dias/1805/12/17/pdfs/GMD-1805-101.pdf#page=7","Abrir facsímil")</f>
        <v>Abrir facsímil</v>
      </c>
      <c r="K384" s="15" t="s">
        <v>22</v>
      </c>
    </row>
    <row r="385" spans="1:11" ht="42" customHeight="1">
      <c r="A385" s="4" t="s">
        <v>1088</v>
      </c>
      <c r="B385" s="5" t="s">
        <v>1089</v>
      </c>
      <c r="C385" s="5" t="s">
        <v>17</v>
      </c>
      <c r="D385" s="5" t="s">
        <v>18</v>
      </c>
      <c r="E385" s="5" t="s">
        <v>495</v>
      </c>
      <c r="F385" s="9">
        <v>103</v>
      </c>
      <c r="G385" s="9">
        <v>1115</v>
      </c>
      <c r="H385" s="5" t="s">
        <v>20</v>
      </c>
      <c r="I385" s="5" t="s">
        <v>1090</v>
      </c>
      <c r="J385" s="12" t="str">
        <f>HYPERLINK("https://www.boe.es/gazeta/dias/1805/12/24/pdfs/GMD-1805-103.pdf#page=7","Abrir facsímil")</f>
        <v>Abrir facsímil</v>
      </c>
      <c r="K385" s="15" t="s">
        <v>22</v>
      </c>
    </row>
    <row r="386" spans="1:11" ht="42" customHeight="1">
      <c r="A386" s="4" t="s">
        <v>1091</v>
      </c>
      <c r="B386" s="5" t="s">
        <v>1092</v>
      </c>
      <c r="C386" s="5" t="s">
        <v>17</v>
      </c>
      <c r="D386" s="5" t="s">
        <v>18</v>
      </c>
      <c r="E386" s="5" t="s">
        <v>63</v>
      </c>
      <c r="F386" s="9">
        <v>101</v>
      </c>
      <c r="G386" s="9">
        <v>1091</v>
      </c>
      <c r="H386" s="5" t="s">
        <v>20</v>
      </c>
      <c r="I386" s="5" t="s">
        <v>1093</v>
      </c>
      <c r="J386" s="12" t="str">
        <f>HYPERLINK("https://www.boe.es/gazeta/dias/1805/12/17/pdfs/GMD-1805-101.pdf#page=7","Abrir facsímil")</f>
        <v>Abrir facsímil</v>
      </c>
      <c r="K386" s="15" t="s">
        <v>22</v>
      </c>
    </row>
    <row r="387" spans="1:11" ht="42" customHeight="1">
      <c r="A387" s="4" t="s">
        <v>1094</v>
      </c>
      <c r="B387" s="5" t="s">
        <v>1095</v>
      </c>
      <c r="C387" s="5" t="s">
        <v>52</v>
      </c>
      <c r="D387" s="5" t="s">
        <v>53</v>
      </c>
      <c r="E387" s="5" t="s">
        <v>144</v>
      </c>
      <c r="F387" s="9">
        <v>85</v>
      </c>
      <c r="G387" s="9" t="s">
        <v>55</v>
      </c>
      <c r="H387" s="5" t="s">
        <v>20</v>
      </c>
      <c r="I387" s="5" t="s">
        <v>1096</v>
      </c>
      <c r="J387" s="12" t="str">
        <f>HYPERLINK("https://www.boe.es/gazeta/dias/1805/10/22/pdfs/GMD-C-1805-85.pdf#page=4","Abrir facsímil")</f>
        <v>Abrir facsímil</v>
      </c>
      <c r="K387" s="15" t="s">
        <v>22</v>
      </c>
    </row>
    <row r="388" spans="1:11" ht="42" customHeight="1">
      <c r="A388" s="4" t="s">
        <v>1097</v>
      </c>
      <c r="B388" s="5" t="s">
        <v>1098</v>
      </c>
      <c r="C388" s="5" t="s">
        <v>35</v>
      </c>
      <c r="D388" s="5" t="s">
        <v>36</v>
      </c>
      <c r="E388" s="5" t="s">
        <v>63</v>
      </c>
      <c r="F388" s="9">
        <v>101</v>
      </c>
      <c r="G388" s="9">
        <v>1093</v>
      </c>
      <c r="H388" s="5" t="s">
        <v>20</v>
      </c>
      <c r="I388" s="5" t="s">
        <v>1099</v>
      </c>
      <c r="J388" s="12" t="str">
        <f>HYPERLINK("https://www.boe.es/gazeta/dias/1805/12/17/pdfs/GMD-1805-101.pdf#page=9","Abrir facsímil")</f>
        <v>Abrir facsímil</v>
      </c>
      <c r="K388" s="15" t="s">
        <v>22</v>
      </c>
    </row>
    <row r="389" spans="1:11" ht="42" customHeight="1">
      <c r="A389" s="4" t="s">
        <v>1100</v>
      </c>
      <c r="B389" s="5" t="s">
        <v>1101</v>
      </c>
      <c r="C389" s="5" t="s">
        <v>17</v>
      </c>
      <c r="D389" s="5" t="s">
        <v>18</v>
      </c>
      <c r="E389" s="5" t="s">
        <v>63</v>
      </c>
      <c r="F389" s="9">
        <v>101</v>
      </c>
      <c r="G389" s="9">
        <v>1092</v>
      </c>
      <c r="H389" s="5" t="s">
        <v>20</v>
      </c>
      <c r="I389" s="5" t="s">
        <v>1102</v>
      </c>
      <c r="J389" s="12" t="str">
        <f>HYPERLINK("https://www.boe.es/gazeta/dias/1805/12/17/pdfs/GMD-1805-101.pdf#page=8","Abrir facsímil")</f>
        <v>Abrir facsímil</v>
      </c>
      <c r="K389" s="15" t="s">
        <v>22</v>
      </c>
    </row>
    <row r="390" spans="1:11" ht="42" customHeight="1">
      <c r="A390" s="4" t="s">
        <v>1103</v>
      </c>
      <c r="B390" s="5" t="s">
        <v>1104</v>
      </c>
      <c r="C390" s="5" t="s">
        <v>35</v>
      </c>
      <c r="D390" s="5" t="s">
        <v>36</v>
      </c>
      <c r="E390" s="5" t="s">
        <v>215</v>
      </c>
      <c r="F390" s="9">
        <v>87</v>
      </c>
      <c r="G390" s="9">
        <v>927</v>
      </c>
      <c r="H390" s="5" t="s">
        <v>20</v>
      </c>
      <c r="I390" s="5" t="s">
        <v>1105</v>
      </c>
      <c r="J390" s="12" t="str">
        <f>HYPERLINK("https://www.boe.es/gazeta/dias/1805/10/29/pdfs/GMD-1805-87.pdf#page=11","Abrir facsímil")</f>
        <v>Abrir facsímil</v>
      </c>
      <c r="K390" s="15" t="s">
        <v>22</v>
      </c>
    </row>
    <row r="391" spans="1:11" ht="42" customHeight="1">
      <c r="A391" s="4" t="s">
        <v>1106</v>
      </c>
      <c r="B391" s="5" t="s">
        <v>1107</v>
      </c>
      <c r="C391" s="5" t="s">
        <v>17</v>
      </c>
      <c r="D391" s="5" t="s">
        <v>18</v>
      </c>
      <c r="E391" s="5" t="s">
        <v>138</v>
      </c>
      <c r="F391" s="9">
        <v>102</v>
      </c>
      <c r="G391" s="9">
        <v>1104</v>
      </c>
      <c r="H391" s="5" t="s">
        <v>20</v>
      </c>
      <c r="I391" s="5" t="s">
        <v>1108</v>
      </c>
      <c r="J391" s="12" t="str">
        <f>HYPERLINK("https://www.boe.es/gazeta/dias/1805/12/20/pdfs/GMD-1805-102.pdf#page=8","Abrir facsímil")</f>
        <v>Abrir facsímil</v>
      </c>
      <c r="K391" s="15" t="s">
        <v>22</v>
      </c>
    </row>
    <row r="392" spans="1:11" ht="42" customHeight="1">
      <c r="A392" s="4" t="s">
        <v>1109</v>
      </c>
      <c r="B392" s="5" t="s">
        <v>1110</v>
      </c>
      <c r="C392" s="5" t="s">
        <v>35</v>
      </c>
      <c r="D392" s="5" t="s">
        <v>36</v>
      </c>
      <c r="E392" s="5" t="s">
        <v>138</v>
      </c>
      <c r="F392" s="9">
        <v>102</v>
      </c>
      <c r="G392" s="9">
        <v>1104</v>
      </c>
      <c r="H392" s="5" t="s">
        <v>20</v>
      </c>
      <c r="I392" s="5" t="s">
        <v>1111</v>
      </c>
      <c r="J392" s="12" t="str">
        <f>HYPERLINK("https://www.boe.es/gazeta/dias/1805/12/20/pdfs/GMD-1805-102.pdf#page=8","Abrir facsímil")</f>
        <v>Abrir facsímil</v>
      </c>
      <c r="K392" s="15" t="s">
        <v>22</v>
      </c>
    </row>
    <row r="393" spans="1:11" ht="42" customHeight="1">
      <c r="A393" s="4" t="s">
        <v>1112</v>
      </c>
      <c r="B393" s="5" t="s">
        <v>1113</v>
      </c>
      <c r="C393" s="5" t="s">
        <v>17</v>
      </c>
      <c r="D393" s="5" t="s">
        <v>18</v>
      </c>
      <c r="E393" s="5" t="s">
        <v>138</v>
      </c>
      <c r="F393" s="9">
        <v>102</v>
      </c>
      <c r="G393" s="9">
        <v>1104</v>
      </c>
      <c r="H393" s="5" t="s">
        <v>20</v>
      </c>
      <c r="I393" s="5" t="s">
        <v>1114</v>
      </c>
      <c r="J393" s="12" t="str">
        <f>HYPERLINK("https://www.boe.es/gazeta/dias/1805/12/20/pdfs/GMD-1805-102.pdf#page=8","Abrir facsímil")</f>
        <v>Abrir facsímil</v>
      </c>
      <c r="K393" s="15" t="s">
        <v>22</v>
      </c>
    </row>
    <row r="394" spans="1:11" ht="42" customHeight="1">
      <c r="A394" s="4" t="s">
        <v>1115</v>
      </c>
      <c r="B394" s="5" t="s">
        <v>1116</v>
      </c>
      <c r="C394" s="5" t="s">
        <v>29</v>
      </c>
      <c r="D394" s="5" t="s">
        <v>30</v>
      </c>
      <c r="E394" s="5" t="s">
        <v>170</v>
      </c>
      <c r="F394" s="9">
        <v>9</v>
      </c>
      <c r="G394" s="9">
        <v>95</v>
      </c>
      <c r="H394" s="5" t="s">
        <v>20</v>
      </c>
      <c r="I394" s="5" t="s">
        <v>1117</v>
      </c>
      <c r="J394" s="12" t="str">
        <f>HYPERLINK("https://www.boe.es/gazeta/dias/1805/01/29/pdfs/GMD-1805-9.pdf#page=3","Abrir facsímil")</f>
        <v>Abrir facsímil</v>
      </c>
      <c r="K394" s="15" t="s">
        <v>22</v>
      </c>
    </row>
    <row r="395" spans="1:11" ht="42" customHeight="1">
      <c r="A395" s="4" t="s">
        <v>1118</v>
      </c>
      <c r="B395" s="5" t="s">
        <v>1119</v>
      </c>
      <c r="C395" s="5" t="s">
        <v>35</v>
      </c>
      <c r="D395" s="5" t="s">
        <v>36</v>
      </c>
      <c r="E395" s="5" t="s">
        <v>261</v>
      </c>
      <c r="F395" s="9">
        <v>18</v>
      </c>
      <c r="G395" s="9" t="s">
        <v>145</v>
      </c>
      <c r="H395" s="5" t="s">
        <v>20</v>
      </c>
      <c r="I395" s="5" t="s">
        <v>1120</v>
      </c>
      <c r="J395" s="12" t="str">
        <f>HYPERLINK("https://www.boe.es/gazeta/dias/1805/03/01/pdfs/GMD-C-1805-18.pdf#page=2","Abrir facsímil")</f>
        <v>Abrir facsímil</v>
      </c>
      <c r="K395" s="15" t="s">
        <v>22</v>
      </c>
    </row>
    <row r="396" spans="1:11" ht="42" customHeight="1">
      <c r="A396" s="4" t="s">
        <v>1121</v>
      </c>
      <c r="B396" s="5" t="s">
        <v>1122</v>
      </c>
      <c r="C396" s="5" t="s">
        <v>35</v>
      </c>
      <c r="D396" s="5" t="s">
        <v>36</v>
      </c>
      <c r="E396" s="5" t="s">
        <v>24</v>
      </c>
      <c r="F396" s="9">
        <v>11</v>
      </c>
      <c r="G396" s="9">
        <v>121</v>
      </c>
      <c r="H396" s="5" t="s">
        <v>20</v>
      </c>
      <c r="I396" s="5" t="s">
        <v>1123</v>
      </c>
      <c r="J396" s="12" t="str">
        <f>HYPERLINK("https://www.boe.es/gazeta/dias/1805/02/05/pdfs/GMD-1805-11.pdf#page=9","Abrir facsímil")</f>
        <v>Abrir facsímil</v>
      </c>
      <c r="K396" s="15" t="s">
        <v>22</v>
      </c>
    </row>
    <row r="397" spans="1:11" ht="42" customHeight="1">
      <c r="A397" s="4" t="s">
        <v>1124</v>
      </c>
      <c r="B397" s="5" t="s">
        <v>1125</v>
      </c>
      <c r="C397" s="5" t="s">
        <v>35</v>
      </c>
      <c r="D397" s="5" t="s">
        <v>36</v>
      </c>
      <c r="E397" s="5" t="s">
        <v>91</v>
      </c>
      <c r="F397" s="9">
        <v>28</v>
      </c>
      <c r="G397" s="9">
        <v>299</v>
      </c>
      <c r="H397" s="5" t="s">
        <v>20</v>
      </c>
      <c r="I397" s="5" t="s">
        <v>1126</v>
      </c>
      <c r="J397" s="12" t="str">
        <f>HYPERLINK("https://www.boe.es/gazeta/dias/1805/04/05/pdfs/GMD-1805-28.pdf#page=7","Abrir facsímil")</f>
        <v>Abrir facsímil</v>
      </c>
      <c r="K397" s="15" t="s">
        <v>22</v>
      </c>
    </row>
    <row r="398" spans="1:11" ht="42" customHeight="1">
      <c r="A398" s="4" t="s">
        <v>1124</v>
      </c>
      <c r="B398" s="5" t="s">
        <v>1125</v>
      </c>
      <c r="C398" s="5" t="s">
        <v>35</v>
      </c>
      <c r="D398" s="5" t="s">
        <v>36</v>
      </c>
      <c r="E398" s="5" t="s">
        <v>226</v>
      </c>
      <c r="F398" s="9">
        <v>73</v>
      </c>
      <c r="G398" s="9">
        <v>773</v>
      </c>
      <c r="H398" s="5" t="s">
        <v>20</v>
      </c>
      <c r="I398" s="5" t="s">
        <v>1127</v>
      </c>
      <c r="J398" s="12" t="str">
        <f>HYPERLINK("https://www.boe.es/gazeta/dias/1805/09/10/pdfs/GMD-1805-73.pdf#page=5","Abrir facsímil")</f>
        <v>Abrir facsímil</v>
      </c>
      <c r="K398" s="15" t="s">
        <v>22</v>
      </c>
    </row>
    <row r="399" spans="1:11" ht="42" customHeight="1">
      <c r="A399" s="4" t="s">
        <v>1128</v>
      </c>
      <c r="B399" s="5" t="s">
        <v>1128</v>
      </c>
      <c r="C399" s="5" t="s">
        <v>29</v>
      </c>
      <c r="D399" s="5" t="s">
        <v>30</v>
      </c>
      <c r="E399" s="5" t="s">
        <v>387</v>
      </c>
      <c r="F399" s="9">
        <v>4</v>
      </c>
      <c r="G399" s="9">
        <v>44</v>
      </c>
      <c r="H399" s="5" t="s">
        <v>20</v>
      </c>
      <c r="I399" s="5" t="s">
        <v>1129</v>
      </c>
      <c r="J399" s="12" t="str">
        <f>HYPERLINK("https://www.boe.es/gazeta/dias/1805/01/11/pdfs/GMD-1805-4.pdf#page=12","Abrir facsímil")</f>
        <v>Abrir facsímil</v>
      </c>
      <c r="K399" s="15" t="s">
        <v>22</v>
      </c>
    </row>
    <row r="400" spans="1:11" ht="42" customHeight="1">
      <c r="A400" s="4" t="s">
        <v>1130</v>
      </c>
      <c r="B400" s="5" t="s">
        <v>1131</v>
      </c>
      <c r="C400" s="5" t="s">
        <v>35</v>
      </c>
      <c r="D400" s="5" t="s">
        <v>36</v>
      </c>
      <c r="E400" s="5" t="s">
        <v>1132</v>
      </c>
      <c r="F400" s="9">
        <v>72</v>
      </c>
      <c r="G400" s="9">
        <v>767</v>
      </c>
      <c r="H400" s="5" t="s">
        <v>20</v>
      </c>
      <c r="I400" s="5" t="s">
        <v>1133</v>
      </c>
      <c r="J400" s="12" t="str">
        <f>HYPERLINK("https://www.boe.es/gazeta/dias/1805/09/06/pdfs/GMD-1805-72.pdf#page=7","Abrir facsímil")</f>
        <v>Abrir facsímil</v>
      </c>
      <c r="K400" s="15" t="s">
        <v>22</v>
      </c>
    </row>
    <row r="401" spans="1:11" ht="42" customHeight="1">
      <c r="A401" s="4" t="s">
        <v>1134</v>
      </c>
      <c r="B401" s="5" t="s">
        <v>1134</v>
      </c>
      <c r="C401" s="5" t="s">
        <v>35</v>
      </c>
      <c r="D401" s="5" t="s">
        <v>36</v>
      </c>
      <c r="E401" s="5" t="s">
        <v>854</v>
      </c>
      <c r="F401" s="9">
        <v>46</v>
      </c>
      <c r="G401" s="9">
        <v>499</v>
      </c>
      <c r="H401" s="5" t="s">
        <v>20</v>
      </c>
      <c r="I401" s="5" t="s">
        <v>1135</v>
      </c>
      <c r="J401" s="12" t="str">
        <f>HYPERLINK("https://www.boe.es/gazeta/dias/1805/06/07/pdfs/GMD-1805-46.pdf#page=11","Abrir facsímil")</f>
        <v>Abrir facsímil</v>
      </c>
      <c r="K401" s="15" t="s">
        <v>22</v>
      </c>
    </row>
    <row r="402" spans="1:11" ht="42" customHeight="1">
      <c r="A402" s="4" t="s">
        <v>1136</v>
      </c>
      <c r="B402" s="5" t="s">
        <v>1137</v>
      </c>
      <c r="C402" s="5" t="s">
        <v>35</v>
      </c>
      <c r="D402" s="5" t="s">
        <v>36</v>
      </c>
      <c r="E402" s="5" t="s">
        <v>363</v>
      </c>
      <c r="F402" s="9">
        <v>1</v>
      </c>
      <c r="G402" s="9">
        <v>10</v>
      </c>
      <c r="H402" s="5" t="s">
        <v>20</v>
      </c>
      <c r="I402" s="5" t="s">
        <v>1138</v>
      </c>
      <c r="J402" s="12" t="str">
        <f>HYPERLINK("https://www.boe.es/gazeta/dias/1805/01/01/pdfs/GMD-1805-1.pdf#page=10","Abrir facsímil")</f>
        <v>Abrir facsímil</v>
      </c>
      <c r="K402" s="15" t="s">
        <v>22</v>
      </c>
    </row>
    <row r="403" spans="1:11" ht="42" customHeight="1">
      <c r="A403" s="4" t="s">
        <v>1139</v>
      </c>
      <c r="B403" s="5" t="s">
        <v>1140</v>
      </c>
      <c r="C403" s="5" t="s">
        <v>85</v>
      </c>
      <c r="D403" s="5" t="s">
        <v>86</v>
      </c>
      <c r="E403" s="5" t="s">
        <v>141</v>
      </c>
      <c r="F403" s="9">
        <v>82</v>
      </c>
      <c r="G403" s="9">
        <v>872</v>
      </c>
      <c r="H403" s="5" t="s">
        <v>20</v>
      </c>
      <c r="I403" s="5" t="s">
        <v>1141</v>
      </c>
      <c r="J403" s="12" t="str">
        <f>HYPERLINK("https://www.boe.es/gazeta/dias/1805/10/11/pdfs/GMD-1805-82.pdf#page=12","Abrir facsímil")</f>
        <v>Abrir facsímil</v>
      </c>
      <c r="K403" s="15" t="s">
        <v>22</v>
      </c>
    </row>
    <row r="404" spans="1:11" ht="42" customHeight="1">
      <c r="A404" s="4" t="s">
        <v>1142</v>
      </c>
      <c r="B404" s="5" t="s">
        <v>1143</v>
      </c>
      <c r="C404" s="5" t="s">
        <v>17</v>
      </c>
      <c r="D404" s="5" t="s">
        <v>18</v>
      </c>
      <c r="E404" s="5" t="s">
        <v>506</v>
      </c>
      <c r="F404" s="9">
        <v>80</v>
      </c>
      <c r="G404" s="9">
        <v>845</v>
      </c>
      <c r="H404" s="5" t="s">
        <v>20</v>
      </c>
      <c r="I404" s="5" t="s">
        <v>1144</v>
      </c>
      <c r="J404" s="12" t="str">
        <f>HYPERLINK("https://www.boe.es/gazeta/dias/1805/10/04/pdfs/GMD-1805-80.pdf#page=5","Abrir facsímil")</f>
        <v>Abrir facsímil</v>
      </c>
      <c r="K404" s="15" t="s">
        <v>22</v>
      </c>
    </row>
    <row r="405" spans="1:11" ht="42" customHeight="1">
      <c r="A405" s="4" t="s">
        <v>1145</v>
      </c>
      <c r="B405" s="5" t="s">
        <v>1146</v>
      </c>
      <c r="C405" s="5" t="s">
        <v>85</v>
      </c>
      <c r="D405" s="5" t="s">
        <v>86</v>
      </c>
      <c r="E405" s="5" t="s">
        <v>286</v>
      </c>
      <c r="F405" s="9">
        <v>48</v>
      </c>
      <c r="G405" s="9">
        <v>522</v>
      </c>
      <c r="H405" s="5" t="s">
        <v>20</v>
      </c>
      <c r="I405" s="5" t="s">
        <v>1147</v>
      </c>
      <c r="J405" s="12" t="str">
        <f>HYPERLINK("https://www.boe.es/gazeta/dias/1805/06/14/pdfs/GMD-1805-48.pdf#page=10","Abrir facsímil")</f>
        <v>Abrir facsímil</v>
      </c>
      <c r="K405" s="15" t="s">
        <v>22</v>
      </c>
    </row>
    <row r="406" spans="1:11" ht="42" customHeight="1">
      <c r="A406" s="4" t="s">
        <v>1148</v>
      </c>
      <c r="B406" s="5" t="s">
        <v>1149</v>
      </c>
      <c r="C406" s="5" t="s">
        <v>80</v>
      </c>
      <c r="D406" s="5" t="s">
        <v>81</v>
      </c>
      <c r="E406" s="5" t="s">
        <v>19</v>
      </c>
      <c r="F406" s="9">
        <v>86</v>
      </c>
      <c r="G406" s="9">
        <v>908</v>
      </c>
      <c r="H406" s="5" t="s">
        <v>20</v>
      </c>
      <c r="I406" s="5" t="s">
        <v>1150</v>
      </c>
      <c r="J406" s="12" t="str">
        <f>HYPERLINK("https://www.boe.es/gazeta/dias/1805/10/25/pdfs/GMD-1805-86.pdf#page=4","Abrir facsímil")</f>
        <v>Abrir facsímil</v>
      </c>
      <c r="K406" s="15" t="s">
        <v>22</v>
      </c>
    </row>
    <row r="407" spans="1:11" ht="42" customHeight="1">
      <c r="A407" s="4" t="s">
        <v>1151</v>
      </c>
      <c r="B407" s="5" t="s">
        <v>1152</v>
      </c>
      <c r="C407" s="5" t="s">
        <v>52</v>
      </c>
      <c r="D407" s="5" t="s">
        <v>53</v>
      </c>
      <c r="E407" s="5" t="s">
        <v>144</v>
      </c>
      <c r="F407" s="9">
        <v>85</v>
      </c>
      <c r="G407" s="9" t="s">
        <v>1153</v>
      </c>
      <c r="H407" s="5" t="s">
        <v>20</v>
      </c>
      <c r="I407" s="5" t="s">
        <v>1154</v>
      </c>
      <c r="J407" s="12" t="str">
        <f>HYPERLINK("https://www.boe.es/gazeta/dias/1805/10/22/pdfs/GMD-C-1805-85.pdf#page=8","Abrir facsímil")</f>
        <v>Abrir facsímil</v>
      </c>
      <c r="K407" s="15" t="s">
        <v>22</v>
      </c>
    </row>
    <row r="408" spans="1:11" ht="42" customHeight="1">
      <c r="A408" s="4" t="s">
        <v>1155</v>
      </c>
      <c r="B408" s="5" t="s">
        <v>1155</v>
      </c>
      <c r="C408" s="5" t="s">
        <v>17</v>
      </c>
      <c r="D408" s="5" t="s">
        <v>18</v>
      </c>
      <c r="E408" s="5" t="s">
        <v>296</v>
      </c>
      <c r="F408" s="9">
        <v>26</v>
      </c>
      <c r="G408" s="9">
        <v>278</v>
      </c>
      <c r="H408" s="5" t="s">
        <v>20</v>
      </c>
      <c r="I408" s="5" t="s">
        <v>1156</v>
      </c>
      <c r="J408" s="12" t="str">
        <f>HYPERLINK("https://www.boe.es/gazeta/dias/1805/03/29/pdfs/GMD-1805-26.pdf#page=10","Abrir facsímil")</f>
        <v>Abrir facsímil</v>
      </c>
      <c r="K408" s="15" t="s">
        <v>22</v>
      </c>
    </row>
    <row r="409" spans="1:11" ht="42" customHeight="1">
      <c r="A409" s="4" t="s">
        <v>1157</v>
      </c>
      <c r="B409" s="5" t="s">
        <v>1158</v>
      </c>
      <c r="C409" s="5" t="s">
        <v>35</v>
      </c>
      <c r="D409" s="5" t="s">
        <v>36</v>
      </c>
      <c r="E409" s="5" t="s">
        <v>854</v>
      </c>
      <c r="F409" s="9">
        <v>46</v>
      </c>
      <c r="G409" s="9">
        <v>499</v>
      </c>
      <c r="H409" s="5" t="s">
        <v>20</v>
      </c>
      <c r="I409" s="5" t="s">
        <v>1159</v>
      </c>
      <c r="J409" s="12" t="str">
        <f>HYPERLINK("https://www.boe.es/gazeta/dias/1805/06/07/pdfs/GMD-1805-46.pdf#page=11","Abrir facsímil")</f>
        <v>Abrir facsímil</v>
      </c>
      <c r="K409" s="15" t="s">
        <v>22</v>
      </c>
    </row>
    <row r="410" spans="1:11" ht="42" customHeight="1">
      <c r="A410" s="4" t="s">
        <v>1160</v>
      </c>
      <c r="B410" s="5" t="s">
        <v>1161</v>
      </c>
      <c r="C410" s="5" t="s">
        <v>17</v>
      </c>
      <c r="D410" s="5" t="s">
        <v>18</v>
      </c>
      <c r="E410" s="5" t="s">
        <v>63</v>
      </c>
      <c r="F410" s="9">
        <v>101</v>
      </c>
      <c r="G410" s="9">
        <v>1091</v>
      </c>
      <c r="H410" s="5" t="s">
        <v>20</v>
      </c>
      <c r="I410" s="5" t="s">
        <v>1162</v>
      </c>
      <c r="J410" s="12" t="str">
        <f>HYPERLINK("https://www.boe.es/gazeta/dias/1805/12/17/pdfs/GMD-1805-101.pdf#page=7","Abrir facsímil")</f>
        <v>Abrir facsímil</v>
      </c>
      <c r="K410" s="15" t="s">
        <v>22</v>
      </c>
    </row>
    <row r="411" spans="1:11" ht="42" customHeight="1">
      <c r="A411" s="4" t="s">
        <v>1163</v>
      </c>
      <c r="B411" s="5" t="s">
        <v>1164</v>
      </c>
      <c r="C411" s="5" t="s">
        <v>35</v>
      </c>
      <c r="D411" s="5" t="s">
        <v>36</v>
      </c>
      <c r="E411" s="5" t="s">
        <v>200</v>
      </c>
      <c r="F411" s="9">
        <v>91</v>
      </c>
      <c r="G411" s="9">
        <v>977</v>
      </c>
      <c r="H411" s="5" t="s">
        <v>20</v>
      </c>
      <c r="I411" s="5" t="s">
        <v>1165</v>
      </c>
      <c r="J411" s="12" t="str">
        <f>HYPERLINK("https://www.boe.es/gazeta/dias/1805/11/12/pdfs/GMD-1805-91.pdf#page=9","Abrir facsímil")</f>
        <v>Abrir facsímil</v>
      </c>
      <c r="K411" s="15" t="s">
        <v>22</v>
      </c>
    </row>
    <row r="412" spans="1:11" ht="42" customHeight="1">
      <c r="A412" s="4" t="s">
        <v>1166</v>
      </c>
      <c r="B412" s="5" t="s">
        <v>1166</v>
      </c>
      <c r="C412" s="5" t="s">
        <v>35</v>
      </c>
      <c r="D412" s="5" t="s">
        <v>36</v>
      </c>
      <c r="E412" s="5" t="s">
        <v>122</v>
      </c>
      <c r="F412" s="9">
        <v>38</v>
      </c>
      <c r="G412" s="9">
        <v>411</v>
      </c>
      <c r="H412" s="5" t="s">
        <v>20</v>
      </c>
      <c r="I412" s="5" t="s">
        <v>1167</v>
      </c>
      <c r="J412" s="12" t="str">
        <f>HYPERLINK("https://www.boe.es/gazeta/dias/1805/05/10/pdfs/GMD-1805-38.pdf#page=7","Abrir facsímil")</f>
        <v>Abrir facsímil</v>
      </c>
      <c r="K412" s="15" t="s">
        <v>22</v>
      </c>
    </row>
    <row r="413" spans="1:11" ht="42" customHeight="1">
      <c r="A413" s="4" t="s">
        <v>1168</v>
      </c>
      <c r="B413" s="5" t="s">
        <v>1168</v>
      </c>
      <c r="C413" s="5" t="s">
        <v>35</v>
      </c>
      <c r="D413" s="5" t="s">
        <v>36</v>
      </c>
      <c r="E413" s="5" t="s">
        <v>215</v>
      </c>
      <c r="F413" s="9">
        <v>87</v>
      </c>
      <c r="G413" s="9">
        <v>927</v>
      </c>
      <c r="H413" s="5" t="s">
        <v>20</v>
      </c>
      <c r="I413" s="5" t="s">
        <v>1169</v>
      </c>
      <c r="J413" s="12" t="str">
        <f>HYPERLINK("https://www.boe.es/gazeta/dias/1805/10/29/pdfs/GMD-1805-87.pdf#page=11","Abrir facsímil")</f>
        <v>Abrir facsímil</v>
      </c>
      <c r="K413" s="15" t="s">
        <v>22</v>
      </c>
    </row>
    <row r="414" spans="1:11" ht="42" customHeight="1">
      <c r="A414" s="4" t="s">
        <v>1170</v>
      </c>
      <c r="B414" s="5" t="s">
        <v>1171</v>
      </c>
      <c r="C414" s="5" t="s">
        <v>35</v>
      </c>
      <c r="D414" s="5" t="s">
        <v>36</v>
      </c>
      <c r="E414" s="5" t="s">
        <v>539</v>
      </c>
      <c r="F414" s="9">
        <v>97</v>
      </c>
      <c r="G414" s="9">
        <v>1044</v>
      </c>
      <c r="H414" s="5" t="s">
        <v>20</v>
      </c>
      <c r="I414" s="5" t="s">
        <v>1172</v>
      </c>
      <c r="J414" s="12" t="str">
        <f>HYPERLINK("https://www.boe.es/gazeta/dias/1805/12/03/pdfs/GMD-1805-97.pdf#page=8","Abrir facsímil")</f>
        <v>Abrir facsímil</v>
      </c>
      <c r="K414" s="15" t="s">
        <v>22</v>
      </c>
    </row>
    <row r="415" spans="1:11" ht="42" customHeight="1">
      <c r="A415" s="4" t="s">
        <v>1173</v>
      </c>
      <c r="B415" s="5" t="s">
        <v>1174</v>
      </c>
      <c r="C415" s="5" t="s">
        <v>80</v>
      </c>
      <c r="D415" s="5" t="s">
        <v>81</v>
      </c>
      <c r="E415" s="5" t="s">
        <v>215</v>
      </c>
      <c r="F415" s="9">
        <v>87</v>
      </c>
      <c r="G415" s="9">
        <v>925</v>
      </c>
      <c r="H415" s="5" t="s">
        <v>20</v>
      </c>
      <c r="I415" s="5" t="s">
        <v>1175</v>
      </c>
      <c r="J415" s="12" t="str">
        <f>HYPERLINK("https://www.boe.es/gazeta/dias/1805/10/29/pdfs/GMD-1805-87.pdf#page=9","Abrir facsímil")</f>
        <v>Abrir facsímil</v>
      </c>
      <c r="K415" s="15" t="s">
        <v>22</v>
      </c>
    </row>
    <row r="416" spans="1:11" ht="42" customHeight="1">
      <c r="A416" s="4" t="s">
        <v>1176</v>
      </c>
      <c r="B416" s="5" t="s">
        <v>1177</v>
      </c>
      <c r="C416" s="5" t="s">
        <v>80</v>
      </c>
      <c r="D416" s="5" t="s">
        <v>81</v>
      </c>
      <c r="E416" s="5" t="s">
        <v>215</v>
      </c>
      <c r="F416" s="9">
        <v>87</v>
      </c>
      <c r="G416" s="9">
        <v>923</v>
      </c>
      <c r="H416" s="5" t="s">
        <v>20</v>
      </c>
      <c r="I416" s="5" t="s">
        <v>1178</v>
      </c>
      <c r="J416" s="12" t="str">
        <f>HYPERLINK("https://www.boe.es/gazeta/dias/1805/10/29/pdfs/GMD-1805-87.pdf#page=7","Abrir facsímil")</f>
        <v>Abrir facsímil</v>
      </c>
      <c r="K416" s="15" t="s">
        <v>22</v>
      </c>
    </row>
    <row r="417" spans="1:11" ht="42" customHeight="1">
      <c r="A417" s="4" t="s">
        <v>1179</v>
      </c>
      <c r="B417" s="5" t="s">
        <v>1180</v>
      </c>
      <c r="C417" s="5" t="s">
        <v>80</v>
      </c>
      <c r="D417" s="5" t="s">
        <v>81</v>
      </c>
      <c r="E417" s="5" t="s">
        <v>817</v>
      </c>
      <c r="F417" s="9">
        <v>92</v>
      </c>
      <c r="G417" s="9">
        <v>985</v>
      </c>
      <c r="H417" s="5" t="s">
        <v>20</v>
      </c>
      <c r="I417" s="5" t="s">
        <v>1181</v>
      </c>
      <c r="J417" s="12" t="str">
        <f>HYPERLINK("https://www.boe.es/gazeta/dias/1805/11/15/pdfs/GMD-1805-92.pdf#page=5","Abrir facsímil")</f>
        <v>Abrir facsímil</v>
      </c>
      <c r="K417" s="15" t="s">
        <v>22</v>
      </c>
    </row>
    <row r="418" spans="1:11" ht="42" customHeight="1">
      <c r="A418" s="4" t="s">
        <v>1182</v>
      </c>
      <c r="B418" s="5" t="s">
        <v>1183</v>
      </c>
      <c r="C418" s="5" t="s">
        <v>80</v>
      </c>
      <c r="D418" s="5" t="s">
        <v>81</v>
      </c>
      <c r="E418" s="5" t="s">
        <v>387</v>
      </c>
      <c r="F418" s="9">
        <v>4</v>
      </c>
      <c r="G418" s="9">
        <v>40</v>
      </c>
      <c r="H418" s="5" t="s">
        <v>20</v>
      </c>
      <c r="I418" s="5" t="s">
        <v>1184</v>
      </c>
      <c r="J418" s="12" t="str">
        <f>HYPERLINK("https://www.boe.es/gazeta/dias/1805/01/11/pdfs/GMD-1805-4.pdf#page=8","Abrir facsímil")</f>
        <v>Abrir facsímil</v>
      </c>
      <c r="K418" s="15" t="s">
        <v>22</v>
      </c>
    </row>
    <row r="419" spans="1:11" ht="42" customHeight="1">
      <c r="A419" s="4" t="s">
        <v>1182</v>
      </c>
      <c r="B419" s="5" t="s">
        <v>1183</v>
      </c>
      <c r="C419" s="5" t="s">
        <v>80</v>
      </c>
      <c r="D419" s="5" t="s">
        <v>81</v>
      </c>
      <c r="E419" s="5" t="s">
        <v>296</v>
      </c>
      <c r="F419" s="9">
        <v>26</v>
      </c>
      <c r="G419" s="9">
        <v>271</v>
      </c>
      <c r="H419" s="5" t="s">
        <v>20</v>
      </c>
      <c r="I419" s="5" t="s">
        <v>1185</v>
      </c>
      <c r="J419" s="12" t="str">
        <f>HYPERLINK("https://www.boe.es/gazeta/dias/1805/03/29/pdfs/GMD-1805-26.pdf#page=3","Abrir facsímil")</f>
        <v>Abrir facsímil</v>
      </c>
      <c r="K419" s="15" t="s">
        <v>22</v>
      </c>
    </row>
    <row r="420" spans="1:11" ht="42" customHeight="1">
      <c r="A420" s="4" t="s">
        <v>1182</v>
      </c>
      <c r="B420" s="5" t="s">
        <v>1183</v>
      </c>
      <c r="C420" s="5" t="s">
        <v>29</v>
      </c>
      <c r="D420" s="5" t="s">
        <v>30</v>
      </c>
      <c r="E420" s="5" t="s">
        <v>399</v>
      </c>
      <c r="F420" s="9">
        <v>39</v>
      </c>
      <c r="G420" s="9">
        <v>413</v>
      </c>
      <c r="H420" s="5" t="s">
        <v>20</v>
      </c>
      <c r="I420" s="5" t="s">
        <v>1186</v>
      </c>
      <c r="J420" s="12" t="str">
        <f>HYPERLINK("https://www.boe.es/gazeta/dias/1805/05/14/pdfs/GMD-1805-39.pdf#page=1","Abrir facsímil")</f>
        <v>Abrir facsímil</v>
      </c>
      <c r="K420" s="15" t="s">
        <v>22</v>
      </c>
    </row>
    <row r="421" spans="1:11" ht="42" customHeight="1">
      <c r="A421" s="4" t="s">
        <v>1182</v>
      </c>
      <c r="B421" s="5" t="s">
        <v>1183</v>
      </c>
      <c r="C421" s="5" t="s">
        <v>35</v>
      </c>
      <c r="D421" s="5" t="s">
        <v>36</v>
      </c>
      <c r="E421" s="5" t="s">
        <v>1187</v>
      </c>
      <c r="F421" s="9">
        <v>40</v>
      </c>
      <c r="G421" s="9">
        <v>427</v>
      </c>
      <c r="H421" s="5" t="s">
        <v>20</v>
      </c>
      <c r="I421" s="5" t="s">
        <v>1188</v>
      </c>
      <c r="J421" s="12" t="str">
        <f>HYPERLINK("https://www.boe.es/gazeta/dias/1805/05/17/pdfs/GMD-1805-40.pdf#page=3","Abrir facsímil")</f>
        <v>Abrir facsímil</v>
      </c>
      <c r="K421" s="15" t="s">
        <v>22</v>
      </c>
    </row>
    <row r="422" spans="1:11" ht="42" customHeight="1">
      <c r="A422" s="4" t="s">
        <v>1182</v>
      </c>
      <c r="B422" s="5" t="s">
        <v>1183</v>
      </c>
      <c r="C422" s="5" t="s">
        <v>17</v>
      </c>
      <c r="D422" s="5" t="s">
        <v>18</v>
      </c>
      <c r="E422" s="5" t="s">
        <v>286</v>
      </c>
      <c r="F422" s="9">
        <v>48</v>
      </c>
      <c r="G422" s="9">
        <v>520</v>
      </c>
      <c r="H422" s="5" t="s">
        <v>20</v>
      </c>
      <c r="I422" s="5" t="s">
        <v>1189</v>
      </c>
      <c r="J422" s="12" t="str">
        <f>HYPERLINK("https://www.boe.es/gazeta/dias/1805/06/14/pdfs/GMD-1805-48.pdf#page=8","Abrir facsímil")</f>
        <v>Abrir facsímil</v>
      </c>
      <c r="K422" s="15" t="s">
        <v>22</v>
      </c>
    </row>
    <row r="423" spans="1:11" ht="42" customHeight="1">
      <c r="A423" s="4" t="s">
        <v>1182</v>
      </c>
      <c r="B423" s="5" t="s">
        <v>1183</v>
      </c>
      <c r="C423" s="5" t="s">
        <v>80</v>
      </c>
      <c r="D423" s="5" t="s">
        <v>81</v>
      </c>
      <c r="E423" s="5" t="s">
        <v>188</v>
      </c>
      <c r="F423" s="9">
        <v>68</v>
      </c>
      <c r="G423" s="9">
        <v>724</v>
      </c>
      <c r="H423" s="5" t="s">
        <v>20</v>
      </c>
      <c r="I423" s="5" t="s">
        <v>1190</v>
      </c>
      <c r="J423" s="12" t="str">
        <f>HYPERLINK("https://www.boe.es/gazeta/dias/1805/08/23/pdfs/GMD-1805-68.pdf#page=4","Abrir facsímil")</f>
        <v>Abrir facsímil</v>
      </c>
      <c r="K423" s="15" t="s">
        <v>22</v>
      </c>
    </row>
    <row r="424" spans="1:11" ht="42" customHeight="1">
      <c r="A424" s="4" t="s">
        <v>1182</v>
      </c>
      <c r="B424" s="5" t="s">
        <v>1183</v>
      </c>
      <c r="C424" s="5" t="s">
        <v>80</v>
      </c>
      <c r="D424" s="5" t="s">
        <v>81</v>
      </c>
      <c r="E424" s="5" t="s">
        <v>456</v>
      </c>
      <c r="F424" s="9">
        <v>70</v>
      </c>
      <c r="G424" s="9">
        <v>742</v>
      </c>
      <c r="H424" s="5" t="s">
        <v>20</v>
      </c>
      <c r="I424" s="5" t="s">
        <v>1191</v>
      </c>
      <c r="J424" s="12" t="str">
        <f>HYPERLINK("https://www.boe.es/gazeta/dias/1805/08/30/pdfs/GMD-1805-70.pdf#page=2","Abrir facsímil")</f>
        <v>Abrir facsímil</v>
      </c>
      <c r="K424" s="15" t="s">
        <v>22</v>
      </c>
    </row>
    <row r="425" spans="1:11" ht="42" customHeight="1">
      <c r="A425" s="4" t="s">
        <v>1182</v>
      </c>
      <c r="B425" s="5" t="s">
        <v>1183</v>
      </c>
      <c r="C425" s="5" t="s">
        <v>80</v>
      </c>
      <c r="D425" s="5" t="s">
        <v>81</v>
      </c>
      <c r="E425" s="5" t="s">
        <v>144</v>
      </c>
      <c r="F425" s="9">
        <v>85</v>
      </c>
      <c r="G425" s="9">
        <v>895</v>
      </c>
      <c r="H425" s="5" t="s">
        <v>20</v>
      </c>
      <c r="I425" s="5" t="s">
        <v>1192</v>
      </c>
      <c r="J425" s="12" t="str">
        <f>HYPERLINK("https://www.boe.es/gazeta/dias/1805/10/22/pdfs/GMD-1805-85.pdf#page=3","Abrir facsímil")</f>
        <v>Abrir facsímil</v>
      </c>
      <c r="K425" s="15" t="s">
        <v>22</v>
      </c>
    </row>
    <row r="426" spans="1:11" ht="42" customHeight="1">
      <c r="A426" s="4" t="s">
        <v>1182</v>
      </c>
      <c r="B426" s="5" t="s">
        <v>1183</v>
      </c>
      <c r="C426" s="5" t="s">
        <v>80</v>
      </c>
      <c r="D426" s="5" t="s">
        <v>81</v>
      </c>
      <c r="E426" s="5" t="s">
        <v>19</v>
      </c>
      <c r="F426" s="9">
        <v>86</v>
      </c>
      <c r="G426" s="9">
        <v>907</v>
      </c>
      <c r="H426" s="5" t="s">
        <v>20</v>
      </c>
      <c r="I426" s="5" t="s">
        <v>1193</v>
      </c>
      <c r="J426" s="12" t="str">
        <f>HYPERLINK("https://www.boe.es/gazeta/dias/1805/10/25/pdfs/GMD-1805-86.pdf#page=3","Abrir facsímil")</f>
        <v>Abrir facsímil</v>
      </c>
      <c r="K426" s="15" t="s">
        <v>22</v>
      </c>
    </row>
    <row r="427" spans="1:11" ht="42" customHeight="1">
      <c r="A427" s="4" t="s">
        <v>1182</v>
      </c>
      <c r="B427" s="5" t="s">
        <v>1183</v>
      </c>
      <c r="C427" s="5" t="s">
        <v>80</v>
      </c>
      <c r="D427" s="5" t="s">
        <v>81</v>
      </c>
      <c r="E427" s="5" t="s">
        <v>19</v>
      </c>
      <c r="F427" s="9">
        <v>86</v>
      </c>
      <c r="G427" s="9">
        <v>912</v>
      </c>
      <c r="H427" s="5" t="s">
        <v>20</v>
      </c>
      <c r="I427" s="5" t="s">
        <v>1194</v>
      </c>
      <c r="J427" s="12" t="str">
        <f>HYPERLINK("https://www.boe.es/gazeta/dias/1805/10/25/pdfs/GMD-1805-86.pdf#page=8","Abrir facsímil")</f>
        <v>Abrir facsímil</v>
      </c>
      <c r="K427" s="15" t="s">
        <v>22</v>
      </c>
    </row>
    <row r="428" spans="1:11" ht="42" customHeight="1">
      <c r="A428" s="4" t="s">
        <v>1182</v>
      </c>
      <c r="B428" s="5" t="s">
        <v>1183</v>
      </c>
      <c r="C428" s="5" t="s">
        <v>80</v>
      </c>
      <c r="D428" s="5" t="s">
        <v>81</v>
      </c>
      <c r="E428" s="5" t="s">
        <v>215</v>
      </c>
      <c r="F428" s="9">
        <v>87</v>
      </c>
      <c r="G428" s="9">
        <v>919</v>
      </c>
      <c r="H428" s="5" t="s">
        <v>20</v>
      </c>
      <c r="I428" s="5" t="s">
        <v>1195</v>
      </c>
      <c r="J428" s="12" t="str">
        <f>HYPERLINK("https://www.boe.es/gazeta/dias/1805/10/29/pdfs/GMD-1805-87.pdf#page=3","Abrir facsímil")</f>
        <v>Abrir facsímil</v>
      </c>
      <c r="K428" s="15" t="s">
        <v>22</v>
      </c>
    </row>
    <row r="429" spans="1:11" ht="42" customHeight="1">
      <c r="A429" s="4" t="s">
        <v>1182</v>
      </c>
      <c r="B429" s="5" t="s">
        <v>1183</v>
      </c>
      <c r="C429" s="5" t="s">
        <v>80</v>
      </c>
      <c r="D429" s="5" t="s">
        <v>81</v>
      </c>
      <c r="E429" s="5" t="s">
        <v>215</v>
      </c>
      <c r="F429" s="9">
        <v>87</v>
      </c>
      <c r="G429" s="9">
        <v>923</v>
      </c>
      <c r="H429" s="5" t="s">
        <v>20</v>
      </c>
      <c r="I429" s="5" t="s">
        <v>1196</v>
      </c>
      <c r="J429" s="12" t="str">
        <f>HYPERLINK("https://www.boe.es/gazeta/dias/1805/10/29/pdfs/GMD-1805-87.pdf#page=7","Abrir facsímil")</f>
        <v>Abrir facsímil</v>
      </c>
      <c r="K429" s="15" t="s">
        <v>22</v>
      </c>
    </row>
    <row r="430" spans="1:11" ht="42" customHeight="1">
      <c r="A430" s="4" t="s">
        <v>1182</v>
      </c>
      <c r="B430" s="5" t="s">
        <v>1183</v>
      </c>
      <c r="C430" s="5" t="s">
        <v>80</v>
      </c>
      <c r="D430" s="5" t="s">
        <v>81</v>
      </c>
      <c r="E430" s="5" t="s">
        <v>215</v>
      </c>
      <c r="F430" s="9">
        <v>87</v>
      </c>
      <c r="G430" s="9">
        <v>926</v>
      </c>
      <c r="H430" s="5" t="s">
        <v>20</v>
      </c>
      <c r="I430" s="5" t="s">
        <v>1197</v>
      </c>
      <c r="J430" s="12" t="str">
        <f>HYPERLINK("https://www.boe.es/gazeta/dias/1805/10/29/pdfs/GMD-1805-87.pdf#page=10","Abrir facsímil")</f>
        <v>Abrir facsímil</v>
      </c>
      <c r="K430" s="15" t="s">
        <v>22</v>
      </c>
    </row>
    <row r="431" spans="1:11" ht="42" customHeight="1">
      <c r="A431" s="4" t="s">
        <v>1182</v>
      </c>
      <c r="B431" s="5" t="s">
        <v>1183</v>
      </c>
      <c r="C431" s="5" t="s">
        <v>80</v>
      </c>
      <c r="D431" s="5" t="s">
        <v>81</v>
      </c>
      <c r="E431" s="5" t="s">
        <v>864</v>
      </c>
      <c r="F431" s="9">
        <v>88</v>
      </c>
      <c r="G431" s="9">
        <v>934</v>
      </c>
      <c r="H431" s="5" t="s">
        <v>20</v>
      </c>
      <c r="I431" s="5" t="s">
        <v>1198</v>
      </c>
      <c r="J431" s="12" t="str">
        <f>HYPERLINK("https://www.boe.es/gazeta/dias/1805/11/01/pdfs/GMD-1805-88.pdf#page=6","Abrir facsímil")</f>
        <v>Abrir facsímil</v>
      </c>
      <c r="K431" s="15" t="s">
        <v>22</v>
      </c>
    </row>
    <row r="432" spans="1:11" ht="42" customHeight="1">
      <c r="A432" s="4" t="s">
        <v>1182</v>
      </c>
      <c r="B432" s="5" t="s">
        <v>1183</v>
      </c>
      <c r="C432" s="5" t="s">
        <v>80</v>
      </c>
      <c r="D432" s="5" t="s">
        <v>81</v>
      </c>
      <c r="E432" s="5" t="s">
        <v>864</v>
      </c>
      <c r="F432" s="9">
        <v>88</v>
      </c>
      <c r="G432" s="9">
        <v>935</v>
      </c>
      <c r="H432" s="5" t="s">
        <v>20</v>
      </c>
      <c r="I432" s="5" t="s">
        <v>1199</v>
      </c>
      <c r="J432" s="12" t="str">
        <f>HYPERLINK("https://www.boe.es/gazeta/dias/1805/11/01/pdfs/GMD-1805-88.pdf#page=7","Abrir facsímil")</f>
        <v>Abrir facsímil</v>
      </c>
      <c r="K432" s="15" t="s">
        <v>22</v>
      </c>
    </row>
    <row r="433" spans="1:11" ht="42" customHeight="1">
      <c r="A433" s="4" t="s">
        <v>1182</v>
      </c>
      <c r="B433" s="5" t="s">
        <v>1183</v>
      </c>
      <c r="C433" s="5" t="s">
        <v>80</v>
      </c>
      <c r="D433" s="5" t="s">
        <v>81</v>
      </c>
      <c r="E433" s="5" t="s">
        <v>209</v>
      </c>
      <c r="F433" s="9">
        <v>89</v>
      </c>
      <c r="G433" s="9">
        <v>945</v>
      </c>
      <c r="H433" s="5" t="s">
        <v>20</v>
      </c>
      <c r="I433" s="5" t="s">
        <v>1200</v>
      </c>
      <c r="J433" s="12" t="str">
        <f>HYPERLINK("https://www.boe.es/gazeta/dias/1805/11/05/pdfs/GMD-1805-89.pdf#page=5","Abrir facsímil")</f>
        <v>Abrir facsímil</v>
      </c>
      <c r="K433" s="15" t="s">
        <v>22</v>
      </c>
    </row>
    <row r="434" spans="1:11" ht="42" customHeight="1">
      <c r="A434" s="4" t="s">
        <v>1182</v>
      </c>
      <c r="B434" s="5" t="s">
        <v>1183</v>
      </c>
      <c r="C434" s="5" t="s">
        <v>80</v>
      </c>
      <c r="D434" s="5" t="s">
        <v>81</v>
      </c>
      <c r="E434" s="5" t="s">
        <v>209</v>
      </c>
      <c r="F434" s="9">
        <v>89</v>
      </c>
      <c r="G434" s="9">
        <v>948</v>
      </c>
      <c r="H434" s="5" t="s">
        <v>20</v>
      </c>
      <c r="I434" s="5" t="s">
        <v>1201</v>
      </c>
      <c r="J434" s="12" t="str">
        <f>HYPERLINK("https://www.boe.es/gazeta/dias/1805/11/05/pdfs/GMD-1805-89.pdf#page=8","Abrir facsímil")</f>
        <v>Abrir facsímil</v>
      </c>
      <c r="K434" s="15" t="s">
        <v>22</v>
      </c>
    </row>
    <row r="435" spans="1:11" ht="42" customHeight="1">
      <c r="A435" s="4" t="s">
        <v>1182</v>
      </c>
      <c r="B435" s="5" t="s">
        <v>1183</v>
      </c>
      <c r="C435" s="5" t="s">
        <v>80</v>
      </c>
      <c r="D435" s="5" t="s">
        <v>81</v>
      </c>
      <c r="E435" s="5" t="s">
        <v>209</v>
      </c>
      <c r="F435" s="9">
        <v>89</v>
      </c>
      <c r="G435" s="9">
        <v>951</v>
      </c>
      <c r="H435" s="5" t="s">
        <v>20</v>
      </c>
      <c r="I435" s="5" t="s">
        <v>1202</v>
      </c>
      <c r="J435" s="12" t="str">
        <f>HYPERLINK("https://www.boe.es/gazeta/dias/1805/11/05/pdfs/GMD-1805-89.pdf#page=11","Abrir facsímil")</f>
        <v>Abrir facsímil</v>
      </c>
      <c r="K435" s="15" t="s">
        <v>22</v>
      </c>
    </row>
    <row r="436" spans="1:11" ht="42" customHeight="1">
      <c r="A436" s="4" t="s">
        <v>1182</v>
      </c>
      <c r="B436" s="5" t="s">
        <v>1183</v>
      </c>
      <c r="C436" s="5" t="s">
        <v>80</v>
      </c>
      <c r="D436" s="5" t="s">
        <v>81</v>
      </c>
      <c r="E436" s="5" t="s">
        <v>817</v>
      </c>
      <c r="F436" s="9">
        <v>92</v>
      </c>
      <c r="G436" s="9">
        <v>983</v>
      </c>
      <c r="H436" s="5" t="s">
        <v>20</v>
      </c>
      <c r="I436" s="5" t="s">
        <v>1203</v>
      </c>
      <c r="J436" s="12" t="str">
        <f>HYPERLINK("https://www.boe.es/gazeta/dias/1805/11/15/pdfs/GMD-1805-92.pdf#page=3","Abrir facsímil")</f>
        <v>Abrir facsímil</v>
      </c>
      <c r="K436" s="15" t="s">
        <v>22</v>
      </c>
    </row>
    <row r="437" spans="1:11" ht="42" customHeight="1">
      <c r="A437" s="4" t="s">
        <v>1182</v>
      </c>
      <c r="B437" s="5" t="s">
        <v>1183</v>
      </c>
      <c r="C437" s="5" t="s">
        <v>17</v>
      </c>
      <c r="D437" s="5" t="s">
        <v>18</v>
      </c>
      <c r="E437" s="5" t="s">
        <v>817</v>
      </c>
      <c r="F437" s="9">
        <v>92</v>
      </c>
      <c r="G437" s="9">
        <v>987</v>
      </c>
      <c r="H437" s="5" t="s">
        <v>20</v>
      </c>
      <c r="I437" s="5" t="s">
        <v>1204</v>
      </c>
      <c r="J437" s="12" t="str">
        <f>HYPERLINK("https://www.boe.es/gazeta/dias/1805/11/15/pdfs/GMD-1805-92.pdf#page=7","Abrir facsímil")</f>
        <v>Abrir facsímil</v>
      </c>
      <c r="K437" s="15" t="s">
        <v>22</v>
      </c>
    </row>
    <row r="438" spans="1:11" ht="42" customHeight="1">
      <c r="A438" s="4" t="s">
        <v>1182</v>
      </c>
      <c r="B438" s="5" t="s">
        <v>1183</v>
      </c>
      <c r="C438" s="5" t="s">
        <v>80</v>
      </c>
      <c r="D438" s="5" t="s">
        <v>81</v>
      </c>
      <c r="E438" s="5" t="s">
        <v>886</v>
      </c>
      <c r="F438" s="9">
        <v>93</v>
      </c>
      <c r="G438" s="9">
        <v>995</v>
      </c>
      <c r="H438" s="5" t="s">
        <v>20</v>
      </c>
      <c r="I438" s="5" t="s">
        <v>1205</v>
      </c>
      <c r="J438" s="12" t="str">
        <f>HYPERLINK("https://www.boe.es/gazeta/dias/1805/11/19/pdfs/GMD-1805-93.pdf#page=7","Abrir facsímil")</f>
        <v>Abrir facsímil</v>
      </c>
      <c r="K438" s="15" t="s">
        <v>22</v>
      </c>
    </row>
    <row r="439" spans="1:11" ht="42" customHeight="1">
      <c r="A439" s="4" t="s">
        <v>1182</v>
      </c>
      <c r="B439" s="5" t="s">
        <v>1183</v>
      </c>
      <c r="C439" s="5" t="s">
        <v>80</v>
      </c>
      <c r="D439" s="5" t="s">
        <v>81</v>
      </c>
      <c r="E439" s="5" t="s">
        <v>552</v>
      </c>
      <c r="F439" s="9">
        <v>94</v>
      </c>
      <c r="G439" s="9">
        <v>1005</v>
      </c>
      <c r="H439" s="5" t="s">
        <v>20</v>
      </c>
      <c r="I439" s="5" t="s">
        <v>1206</v>
      </c>
      <c r="J439" s="12" t="str">
        <f>HYPERLINK("https://www.boe.es/gazeta/dias/1805/11/22/pdfs/GMD-1805-94.pdf#page=5","Abrir facsímil")</f>
        <v>Abrir facsímil</v>
      </c>
      <c r="K439" s="15" t="s">
        <v>22</v>
      </c>
    </row>
    <row r="440" spans="1:11" ht="42" customHeight="1">
      <c r="A440" s="4" t="s">
        <v>1182</v>
      </c>
      <c r="B440" s="5" t="s">
        <v>1183</v>
      </c>
      <c r="C440" s="5" t="s">
        <v>80</v>
      </c>
      <c r="D440" s="5" t="s">
        <v>81</v>
      </c>
      <c r="E440" s="5" t="s">
        <v>552</v>
      </c>
      <c r="F440" s="9">
        <v>94</v>
      </c>
      <c r="G440" s="9">
        <v>1006</v>
      </c>
      <c r="H440" s="5" t="s">
        <v>20</v>
      </c>
      <c r="I440" s="5" t="s">
        <v>1207</v>
      </c>
      <c r="J440" s="12" t="str">
        <f>HYPERLINK("https://www.boe.es/gazeta/dias/1805/11/22/pdfs/GMD-1805-94.pdf#page=6","Abrir facsímil")</f>
        <v>Abrir facsímil</v>
      </c>
      <c r="K440" s="15" t="s">
        <v>22</v>
      </c>
    </row>
    <row r="441" spans="1:11" ht="42" customHeight="1">
      <c r="A441" s="4" t="s">
        <v>1182</v>
      </c>
      <c r="B441" s="5" t="s">
        <v>1183</v>
      </c>
      <c r="C441" s="5" t="s">
        <v>17</v>
      </c>
      <c r="D441" s="5" t="s">
        <v>18</v>
      </c>
      <c r="E441" s="5" t="s">
        <v>787</v>
      </c>
      <c r="F441" s="9">
        <v>95</v>
      </c>
      <c r="G441" s="9">
        <v>1018</v>
      </c>
      <c r="H441" s="5" t="s">
        <v>20</v>
      </c>
      <c r="I441" s="5" t="s">
        <v>1208</v>
      </c>
      <c r="J441" s="12" t="str">
        <f>HYPERLINK("https://www.boe.es/gazeta/dias/1805/11/26/pdfs/GMD-1805-95.pdf#page=6","Abrir facsímil")</f>
        <v>Abrir facsímil</v>
      </c>
      <c r="K441" s="15" t="s">
        <v>22</v>
      </c>
    </row>
    <row r="442" spans="1:11" ht="42" customHeight="1">
      <c r="A442" s="4" t="s">
        <v>1182</v>
      </c>
      <c r="B442" s="5" t="s">
        <v>1183</v>
      </c>
      <c r="C442" s="5" t="s">
        <v>80</v>
      </c>
      <c r="D442" s="5" t="s">
        <v>81</v>
      </c>
      <c r="E442" s="5" t="s">
        <v>67</v>
      </c>
      <c r="F442" s="9">
        <v>98</v>
      </c>
      <c r="G442" s="9">
        <v>1053</v>
      </c>
      <c r="H442" s="5" t="s">
        <v>20</v>
      </c>
      <c r="I442" s="5" t="s">
        <v>1209</v>
      </c>
      <c r="J442" s="12" t="str">
        <f>HYPERLINK("https://www.boe.es/gazeta/dias/1805/12/06/pdfs/GMD-1805-98.pdf#page=5","Abrir facsímil")</f>
        <v>Abrir facsímil</v>
      </c>
      <c r="K442" s="15" t="s">
        <v>22</v>
      </c>
    </row>
    <row r="443" spans="1:11" ht="42" customHeight="1">
      <c r="A443" s="4" t="s">
        <v>1182</v>
      </c>
      <c r="B443" s="5" t="s">
        <v>1183</v>
      </c>
      <c r="C443" s="5" t="s">
        <v>29</v>
      </c>
      <c r="D443" s="5" t="s">
        <v>30</v>
      </c>
      <c r="E443" s="5" t="s">
        <v>54</v>
      </c>
      <c r="F443" s="9">
        <v>99</v>
      </c>
      <c r="G443" s="9">
        <v>1064</v>
      </c>
      <c r="H443" s="5" t="s">
        <v>20</v>
      </c>
      <c r="I443" s="5" t="s">
        <v>1210</v>
      </c>
      <c r="J443" s="12" t="str">
        <f>HYPERLINK("https://www.boe.es/gazeta/dias/1805/12/10/pdfs/GMD-1805-99.pdf#page=4","Abrir facsímil")</f>
        <v>Abrir facsímil</v>
      </c>
      <c r="K443" s="15" t="s">
        <v>22</v>
      </c>
    </row>
    <row r="444" spans="1:11" ht="42" customHeight="1">
      <c r="A444" s="4" t="s">
        <v>1182</v>
      </c>
      <c r="B444" s="5" t="s">
        <v>1183</v>
      </c>
      <c r="C444" s="5" t="s">
        <v>80</v>
      </c>
      <c r="D444" s="5" t="s">
        <v>81</v>
      </c>
      <c r="E444" s="5" t="s">
        <v>512</v>
      </c>
      <c r="F444" s="9">
        <v>100</v>
      </c>
      <c r="G444" s="9">
        <v>1080</v>
      </c>
      <c r="H444" s="5" t="s">
        <v>20</v>
      </c>
      <c r="I444" s="5" t="s">
        <v>1211</v>
      </c>
      <c r="J444" s="12" t="str">
        <f>HYPERLINK("https://www.boe.es/gazeta/dias/1805/12/13/pdfs/GMD-1805-100.pdf#page=8","Abrir facsímil")</f>
        <v>Abrir facsímil</v>
      </c>
      <c r="K444" s="15" t="s">
        <v>22</v>
      </c>
    </row>
    <row r="445" spans="1:11" ht="42" customHeight="1">
      <c r="A445" s="4" t="s">
        <v>1182</v>
      </c>
      <c r="B445" s="5" t="s">
        <v>1183</v>
      </c>
      <c r="C445" s="5" t="s">
        <v>80</v>
      </c>
      <c r="D445" s="5" t="s">
        <v>81</v>
      </c>
      <c r="E445" s="5" t="s">
        <v>789</v>
      </c>
      <c r="F445" s="9">
        <v>104</v>
      </c>
      <c r="G445" s="9">
        <v>1120</v>
      </c>
      <c r="H445" s="5" t="s">
        <v>20</v>
      </c>
      <c r="I445" s="5" t="s">
        <v>1212</v>
      </c>
      <c r="J445" s="12" t="str">
        <f>HYPERLINK("https://www.boe.es/gazeta/dias/1805/12/27/pdfs/GMD-1805-104.pdf#page=4","Abrir facsímil")</f>
        <v>Abrir facsímil</v>
      </c>
      <c r="K445" s="15" t="s">
        <v>22</v>
      </c>
    </row>
    <row r="446" spans="1:11" ht="42" customHeight="1">
      <c r="A446" s="4" t="s">
        <v>1182</v>
      </c>
      <c r="B446" s="5" t="s">
        <v>1183</v>
      </c>
      <c r="C446" s="5" t="s">
        <v>184</v>
      </c>
      <c r="D446" s="5" t="s">
        <v>86</v>
      </c>
      <c r="E446" s="5" t="s">
        <v>789</v>
      </c>
      <c r="F446" s="9">
        <v>104</v>
      </c>
      <c r="G446" s="9">
        <v>1121</v>
      </c>
      <c r="H446" s="5" t="s">
        <v>20</v>
      </c>
      <c r="I446" s="5" t="s">
        <v>1213</v>
      </c>
      <c r="J446" s="12" t="str">
        <f>HYPERLINK("https://www.boe.es/gazeta/dias/1805/12/27/pdfs/GMD-1805-104.pdf#page=5","Abrir facsímil")</f>
        <v>Abrir facsímil</v>
      </c>
      <c r="K446" s="15" t="s">
        <v>22</v>
      </c>
    </row>
    <row r="447" spans="1:11" ht="42" customHeight="1">
      <c r="A447" s="4" t="s">
        <v>1214</v>
      </c>
      <c r="B447" s="5" t="s">
        <v>1215</v>
      </c>
      <c r="C447" s="5" t="s">
        <v>17</v>
      </c>
      <c r="D447" s="5" t="s">
        <v>18</v>
      </c>
      <c r="E447" s="5" t="s">
        <v>71</v>
      </c>
      <c r="F447" s="9">
        <v>33</v>
      </c>
      <c r="G447" s="9">
        <v>352</v>
      </c>
      <c r="H447" s="5" t="s">
        <v>20</v>
      </c>
      <c r="I447" s="5" t="s">
        <v>1216</v>
      </c>
      <c r="J447" s="12" t="str">
        <f>HYPERLINK("https://www.boe.es/gazeta/dias/1805/04/23/pdfs/GMD-1805-33.pdf#page=8","Abrir facsímil")</f>
        <v>Abrir facsímil</v>
      </c>
      <c r="K447" s="15" t="s">
        <v>22</v>
      </c>
    </row>
    <row r="448" spans="1:11" ht="42" customHeight="1">
      <c r="A448" s="4" t="s">
        <v>1217</v>
      </c>
      <c r="B448" s="5" t="s">
        <v>1218</v>
      </c>
      <c r="C448" s="5" t="s">
        <v>35</v>
      </c>
      <c r="D448" s="5" t="s">
        <v>36</v>
      </c>
      <c r="E448" s="5" t="s">
        <v>144</v>
      </c>
      <c r="F448" s="9">
        <v>85</v>
      </c>
      <c r="G448" s="9">
        <v>901</v>
      </c>
      <c r="H448" s="5" t="s">
        <v>20</v>
      </c>
      <c r="I448" s="5" t="s">
        <v>1219</v>
      </c>
      <c r="J448" s="12" t="str">
        <f>HYPERLINK("https://www.boe.es/gazeta/dias/1805/10/22/pdfs/GMD-1805-85.pdf#page=9","Abrir facsímil")</f>
        <v>Abrir facsímil</v>
      </c>
      <c r="K448" s="15" t="s">
        <v>22</v>
      </c>
    </row>
    <row r="449" spans="1:11" ht="42" customHeight="1">
      <c r="A449" s="4" t="s">
        <v>1220</v>
      </c>
      <c r="B449" s="5" t="s">
        <v>1220</v>
      </c>
      <c r="C449" s="5" t="s">
        <v>85</v>
      </c>
      <c r="D449" s="5" t="s">
        <v>86</v>
      </c>
      <c r="E449" s="5" t="s">
        <v>1221</v>
      </c>
      <c r="F449" s="9">
        <v>41</v>
      </c>
      <c r="G449" s="9">
        <v>443</v>
      </c>
      <c r="H449" s="5" t="s">
        <v>20</v>
      </c>
      <c r="I449" s="5" t="s">
        <v>1222</v>
      </c>
      <c r="J449" s="12" t="str">
        <f>HYPERLINK("https://www.boe.es/gazeta/dias/1805/05/21/pdfs/GMD-1805-41.pdf#page=11","Abrir facsímil")</f>
        <v>Abrir facsímil</v>
      </c>
      <c r="K449" s="15" t="s">
        <v>22</v>
      </c>
    </row>
    <row r="450" spans="1:11" ht="42" customHeight="1">
      <c r="A450" s="4" t="s">
        <v>1223</v>
      </c>
      <c r="B450" s="5" t="s">
        <v>1223</v>
      </c>
      <c r="C450" s="5" t="s">
        <v>35</v>
      </c>
      <c r="D450" s="5" t="s">
        <v>36</v>
      </c>
      <c r="E450" s="5" t="s">
        <v>422</v>
      </c>
      <c r="F450" s="9">
        <v>74</v>
      </c>
      <c r="G450" s="9">
        <v>786</v>
      </c>
      <c r="H450" s="5" t="s">
        <v>20</v>
      </c>
      <c r="I450" s="5" t="s">
        <v>1224</v>
      </c>
      <c r="J450" s="12" t="str">
        <f>HYPERLINK("https://www.boe.es/gazeta/dias/1805/09/13/pdfs/GMD-1805-74.pdf#page=10","Abrir facsímil")</f>
        <v>Abrir facsímil</v>
      </c>
      <c r="K450" s="15" t="s">
        <v>22</v>
      </c>
    </row>
    <row r="451" spans="1:11" ht="42" customHeight="1">
      <c r="A451" s="4" t="s">
        <v>1225</v>
      </c>
      <c r="B451" s="5" t="s">
        <v>1226</v>
      </c>
      <c r="C451" s="5" t="s">
        <v>52</v>
      </c>
      <c r="D451" s="5" t="s">
        <v>53</v>
      </c>
      <c r="E451" s="5" t="s">
        <v>54</v>
      </c>
      <c r="F451" s="9">
        <v>99</v>
      </c>
      <c r="G451" s="9" t="s">
        <v>159</v>
      </c>
      <c r="H451" s="5" t="s">
        <v>20</v>
      </c>
      <c r="I451" s="5" t="s">
        <v>1227</v>
      </c>
      <c r="J451" s="12" t="str">
        <f>HYPERLINK("https://www.boe.es/gazeta/dias/1805/12/10/pdfs/GMD-C-1805-99.pdf#page=3","Abrir facsímil")</f>
        <v>Abrir facsímil</v>
      </c>
      <c r="K451" s="15" t="s">
        <v>22</v>
      </c>
    </row>
    <row r="452" spans="1:11" ht="42" customHeight="1">
      <c r="A452" s="4" t="s">
        <v>1228</v>
      </c>
      <c r="B452" s="5" t="s">
        <v>1228</v>
      </c>
      <c r="C452" s="5" t="s">
        <v>17</v>
      </c>
      <c r="D452" s="5" t="s">
        <v>18</v>
      </c>
      <c r="E452" s="5" t="s">
        <v>63</v>
      </c>
      <c r="F452" s="9">
        <v>101</v>
      </c>
      <c r="G452" s="9">
        <v>1092</v>
      </c>
      <c r="H452" s="5" t="s">
        <v>20</v>
      </c>
      <c r="I452" s="5" t="s">
        <v>1229</v>
      </c>
      <c r="J452" s="12" t="str">
        <f>HYPERLINK("https://www.boe.es/gazeta/dias/1805/12/17/pdfs/GMD-1805-101.pdf#page=8","Abrir facsímil")</f>
        <v>Abrir facsímil</v>
      </c>
      <c r="K452" s="15" t="s">
        <v>22</v>
      </c>
    </row>
    <row r="453" spans="1:11" ht="42" customHeight="1">
      <c r="A453" s="4" t="s">
        <v>1230</v>
      </c>
      <c r="B453" s="5" t="s">
        <v>1230</v>
      </c>
      <c r="C453" s="5" t="s">
        <v>80</v>
      </c>
      <c r="D453" s="5" t="s">
        <v>81</v>
      </c>
      <c r="E453" s="5" t="s">
        <v>733</v>
      </c>
      <c r="F453" s="9">
        <v>45</v>
      </c>
      <c r="G453" s="9">
        <v>482</v>
      </c>
      <c r="H453" s="5" t="s">
        <v>20</v>
      </c>
      <c r="I453" s="5" t="s">
        <v>1231</v>
      </c>
      <c r="J453" s="12" t="str">
        <f>HYPERLINK("https://www.boe.es/gazeta/dias/1805/06/04/pdfs/GMD-1805-45.pdf#page=6","Abrir facsímil")</f>
        <v>Abrir facsímil</v>
      </c>
      <c r="K453" s="15" t="s">
        <v>22</v>
      </c>
    </row>
    <row r="454" spans="1:11" ht="42" customHeight="1">
      <c r="A454" s="4" t="s">
        <v>1230</v>
      </c>
      <c r="B454" s="5" t="s">
        <v>1230</v>
      </c>
      <c r="C454" s="5" t="s">
        <v>80</v>
      </c>
      <c r="D454" s="5" t="s">
        <v>81</v>
      </c>
      <c r="E454" s="5" t="s">
        <v>1132</v>
      </c>
      <c r="F454" s="9">
        <v>72</v>
      </c>
      <c r="G454" s="9">
        <v>763</v>
      </c>
      <c r="H454" s="5" t="s">
        <v>20</v>
      </c>
      <c r="I454" s="5" t="s">
        <v>1232</v>
      </c>
      <c r="J454" s="12" t="str">
        <f>HYPERLINK("https://www.boe.es/gazeta/dias/1805/09/06/pdfs/GMD-1805-72.pdf#page=3","Abrir facsímil")</f>
        <v>Abrir facsímil</v>
      </c>
      <c r="K454" s="15" t="s">
        <v>22</v>
      </c>
    </row>
    <row r="455" spans="1:11" ht="42" customHeight="1">
      <c r="A455" s="4" t="s">
        <v>1233</v>
      </c>
      <c r="B455" s="5" t="s">
        <v>1234</v>
      </c>
      <c r="C455" s="5" t="s">
        <v>35</v>
      </c>
      <c r="D455" s="5" t="s">
        <v>36</v>
      </c>
      <c r="E455" s="5" t="s">
        <v>217</v>
      </c>
      <c r="F455" s="9">
        <v>96</v>
      </c>
      <c r="G455" s="9">
        <v>1029</v>
      </c>
      <c r="H455" s="5" t="s">
        <v>20</v>
      </c>
      <c r="I455" s="5" t="s">
        <v>1235</v>
      </c>
      <c r="J455" s="12" t="str">
        <f>HYPERLINK("https://www.boe.es/gazeta/dias/1805/11/29/pdfs/GMD-1805-96.pdf#page=5","Abrir facsímil")</f>
        <v>Abrir facsímil</v>
      </c>
      <c r="K455" s="15" t="s">
        <v>22</v>
      </c>
    </row>
    <row r="456" spans="1:11" ht="42" customHeight="1">
      <c r="A456" s="4" t="s">
        <v>1236</v>
      </c>
      <c r="B456" s="5" t="s">
        <v>1237</v>
      </c>
      <c r="C456" s="5" t="s">
        <v>80</v>
      </c>
      <c r="D456" s="5" t="s">
        <v>81</v>
      </c>
      <c r="E456" s="5" t="s">
        <v>19</v>
      </c>
      <c r="F456" s="9">
        <v>86</v>
      </c>
      <c r="G456" s="9">
        <v>907</v>
      </c>
      <c r="H456" s="5" t="s">
        <v>20</v>
      </c>
      <c r="I456" s="5" t="s">
        <v>1238</v>
      </c>
      <c r="J456" s="12" t="str">
        <f>HYPERLINK("https://www.boe.es/gazeta/dias/1805/10/25/pdfs/GMD-1805-86.pdf#page=3","Abrir facsímil")</f>
        <v>Abrir facsímil</v>
      </c>
      <c r="K456" s="15" t="s">
        <v>22</v>
      </c>
    </row>
    <row r="457" spans="1:11" ht="42" customHeight="1">
      <c r="A457" s="4" t="s">
        <v>1239</v>
      </c>
      <c r="B457" s="5" t="s">
        <v>1240</v>
      </c>
      <c r="C457" s="5" t="s">
        <v>80</v>
      </c>
      <c r="D457" s="5" t="s">
        <v>81</v>
      </c>
      <c r="E457" s="5" t="s">
        <v>387</v>
      </c>
      <c r="F457" s="9">
        <v>4</v>
      </c>
      <c r="G457" s="9">
        <v>40</v>
      </c>
      <c r="H457" s="5" t="s">
        <v>20</v>
      </c>
      <c r="I457" s="5" t="s">
        <v>1241</v>
      </c>
      <c r="J457" s="12" t="str">
        <f>HYPERLINK("https://www.boe.es/gazeta/dias/1805/01/11/pdfs/GMD-1805-4.pdf#page=8","Abrir facsímil")</f>
        <v>Abrir facsímil</v>
      </c>
      <c r="K457" s="15" t="s">
        <v>22</v>
      </c>
    </row>
    <row r="458" spans="1:11" ht="42" customHeight="1">
      <c r="A458" s="4" t="s">
        <v>1239</v>
      </c>
      <c r="B458" s="5" t="s">
        <v>1240</v>
      </c>
      <c r="C458" s="5" t="s">
        <v>17</v>
      </c>
      <c r="D458" s="5" t="s">
        <v>18</v>
      </c>
      <c r="E458" s="5" t="s">
        <v>286</v>
      </c>
      <c r="F458" s="9">
        <v>48</v>
      </c>
      <c r="G458" s="9">
        <v>520</v>
      </c>
      <c r="H458" s="5" t="s">
        <v>20</v>
      </c>
      <c r="I458" s="5" t="s">
        <v>1242</v>
      </c>
      <c r="J458" s="12" t="str">
        <f>HYPERLINK("https://www.boe.es/gazeta/dias/1805/06/14/pdfs/GMD-1805-48.pdf#page=8","Abrir facsímil")</f>
        <v>Abrir facsímil</v>
      </c>
      <c r="K458" s="15" t="s">
        <v>22</v>
      </c>
    </row>
    <row r="459" spans="1:11" ht="42" customHeight="1">
      <c r="A459" s="4" t="s">
        <v>1239</v>
      </c>
      <c r="B459" s="5" t="s">
        <v>1240</v>
      </c>
      <c r="C459" s="5" t="s">
        <v>80</v>
      </c>
      <c r="D459" s="5" t="s">
        <v>81</v>
      </c>
      <c r="E459" s="5" t="s">
        <v>303</v>
      </c>
      <c r="F459" s="9">
        <v>57</v>
      </c>
      <c r="G459" s="9">
        <v>608</v>
      </c>
      <c r="H459" s="5" t="s">
        <v>20</v>
      </c>
      <c r="I459" s="5" t="s">
        <v>1243</v>
      </c>
      <c r="J459" s="12" t="str">
        <f>HYPERLINK("https://www.boe.es/gazeta/dias/1805/07/16/pdfs/GMD-1805-57.pdf#page=4","Abrir facsímil")</f>
        <v>Abrir facsímil</v>
      </c>
      <c r="K459" s="15" t="s">
        <v>22</v>
      </c>
    </row>
    <row r="460" spans="1:11" ht="42" customHeight="1">
      <c r="A460" s="4" t="s">
        <v>1239</v>
      </c>
      <c r="B460" s="5" t="s">
        <v>1240</v>
      </c>
      <c r="C460" s="5" t="s">
        <v>35</v>
      </c>
      <c r="D460" s="5" t="s">
        <v>36</v>
      </c>
      <c r="E460" s="5" t="s">
        <v>729</v>
      </c>
      <c r="F460" s="9">
        <v>61</v>
      </c>
      <c r="G460" s="9">
        <v>654</v>
      </c>
      <c r="H460" s="5" t="s">
        <v>20</v>
      </c>
      <c r="I460" s="5" t="s">
        <v>1244</v>
      </c>
      <c r="J460" s="12" t="str">
        <f>HYPERLINK("https://www.boe.es/gazeta/dias/1805/07/30/pdfs/GMD-1805-61.pdf#page=6","Abrir facsímil")</f>
        <v>Abrir facsímil</v>
      </c>
      <c r="K460" s="15" t="s">
        <v>22</v>
      </c>
    </row>
    <row r="461" spans="1:11" ht="42" customHeight="1">
      <c r="A461" s="4" t="s">
        <v>1239</v>
      </c>
      <c r="B461" s="5" t="s">
        <v>1240</v>
      </c>
      <c r="C461" s="5" t="s">
        <v>80</v>
      </c>
      <c r="D461" s="5" t="s">
        <v>81</v>
      </c>
      <c r="E461" s="5" t="s">
        <v>585</v>
      </c>
      <c r="F461" s="9">
        <v>64</v>
      </c>
      <c r="G461" s="9">
        <v>682</v>
      </c>
      <c r="H461" s="5" t="s">
        <v>20</v>
      </c>
      <c r="I461" s="5" t="s">
        <v>1245</v>
      </c>
      <c r="J461" s="12" t="str">
        <f>HYPERLINK("https://www.boe.es/gazeta/dias/1805/08/09/pdfs/GMD-1805-64.pdf#page=6","Abrir facsímil")</f>
        <v>Abrir facsímil</v>
      </c>
      <c r="K461" s="15" t="s">
        <v>22</v>
      </c>
    </row>
    <row r="462" spans="1:11" ht="42" customHeight="1">
      <c r="A462" s="4" t="s">
        <v>1239</v>
      </c>
      <c r="B462" s="5" t="s">
        <v>1240</v>
      </c>
      <c r="C462" s="5" t="s">
        <v>80</v>
      </c>
      <c r="D462" s="5" t="s">
        <v>81</v>
      </c>
      <c r="E462" s="5" t="s">
        <v>209</v>
      </c>
      <c r="F462" s="9">
        <v>89</v>
      </c>
      <c r="G462" s="9">
        <v>949</v>
      </c>
      <c r="H462" s="5" t="s">
        <v>20</v>
      </c>
      <c r="I462" s="5" t="s">
        <v>1246</v>
      </c>
      <c r="J462" s="12" t="str">
        <f>HYPERLINK("https://www.boe.es/gazeta/dias/1805/11/05/pdfs/GMD-1805-89.pdf#page=9","Abrir facsímil")</f>
        <v>Abrir facsímil</v>
      </c>
      <c r="K462" s="15" t="s">
        <v>22</v>
      </c>
    </row>
    <row r="463" spans="1:11" ht="42" customHeight="1">
      <c r="A463" s="4" t="s">
        <v>1239</v>
      </c>
      <c r="B463" s="5" t="s">
        <v>1240</v>
      </c>
      <c r="C463" s="5" t="s">
        <v>35</v>
      </c>
      <c r="D463" s="5" t="s">
        <v>36</v>
      </c>
      <c r="E463" s="5" t="s">
        <v>209</v>
      </c>
      <c r="F463" s="9">
        <v>89</v>
      </c>
      <c r="G463" s="9">
        <v>950</v>
      </c>
      <c r="H463" s="5" t="s">
        <v>20</v>
      </c>
      <c r="I463" s="5" t="s">
        <v>1247</v>
      </c>
      <c r="J463" s="12" t="str">
        <f>HYPERLINK("https://www.boe.es/gazeta/dias/1805/11/05/pdfs/GMD-1805-89.pdf#page=10","Abrir facsímil")</f>
        <v>Abrir facsímil</v>
      </c>
      <c r="K463" s="15" t="s">
        <v>22</v>
      </c>
    </row>
    <row r="464" spans="1:11" ht="42" customHeight="1">
      <c r="A464" s="4" t="s">
        <v>1239</v>
      </c>
      <c r="B464" s="5" t="s">
        <v>1240</v>
      </c>
      <c r="C464" s="5" t="s">
        <v>29</v>
      </c>
      <c r="D464" s="5" t="s">
        <v>30</v>
      </c>
      <c r="E464" s="5" t="s">
        <v>209</v>
      </c>
      <c r="F464" s="9">
        <v>89</v>
      </c>
      <c r="G464" s="9">
        <v>951</v>
      </c>
      <c r="H464" s="5" t="s">
        <v>20</v>
      </c>
      <c r="I464" s="5" t="s">
        <v>1248</v>
      </c>
      <c r="J464" s="12" t="str">
        <f>HYPERLINK("https://www.boe.es/gazeta/dias/1805/11/05/pdfs/GMD-1805-89.pdf#page=11","Abrir facsímil")</f>
        <v>Abrir facsímil</v>
      </c>
      <c r="K464" s="15" t="s">
        <v>22</v>
      </c>
    </row>
    <row r="465" spans="1:11" ht="42" customHeight="1">
      <c r="A465" s="4" t="s">
        <v>1239</v>
      </c>
      <c r="B465" s="5" t="s">
        <v>1240</v>
      </c>
      <c r="C465" s="5" t="s">
        <v>80</v>
      </c>
      <c r="D465" s="5" t="s">
        <v>81</v>
      </c>
      <c r="E465" s="5" t="s">
        <v>789</v>
      </c>
      <c r="F465" s="9">
        <v>104</v>
      </c>
      <c r="G465" s="9">
        <v>1119</v>
      </c>
      <c r="H465" s="5" t="s">
        <v>20</v>
      </c>
      <c r="I465" s="5" t="s">
        <v>1249</v>
      </c>
      <c r="J465" s="12" t="str">
        <f>HYPERLINK("https://www.boe.es/gazeta/dias/1805/12/27/pdfs/GMD-1805-104.pdf#page=3","Abrir facsímil")</f>
        <v>Abrir facsímil</v>
      </c>
      <c r="K465" s="15" t="s">
        <v>22</v>
      </c>
    </row>
    <row r="466" spans="1:11" ht="42" customHeight="1">
      <c r="A466" s="4" t="s">
        <v>1239</v>
      </c>
      <c r="B466" s="5" t="s">
        <v>1240</v>
      </c>
      <c r="C466" s="5" t="s">
        <v>80</v>
      </c>
      <c r="D466" s="5" t="s">
        <v>81</v>
      </c>
      <c r="E466" s="5" t="s">
        <v>789</v>
      </c>
      <c r="F466" s="9">
        <v>104</v>
      </c>
      <c r="G466" s="9">
        <v>1120</v>
      </c>
      <c r="H466" s="5" t="s">
        <v>20</v>
      </c>
      <c r="I466" s="5" t="s">
        <v>1250</v>
      </c>
      <c r="J466" s="12" t="str">
        <f>HYPERLINK("https://www.boe.es/gazeta/dias/1805/12/27/pdfs/GMD-1805-104.pdf#page=4","Abrir facsímil")</f>
        <v>Abrir facsímil</v>
      </c>
      <c r="K466" s="15" t="s">
        <v>22</v>
      </c>
    </row>
    <row r="467" spans="1:11" ht="42" customHeight="1">
      <c r="A467" s="4" t="s">
        <v>1251</v>
      </c>
      <c r="B467" s="5" t="s">
        <v>1252</v>
      </c>
      <c r="C467" s="5" t="s">
        <v>80</v>
      </c>
      <c r="D467" s="5" t="s">
        <v>81</v>
      </c>
      <c r="E467" s="5" t="s">
        <v>789</v>
      </c>
      <c r="F467" s="9">
        <v>104</v>
      </c>
      <c r="G467" s="9">
        <v>1127</v>
      </c>
      <c r="H467" s="5" t="s">
        <v>20</v>
      </c>
      <c r="I467" s="5" t="s">
        <v>1253</v>
      </c>
      <c r="J467" s="12" t="str">
        <f>HYPERLINK("https://www.boe.es/gazeta/dias/1805/12/27/pdfs/GMD-1805-104.pdf#page=11","Abrir facsímil")</f>
        <v>Abrir facsímil</v>
      </c>
      <c r="K467" s="15" t="s">
        <v>22</v>
      </c>
    </row>
    <row r="468" spans="1:11" ht="42" customHeight="1">
      <c r="A468" s="4" t="s">
        <v>1239</v>
      </c>
      <c r="B468" s="5" t="s">
        <v>1240</v>
      </c>
      <c r="C468" s="5" t="s">
        <v>17</v>
      </c>
      <c r="D468" s="5" t="s">
        <v>18</v>
      </c>
      <c r="E468" s="5" t="s">
        <v>789</v>
      </c>
      <c r="F468" s="9">
        <v>104</v>
      </c>
      <c r="G468" s="9">
        <v>1128</v>
      </c>
      <c r="H468" s="5" t="s">
        <v>20</v>
      </c>
      <c r="I468" s="5" t="s">
        <v>1254</v>
      </c>
      <c r="J468" s="12" t="str">
        <f>HYPERLINK("https://www.boe.es/gazeta/dias/1805/12/27/pdfs/GMD-1805-104.pdf#page=12","Abrir facsímil")</f>
        <v>Abrir facsímil</v>
      </c>
      <c r="K468" s="15" t="s">
        <v>22</v>
      </c>
    </row>
    <row r="469" spans="1:11" ht="42" customHeight="1">
      <c r="A469" s="4" t="s">
        <v>1255</v>
      </c>
      <c r="B469" s="5" t="s">
        <v>1255</v>
      </c>
      <c r="C469" s="5" t="s">
        <v>17</v>
      </c>
      <c r="D469" s="5" t="s">
        <v>18</v>
      </c>
      <c r="E469" s="5" t="s">
        <v>82</v>
      </c>
      <c r="F469" s="9">
        <v>25</v>
      </c>
      <c r="G469" s="9">
        <v>268</v>
      </c>
      <c r="H469" s="5" t="s">
        <v>20</v>
      </c>
      <c r="I469" s="5" t="s">
        <v>1256</v>
      </c>
      <c r="J469" s="12" t="str">
        <f>HYPERLINK("https://www.boe.es/gazeta/dias/1805/03/26/pdfs/GMD-1805-25.pdf#page=8","Abrir facsímil")</f>
        <v>Abrir facsímil</v>
      </c>
      <c r="K469" s="15" t="s">
        <v>22</v>
      </c>
    </row>
    <row r="470" spans="1:11" ht="42" customHeight="1">
      <c r="A470" s="4" t="s">
        <v>1257</v>
      </c>
      <c r="B470" s="5" t="s">
        <v>1258</v>
      </c>
      <c r="C470" s="5" t="s">
        <v>35</v>
      </c>
      <c r="D470" s="5" t="s">
        <v>36</v>
      </c>
      <c r="E470" s="5" t="s">
        <v>1259</v>
      </c>
      <c r="F470" s="9">
        <v>78</v>
      </c>
      <c r="G470" s="9">
        <v>827</v>
      </c>
      <c r="H470" s="5" t="s">
        <v>20</v>
      </c>
      <c r="I470" s="5" t="s">
        <v>1260</v>
      </c>
      <c r="J470" s="12" t="str">
        <f>HYPERLINK("https://www.boe.es/gazeta/dias/1805/09/27/pdfs/GMD-1805-78.pdf#page=7","Abrir facsímil")</f>
        <v>Abrir facsímil</v>
      </c>
      <c r="K470" s="15" t="s">
        <v>22</v>
      </c>
    </row>
    <row r="471" spans="1:11" ht="42" customHeight="1">
      <c r="A471" s="4" t="s">
        <v>1261</v>
      </c>
      <c r="B471" s="5" t="s">
        <v>1261</v>
      </c>
      <c r="C471" s="5" t="s">
        <v>17</v>
      </c>
      <c r="D471" s="5" t="s">
        <v>18</v>
      </c>
      <c r="E471" s="5" t="s">
        <v>82</v>
      </c>
      <c r="F471" s="9">
        <v>25</v>
      </c>
      <c r="G471" s="9">
        <v>267</v>
      </c>
      <c r="H471" s="5" t="s">
        <v>20</v>
      </c>
      <c r="I471" s="5" t="s">
        <v>1262</v>
      </c>
      <c r="J471" s="12" t="str">
        <f>HYPERLINK("https://www.boe.es/gazeta/dias/1805/03/26/pdfs/GMD-1805-25.pdf#page=7","Abrir facsímil")</f>
        <v>Abrir facsímil</v>
      </c>
      <c r="K471" s="15" t="s">
        <v>22</v>
      </c>
    </row>
    <row r="472" spans="1:11" ht="42" customHeight="1">
      <c r="A472" s="4" t="s">
        <v>1263</v>
      </c>
      <c r="B472" s="5" t="s">
        <v>1264</v>
      </c>
      <c r="C472" s="5" t="s">
        <v>80</v>
      </c>
      <c r="D472" s="5" t="s">
        <v>81</v>
      </c>
      <c r="E472" s="5" t="s">
        <v>886</v>
      </c>
      <c r="F472" s="9">
        <v>93</v>
      </c>
      <c r="G472" s="9">
        <v>992</v>
      </c>
      <c r="H472" s="5" t="s">
        <v>20</v>
      </c>
      <c r="I472" s="5" t="s">
        <v>1265</v>
      </c>
      <c r="J472" s="12" t="str">
        <f>HYPERLINK("https://www.boe.es/gazeta/dias/1805/11/19/pdfs/GMD-1805-93.pdf#page=4","Abrir facsímil")</f>
        <v>Abrir facsímil</v>
      </c>
      <c r="K472" s="15" t="s">
        <v>22</v>
      </c>
    </row>
    <row r="473" spans="1:11" ht="42" customHeight="1">
      <c r="A473" s="4" t="s">
        <v>1263</v>
      </c>
      <c r="B473" s="5" t="s">
        <v>1264</v>
      </c>
      <c r="C473" s="5" t="s">
        <v>80</v>
      </c>
      <c r="D473" s="5" t="s">
        <v>81</v>
      </c>
      <c r="E473" s="5" t="s">
        <v>67</v>
      </c>
      <c r="F473" s="9">
        <v>98</v>
      </c>
      <c r="G473" s="9">
        <v>1053</v>
      </c>
      <c r="H473" s="5" t="s">
        <v>20</v>
      </c>
      <c r="I473" s="5" t="s">
        <v>1266</v>
      </c>
      <c r="J473" s="12" t="str">
        <f>HYPERLINK("https://www.boe.es/gazeta/dias/1805/12/06/pdfs/GMD-1805-98.pdf#page=5","Abrir facsímil")</f>
        <v>Abrir facsímil</v>
      </c>
      <c r="K473" s="15" t="s">
        <v>22</v>
      </c>
    </row>
    <row r="474" spans="1:11" ht="42" customHeight="1">
      <c r="A474" s="4" t="s">
        <v>1263</v>
      </c>
      <c r="B474" s="5" t="s">
        <v>1264</v>
      </c>
      <c r="C474" s="5" t="s">
        <v>80</v>
      </c>
      <c r="D474" s="5" t="s">
        <v>81</v>
      </c>
      <c r="E474" s="5" t="s">
        <v>789</v>
      </c>
      <c r="F474" s="9">
        <v>104</v>
      </c>
      <c r="G474" s="9">
        <v>1127</v>
      </c>
      <c r="H474" s="5" t="s">
        <v>20</v>
      </c>
      <c r="I474" s="5" t="s">
        <v>1267</v>
      </c>
      <c r="J474" s="12" t="str">
        <f>HYPERLINK("https://www.boe.es/gazeta/dias/1805/12/27/pdfs/GMD-1805-104.pdf#page=11","Abrir facsímil")</f>
        <v>Abrir facsímil</v>
      </c>
      <c r="K474" s="15" t="s">
        <v>22</v>
      </c>
    </row>
    <row r="475" spans="1:11" ht="42" customHeight="1">
      <c r="A475" s="4" t="s">
        <v>1268</v>
      </c>
      <c r="B475" s="5" t="s">
        <v>1269</v>
      </c>
      <c r="C475" s="5" t="s">
        <v>17</v>
      </c>
      <c r="D475" s="5" t="s">
        <v>18</v>
      </c>
      <c r="E475" s="5" t="s">
        <v>296</v>
      </c>
      <c r="F475" s="9">
        <v>26</v>
      </c>
      <c r="G475" s="9">
        <v>277</v>
      </c>
      <c r="H475" s="5" t="s">
        <v>20</v>
      </c>
      <c r="I475" s="5" t="s">
        <v>1270</v>
      </c>
      <c r="J475" s="12" t="str">
        <f>HYPERLINK("https://www.boe.es/gazeta/dias/1805/03/29/pdfs/GMD-1805-26.pdf#page=9","Abrir facsímil")</f>
        <v>Abrir facsímil</v>
      </c>
      <c r="K475" s="15" t="s">
        <v>22</v>
      </c>
    </row>
    <row r="476" spans="1:11" ht="42" customHeight="1">
      <c r="A476" s="4" t="s">
        <v>1271</v>
      </c>
      <c r="B476" s="5" t="s">
        <v>1272</v>
      </c>
      <c r="C476" s="5" t="s">
        <v>52</v>
      </c>
      <c r="D476" s="5" t="s">
        <v>53</v>
      </c>
      <c r="E476" s="5" t="s">
        <v>144</v>
      </c>
      <c r="F476" s="9">
        <v>85</v>
      </c>
      <c r="G476" s="9" t="s">
        <v>475</v>
      </c>
      <c r="H476" s="5" t="s">
        <v>20</v>
      </c>
      <c r="I476" s="5" t="s">
        <v>1273</v>
      </c>
      <c r="J476" s="12" t="str">
        <f>HYPERLINK("https://www.boe.es/gazeta/dias/1805/10/22/pdfs/GMD-C-1805-85.pdf#page=5","Abrir facsímil")</f>
        <v>Abrir facsímil</v>
      </c>
      <c r="K476" s="15" t="s">
        <v>22</v>
      </c>
    </row>
    <row r="477" spans="1:11" ht="42" customHeight="1">
      <c r="A477" s="4" t="s">
        <v>1274</v>
      </c>
      <c r="B477" s="5" t="s">
        <v>1275</v>
      </c>
      <c r="C477" s="5" t="s">
        <v>29</v>
      </c>
      <c r="D477" s="5" t="s">
        <v>30</v>
      </c>
      <c r="E477" s="5" t="s">
        <v>213</v>
      </c>
      <c r="F477" s="9">
        <v>56</v>
      </c>
      <c r="G477" s="9">
        <v>598</v>
      </c>
      <c r="H477" s="5" t="s">
        <v>20</v>
      </c>
      <c r="I477" s="5" t="s">
        <v>1276</v>
      </c>
      <c r="J477" s="12" t="str">
        <f>HYPERLINK("https://www.boe.es/gazeta/dias/1805/07/12/pdfs/GMD-1805-56.pdf#page=6","Abrir facsímil")</f>
        <v>Abrir facsímil</v>
      </c>
      <c r="K477" s="15" t="s">
        <v>22</v>
      </c>
    </row>
    <row r="478" spans="1:11" ht="42" customHeight="1">
      <c r="A478" s="4" t="s">
        <v>1274</v>
      </c>
      <c r="B478" s="5" t="s">
        <v>1275</v>
      </c>
      <c r="C478" s="5" t="s">
        <v>80</v>
      </c>
      <c r="D478" s="5" t="s">
        <v>81</v>
      </c>
      <c r="E478" s="5" t="s">
        <v>215</v>
      </c>
      <c r="F478" s="9">
        <v>87</v>
      </c>
      <c r="G478" s="9">
        <v>926</v>
      </c>
      <c r="H478" s="5" t="s">
        <v>20</v>
      </c>
      <c r="I478" s="5" t="s">
        <v>1277</v>
      </c>
      <c r="J478" s="12" t="str">
        <f>HYPERLINK("https://www.boe.es/gazeta/dias/1805/10/29/pdfs/GMD-1805-87.pdf#page=10","Abrir facsímil")</f>
        <v>Abrir facsímil</v>
      </c>
      <c r="K478" s="15" t="s">
        <v>22</v>
      </c>
    </row>
    <row r="479" spans="1:11" ht="42" customHeight="1">
      <c r="A479" s="4" t="s">
        <v>1274</v>
      </c>
      <c r="B479" s="5" t="s">
        <v>1275</v>
      </c>
      <c r="C479" s="5" t="s">
        <v>184</v>
      </c>
      <c r="D479" s="5" t="s">
        <v>86</v>
      </c>
      <c r="E479" s="5" t="s">
        <v>512</v>
      </c>
      <c r="F479" s="9">
        <v>100</v>
      </c>
      <c r="G479" s="9">
        <v>1079</v>
      </c>
      <c r="H479" s="5" t="s">
        <v>20</v>
      </c>
      <c r="I479" s="5" t="s">
        <v>1278</v>
      </c>
      <c r="J479" s="12" t="str">
        <f>HYPERLINK("https://www.boe.es/gazeta/dias/1805/12/13/pdfs/GMD-1805-100.pdf#page=7","Abrir facsímil")</f>
        <v>Abrir facsímil</v>
      </c>
      <c r="K479" s="15" t="s">
        <v>22</v>
      </c>
    </row>
    <row r="480" spans="1:11" ht="42" customHeight="1">
      <c r="A480" s="4" t="s">
        <v>1274</v>
      </c>
      <c r="B480" s="5" t="s">
        <v>1275</v>
      </c>
      <c r="C480" s="5" t="s">
        <v>80</v>
      </c>
      <c r="D480" s="5" t="s">
        <v>81</v>
      </c>
      <c r="E480" s="5" t="s">
        <v>789</v>
      </c>
      <c r="F480" s="9">
        <v>104</v>
      </c>
      <c r="G480" s="9">
        <v>1121</v>
      </c>
      <c r="H480" s="5" t="s">
        <v>20</v>
      </c>
      <c r="I480" s="5" t="s">
        <v>1279</v>
      </c>
      <c r="J480" s="12" t="str">
        <f>HYPERLINK("https://www.boe.es/gazeta/dias/1805/12/27/pdfs/GMD-1805-104.pdf#page=5","Abrir facsímil")</f>
        <v>Abrir facsímil</v>
      </c>
      <c r="K480" s="15" t="s">
        <v>22</v>
      </c>
    </row>
    <row r="481" spans="1:11" ht="42" customHeight="1">
      <c r="A481" s="4" t="s">
        <v>1280</v>
      </c>
      <c r="B481" s="5" t="s">
        <v>1281</v>
      </c>
      <c r="C481" s="5" t="s">
        <v>80</v>
      </c>
      <c r="D481" s="5" t="s">
        <v>81</v>
      </c>
      <c r="E481" s="5" t="s">
        <v>585</v>
      </c>
      <c r="F481" s="9">
        <v>64</v>
      </c>
      <c r="G481" s="9">
        <v>680</v>
      </c>
      <c r="H481" s="5" t="s">
        <v>20</v>
      </c>
      <c r="I481" s="5" t="s">
        <v>1282</v>
      </c>
      <c r="J481" s="12" t="str">
        <f>HYPERLINK("https://www.boe.es/gazeta/dias/1805/08/09/pdfs/GMD-1805-64.pdf#page=4","Abrir facsímil")</f>
        <v>Abrir facsímil</v>
      </c>
      <c r="K481" s="15" t="s">
        <v>22</v>
      </c>
    </row>
    <row r="482" spans="1:11" ht="42" customHeight="1">
      <c r="A482" s="4" t="s">
        <v>1283</v>
      </c>
      <c r="B482" s="5" t="s">
        <v>1284</v>
      </c>
      <c r="C482" s="5" t="s">
        <v>80</v>
      </c>
      <c r="D482" s="5" t="s">
        <v>81</v>
      </c>
      <c r="E482" s="5" t="s">
        <v>585</v>
      </c>
      <c r="F482" s="9">
        <v>64</v>
      </c>
      <c r="G482" s="9">
        <v>680</v>
      </c>
      <c r="H482" s="5" t="s">
        <v>20</v>
      </c>
      <c r="I482" s="5" t="s">
        <v>1285</v>
      </c>
      <c r="J482" s="12" t="str">
        <f>HYPERLINK("https://www.boe.es/gazeta/dias/1805/08/09/pdfs/GMD-1805-64.pdf#page=4","Abrir facsímil")</f>
        <v>Abrir facsímil</v>
      </c>
      <c r="K482" s="15" t="s">
        <v>22</v>
      </c>
    </row>
    <row r="483" spans="1:11" ht="42" customHeight="1">
      <c r="A483" s="4" t="s">
        <v>1286</v>
      </c>
      <c r="B483" s="5" t="s">
        <v>1286</v>
      </c>
      <c r="C483" s="5" t="s">
        <v>29</v>
      </c>
      <c r="D483" s="5" t="s">
        <v>30</v>
      </c>
      <c r="E483" s="5" t="s">
        <v>40</v>
      </c>
      <c r="F483" s="9">
        <v>59</v>
      </c>
      <c r="G483" s="9">
        <v>629</v>
      </c>
      <c r="H483" s="5" t="s">
        <v>20</v>
      </c>
      <c r="I483" s="5" t="s">
        <v>1287</v>
      </c>
      <c r="J483" s="12" t="str">
        <f>HYPERLINK("https://www.boe.es/gazeta/dias/1805/07/23/pdfs/GMD-1805-59.pdf#page=5","Abrir facsímil")</f>
        <v>Abrir facsímil</v>
      </c>
      <c r="K483" s="15" t="s">
        <v>22</v>
      </c>
    </row>
    <row r="484" spans="1:11" ht="42" customHeight="1">
      <c r="A484" s="4" t="s">
        <v>1288</v>
      </c>
      <c r="B484" s="5" t="s">
        <v>1289</v>
      </c>
      <c r="C484" s="5" t="s">
        <v>17</v>
      </c>
      <c r="D484" s="5" t="s">
        <v>18</v>
      </c>
      <c r="E484" s="5" t="s">
        <v>114</v>
      </c>
      <c r="F484" s="9">
        <v>17</v>
      </c>
      <c r="G484" s="9">
        <v>176</v>
      </c>
      <c r="H484" s="5" t="s">
        <v>20</v>
      </c>
      <c r="I484" s="5" t="s">
        <v>1290</v>
      </c>
      <c r="J484" s="12" t="str">
        <f>HYPERLINK("https://www.boe.es/gazeta/dias/1805/02/26/pdfs/GMD-1805-17.pdf#page=8","Abrir facsímil")</f>
        <v>Abrir facsímil</v>
      </c>
      <c r="K484" s="15" t="s">
        <v>22</v>
      </c>
    </row>
    <row r="485" spans="1:11" ht="42" customHeight="1">
      <c r="A485" s="4" t="s">
        <v>1291</v>
      </c>
      <c r="B485" s="5" t="s">
        <v>1291</v>
      </c>
      <c r="C485" s="5" t="s">
        <v>29</v>
      </c>
      <c r="D485" s="5" t="s">
        <v>30</v>
      </c>
      <c r="E485" s="5" t="s">
        <v>1292</v>
      </c>
      <c r="F485" s="9">
        <v>43</v>
      </c>
      <c r="G485" s="9">
        <v>464</v>
      </c>
      <c r="H485" s="5" t="s">
        <v>20</v>
      </c>
      <c r="I485" s="5" t="s">
        <v>1293</v>
      </c>
      <c r="J485" s="12" t="str">
        <f>HYPERLINK("https://www.boe.es/gazeta/dias/1805/05/28/pdfs/GMD-1805-43.pdf#page=8","Abrir facsímil")</f>
        <v>Abrir facsímil</v>
      </c>
      <c r="K485" s="15" t="s">
        <v>22</v>
      </c>
    </row>
    <row r="486" spans="1:11" ht="42" customHeight="1">
      <c r="A486" s="4" t="s">
        <v>1294</v>
      </c>
      <c r="B486" s="5" t="s">
        <v>1295</v>
      </c>
      <c r="C486" s="5" t="s">
        <v>35</v>
      </c>
      <c r="D486" s="5" t="s">
        <v>36</v>
      </c>
      <c r="E486" s="5" t="s">
        <v>213</v>
      </c>
      <c r="F486" s="9">
        <v>56</v>
      </c>
      <c r="G486" s="9">
        <v>596</v>
      </c>
      <c r="H486" s="5" t="s">
        <v>20</v>
      </c>
      <c r="I486" s="5" t="s">
        <v>1296</v>
      </c>
      <c r="J486" s="12" t="str">
        <f>HYPERLINK("https://www.boe.es/gazeta/dias/1805/07/12/pdfs/GMD-1805-56.pdf#page=4","Abrir facsímil")</f>
        <v>Abrir facsímil</v>
      </c>
      <c r="K486" s="15" t="s">
        <v>22</v>
      </c>
    </row>
    <row r="487" spans="1:11" ht="42" customHeight="1">
      <c r="A487" s="4" t="s">
        <v>1297</v>
      </c>
      <c r="B487" s="5" t="s">
        <v>1298</v>
      </c>
      <c r="C487" s="5" t="s">
        <v>80</v>
      </c>
      <c r="D487" s="5" t="s">
        <v>81</v>
      </c>
      <c r="E487" s="5" t="s">
        <v>1132</v>
      </c>
      <c r="F487" s="9">
        <v>72</v>
      </c>
      <c r="G487" s="9">
        <v>763</v>
      </c>
      <c r="H487" s="5" t="s">
        <v>20</v>
      </c>
      <c r="I487" s="5" t="s">
        <v>1299</v>
      </c>
      <c r="J487" s="12" t="str">
        <f>HYPERLINK("https://www.boe.es/gazeta/dias/1805/09/06/pdfs/GMD-1805-72.pdf#page=3","Abrir facsímil")</f>
        <v>Abrir facsímil</v>
      </c>
      <c r="K487" s="15" t="s">
        <v>22</v>
      </c>
    </row>
    <row r="488" spans="1:11" ht="42" customHeight="1">
      <c r="A488" s="4" t="s">
        <v>1300</v>
      </c>
      <c r="B488" s="5" t="s">
        <v>1300</v>
      </c>
      <c r="C488" s="5" t="s">
        <v>184</v>
      </c>
      <c r="D488" s="5" t="s">
        <v>86</v>
      </c>
      <c r="E488" s="5" t="s">
        <v>393</v>
      </c>
      <c r="F488" s="9">
        <v>44</v>
      </c>
      <c r="G488" s="9">
        <v>472</v>
      </c>
      <c r="H488" s="5" t="s">
        <v>20</v>
      </c>
      <c r="I488" s="5" t="s">
        <v>1301</v>
      </c>
      <c r="J488" s="12" t="str">
        <f>HYPERLINK("https://www.boe.es/gazeta/dias/1805/05/31/pdfs/GMD-1805-44.pdf#page=8","Abrir facsímil")</f>
        <v>Abrir facsímil</v>
      </c>
      <c r="K488" s="15" t="s">
        <v>22</v>
      </c>
    </row>
    <row r="489" spans="1:11" ht="42" customHeight="1">
      <c r="A489" s="4" t="s">
        <v>1302</v>
      </c>
      <c r="B489" s="5" t="s">
        <v>1303</v>
      </c>
      <c r="C489" s="5" t="s">
        <v>17</v>
      </c>
      <c r="D489" s="5" t="s">
        <v>18</v>
      </c>
      <c r="E489" s="5" t="s">
        <v>44</v>
      </c>
      <c r="F489" s="9">
        <v>29</v>
      </c>
      <c r="G489" s="9">
        <v>312</v>
      </c>
      <c r="H489" s="5" t="s">
        <v>20</v>
      </c>
      <c r="I489" s="5" t="s">
        <v>1304</v>
      </c>
      <c r="J489" s="12" t="str">
        <f>HYPERLINK("https://www.boe.es/gazeta/dias/1805/04/09/pdfs/GMD-1805-29.pdf#page=8","Abrir facsímil")</f>
        <v>Abrir facsímil</v>
      </c>
      <c r="K489" s="15" t="s">
        <v>22</v>
      </c>
    </row>
    <row r="490" spans="1:11" ht="42" customHeight="1">
      <c r="A490" s="4" t="s">
        <v>1305</v>
      </c>
      <c r="B490" s="5" t="s">
        <v>1306</v>
      </c>
      <c r="C490" s="5" t="s">
        <v>85</v>
      </c>
      <c r="D490" s="5" t="s">
        <v>86</v>
      </c>
      <c r="E490" s="5" t="s">
        <v>886</v>
      </c>
      <c r="F490" s="9">
        <v>93</v>
      </c>
      <c r="G490" s="9">
        <v>998</v>
      </c>
      <c r="H490" s="5" t="s">
        <v>20</v>
      </c>
      <c r="I490" s="5" t="s">
        <v>1307</v>
      </c>
      <c r="J490" s="12" t="str">
        <f>HYPERLINK("https://www.boe.es/gazeta/dias/1805/11/19/pdfs/GMD-1805-93.pdf#page=10","Abrir facsímil")</f>
        <v>Abrir facsímil</v>
      </c>
      <c r="K490" s="15" t="s">
        <v>22</v>
      </c>
    </row>
    <row r="491" spans="1:11" ht="42" customHeight="1">
      <c r="A491" s="4" t="s">
        <v>1308</v>
      </c>
      <c r="B491" s="5" t="s">
        <v>1309</v>
      </c>
      <c r="C491" s="5" t="s">
        <v>80</v>
      </c>
      <c r="D491" s="5" t="s">
        <v>81</v>
      </c>
      <c r="E491" s="5" t="s">
        <v>82</v>
      </c>
      <c r="F491" s="9">
        <v>25</v>
      </c>
      <c r="G491" s="9">
        <v>266</v>
      </c>
      <c r="H491" s="5" t="s">
        <v>20</v>
      </c>
      <c r="I491" s="5" t="s">
        <v>1310</v>
      </c>
      <c r="J491" s="12" t="str">
        <f>HYPERLINK("https://www.boe.es/gazeta/dias/1805/03/26/pdfs/GMD-1805-25.pdf#page=6","Abrir facsímil")</f>
        <v>Abrir facsímil</v>
      </c>
      <c r="K491" s="15" t="s">
        <v>22</v>
      </c>
    </row>
    <row r="492" spans="1:11" ht="42" customHeight="1">
      <c r="A492" s="4" t="s">
        <v>1311</v>
      </c>
      <c r="B492" s="5" t="s">
        <v>1311</v>
      </c>
      <c r="C492" s="5" t="s">
        <v>80</v>
      </c>
      <c r="D492" s="5" t="s">
        <v>81</v>
      </c>
      <c r="E492" s="5" t="s">
        <v>276</v>
      </c>
      <c r="F492" s="9">
        <v>51</v>
      </c>
      <c r="G492" s="9">
        <v>546</v>
      </c>
      <c r="H492" s="5" t="s">
        <v>20</v>
      </c>
      <c r="I492" s="5" t="s">
        <v>1312</v>
      </c>
      <c r="J492" s="12" t="str">
        <f>HYPERLINK("https://www.boe.es/gazeta/dias/1805/06/25/pdfs/GMD-1805-51.pdf#page=2","Abrir facsímil")</f>
        <v>Abrir facsímil</v>
      </c>
      <c r="K492" s="15" t="s">
        <v>22</v>
      </c>
    </row>
    <row r="493" spans="1:11" ht="42" customHeight="1">
      <c r="A493" s="4" t="s">
        <v>1313</v>
      </c>
      <c r="B493" s="5" t="s">
        <v>1314</v>
      </c>
      <c r="C493" s="5" t="s">
        <v>17</v>
      </c>
      <c r="D493" s="5" t="s">
        <v>18</v>
      </c>
      <c r="E493" s="5" t="s">
        <v>787</v>
      </c>
      <c r="F493" s="9">
        <v>95</v>
      </c>
      <c r="G493" s="9">
        <v>1018</v>
      </c>
      <c r="H493" s="5" t="s">
        <v>20</v>
      </c>
      <c r="I493" s="5" t="s">
        <v>1315</v>
      </c>
      <c r="J493" s="12" t="str">
        <f>HYPERLINK("https://www.boe.es/gazeta/dias/1805/11/26/pdfs/GMD-1805-95.pdf#page=6","Abrir facsímil")</f>
        <v>Abrir facsímil</v>
      </c>
      <c r="K493" s="15" t="s">
        <v>22</v>
      </c>
    </row>
    <row r="494" spans="1:11" ht="42" customHeight="1">
      <c r="A494" s="4" t="s">
        <v>1313</v>
      </c>
      <c r="B494" s="5" t="s">
        <v>1314</v>
      </c>
      <c r="C494" s="5" t="s">
        <v>35</v>
      </c>
      <c r="D494" s="5" t="s">
        <v>36</v>
      </c>
      <c r="E494" s="5" t="s">
        <v>787</v>
      </c>
      <c r="F494" s="9">
        <v>95</v>
      </c>
      <c r="G494" s="9">
        <v>1019</v>
      </c>
      <c r="H494" s="5" t="s">
        <v>20</v>
      </c>
      <c r="I494" s="5" t="s">
        <v>1316</v>
      </c>
      <c r="J494" s="12" t="str">
        <f>HYPERLINK("https://www.boe.es/gazeta/dias/1805/11/26/pdfs/GMD-1805-95.pdf#page=7","Abrir facsímil")</f>
        <v>Abrir facsímil</v>
      </c>
      <c r="K494" s="15" t="s">
        <v>22</v>
      </c>
    </row>
    <row r="495" spans="1:11" ht="42" customHeight="1">
      <c r="A495" s="4" t="s">
        <v>1317</v>
      </c>
      <c r="B495" s="5" t="s">
        <v>1318</v>
      </c>
      <c r="C495" s="5" t="s">
        <v>35</v>
      </c>
      <c r="D495" s="5" t="s">
        <v>36</v>
      </c>
      <c r="E495" s="5" t="s">
        <v>293</v>
      </c>
      <c r="F495" s="9">
        <v>5</v>
      </c>
      <c r="G495" s="9">
        <v>46</v>
      </c>
      <c r="H495" s="5" t="s">
        <v>20</v>
      </c>
      <c r="I495" s="5" t="s">
        <v>1319</v>
      </c>
      <c r="J495" s="12" t="str">
        <f>HYPERLINK("https://www.boe.es/gazeta/dias/1805/01/15/pdfs/GMD-1805-5.pdf#page=2","Abrir facsímil")</f>
        <v>Abrir facsímil</v>
      </c>
      <c r="K495" s="15" t="s">
        <v>22</v>
      </c>
    </row>
    <row r="496" spans="1:11" ht="42" customHeight="1">
      <c r="A496" s="4" t="s">
        <v>1320</v>
      </c>
      <c r="B496" s="5" t="s">
        <v>1321</v>
      </c>
      <c r="C496" s="5" t="s">
        <v>35</v>
      </c>
      <c r="D496" s="5" t="s">
        <v>36</v>
      </c>
      <c r="E496" s="5" t="s">
        <v>95</v>
      </c>
      <c r="F496" s="9">
        <v>13</v>
      </c>
      <c r="G496" s="9">
        <v>139</v>
      </c>
      <c r="H496" s="5" t="s">
        <v>20</v>
      </c>
      <c r="I496" s="5" t="s">
        <v>1322</v>
      </c>
      <c r="J496" s="12" t="str">
        <f>HYPERLINK("https://www.boe.es/gazeta/dias/1805/02/12/pdfs/GMD-1805-13.pdf#page=7","Abrir facsímil")</f>
        <v>Abrir facsímil</v>
      </c>
      <c r="K496" s="15" t="s">
        <v>22</v>
      </c>
    </row>
    <row r="497" spans="1:11" ht="42" customHeight="1">
      <c r="A497" s="4" t="s">
        <v>1323</v>
      </c>
      <c r="B497" s="5" t="s">
        <v>1324</v>
      </c>
      <c r="C497" s="5" t="s">
        <v>35</v>
      </c>
      <c r="D497" s="5" t="s">
        <v>36</v>
      </c>
      <c r="E497" s="5" t="s">
        <v>456</v>
      </c>
      <c r="F497" s="9">
        <v>70</v>
      </c>
      <c r="G497" s="9">
        <v>746</v>
      </c>
      <c r="H497" s="5" t="s">
        <v>20</v>
      </c>
      <c r="I497" s="5" t="s">
        <v>1325</v>
      </c>
      <c r="J497" s="12" t="str">
        <f>HYPERLINK("https://www.boe.es/gazeta/dias/1805/08/30/pdfs/GMD-1805-70.pdf#page=6","Abrir facsímil")</f>
        <v>Abrir facsímil</v>
      </c>
      <c r="K497" s="15" t="s">
        <v>22</v>
      </c>
    </row>
    <row r="498" spans="1:11" ht="42" customHeight="1">
      <c r="A498" s="4" t="s">
        <v>1323</v>
      </c>
      <c r="B498" s="5" t="s">
        <v>1324</v>
      </c>
      <c r="C498" s="5" t="s">
        <v>52</v>
      </c>
      <c r="D498" s="5" t="s">
        <v>53</v>
      </c>
      <c r="E498" s="5" t="s">
        <v>144</v>
      </c>
      <c r="F498" s="9">
        <v>85</v>
      </c>
      <c r="G498" s="9" t="s">
        <v>475</v>
      </c>
      <c r="H498" s="5" t="s">
        <v>20</v>
      </c>
      <c r="I498" s="5" t="s">
        <v>1326</v>
      </c>
      <c r="J498" s="12" t="str">
        <f>HYPERLINK("https://www.boe.es/gazeta/dias/1805/10/22/pdfs/GMD-C-1805-85.pdf#page=5","Abrir facsímil")</f>
        <v>Abrir facsímil</v>
      </c>
      <c r="K498" s="15" t="s">
        <v>22</v>
      </c>
    </row>
    <row r="499" spans="1:11" ht="42" customHeight="1">
      <c r="A499" s="4" t="s">
        <v>1323</v>
      </c>
      <c r="B499" s="5" t="s">
        <v>1324</v>
      </c>
      <c r="C499" s="5" t="s">
        <v>52</v>
      </c>
      <c r="D499" s="5" t="s">
        <v>53</v>
      </c>
      <c r="E499" s="5" t="s">
        <v>54</v>
      </c>
      <c r="F499" s="9">
        <v>99</v>
      </c>
      <c r="G499" s="9" t="s">
        <v>55</v>
      </c>
      <c r="H499" s="5" t="s">
        <v>20</v>
      </c>
      <c r="I499" s="5" t="s">
        <v>1327</v>
      </c>
      <c r="J499" s="12" t="str">
        <f>HYPERLINK("https://www.boe.es/gazeta/dias/1805/12/10/pdfs/GMD-C-1805-99.pdf#page=4","Abrir facsímil")</f>
        <v>Abrir facsímil</v>
      </c>
      <c r="K499" s="15" t="s">
        <v>22</v>
      </c>
    </row>
    <row r="500" spans="1:11" ht="42" customHeight="1">
      <c r="A500" s="4" t="s">
        <v>1328</v>
      </c>
      <c r="B500" s="5" t="s">
        <v>1329</v>
      </c>
      <c r="C500" s="5" t="s">
        <v>35</v>
      </c>
      <c r="D500" s="5" t="s">
        <v>36</v>
      </c>
      <c r="E500" s="5" t="s">
        <v>19</v>
      </c>
      <c r="F500" s="9">
        <v>86</v>
      </c>
      <c r="G500" s="9">
        <v>913</v>
      </c>
      <c r="H500" s="5" t="s">
        <v>20</v>
      </c>
      <c r="I500" s="5" t="s">
        <v>1330</v>
      </c>
      <c r="J500" s="12" t="str">
        <f>HYPERLINK("https://www.boe.es/gazeta/dias/1805/10/25/pdfs/GMD-1805-86.pdf#page=9","Abrir facsímil")</f>
        <v>Abrir facsímil</v>
      </c>
      <c r="K500" s="15" t="s">
        <v>22</v>
      </c>
    </row>
    <row r="501" spans="1:11" ht="42" customHeight="1">
      <c r="A501" s="4" t="s">
        <v>1331</v>
      </c>
      <c r="B501" s="5" t="s">
        <v>1332</v>
      </c>
      <c r="C501" s="5" t="s">
        <v>52</v>
      </c>
      <c r="D501" s="5" t="s">
        <v>53</v>
      </c>
      <c r="E501" s="5" t="s">
        <v>144</v>
      </c>
      <c r="F501" s="9">
        <v>85</v>
      </c>
      <c r="G501" s="9" t="s">
        <v>475</v>
      </c>
      <c r="H501" s="5" t="s">
        <v>20</v>
      </c>
      <c r="I501" s="5" t="s">
        <v>1333</v>
      </c>
      <c r="J501" s="12" t="str">
        <f>HYPERLINK("https://www.boe.es/gazeta/dias/1805/10/22/pdfs/GMD-C-1805-85.pdf#page=5","Abrir facsímil")</f>
        <v>Abrir facsímil</v>
      </c>
      <c r="K501" s="15" t="s">
        <v>22</v>
      </c>
    </row>
    <row r="502" spans="1:11" ht="42" customHeight="1">
      <c r="A502" s="4" t="s">
        <v>1334</v>
      </c>
      <c r="B502" s="5" t="s">
        <v>1335</v>
      </c>
      <c r="C502" s="5" t="s">
        <v>17</v>
      </c>
      <c r="D502" s="5" t="s">
        <v>18</v>
      </c>
      <c r="E502" s="5" t="s">
        <v>585</v>
      </c>
      <c r="F502" s="9">
        <v>64</v>
      </c>
      <c r="G502" s="9">
        <v>687</v>
      </c>
      <c r="H502" s="5" t="s">
        <v>20</v>
      </c>
      <c r="I502" s="5" t="s">
        <v>1336</v>
      </c>
      <c r="J502" s="12" t="str">
        <f>HYPERLINK("https://www.boe.es/gazeta/dias/1805/08/09/pdfs/GMD-1805-64.pdf#page=11","Abrir facsímil")</f>
        <v>Abrir facsímil</v>
      </c>
      <c r="K502" s="15" t="s">
        <v>22</v>
      </c>
    </row>
    <row r="503" spans="1:11" ht="42" customHeight="1">
      <c r="A503" s="4" t="s">
        <v>1337</v>
      </c>
      <c r="B503" s="5" t="s">
        <v>1338</v>
      </c>
      <c r="C503" s="5" t="s">
        <v>85</v>
      </c>
      <c r="D503" s="5" t="s">
        <v>86</v>
      </c>
      <c r="E503" s="5" t="s">
        <v>300</v>
      </c>
      <c r="F503" s="9">
        <v>81</v>
      </c>
      <c r="G503" s="9">
        <v>859</v>
      </c>
      <c r="H503" s="5" t="s">
        <v>20</v>
      </c>
      <c r="I503" s="5" t="s">
        <v>1339</v>
      </c>
      <c r="J503" s="12" t="str">
        <f>HYPERLINK("https://www.boe.es/gazeta/dias/1805/10/08/pdfs/GMD-1805-81.pdf#page=7","Abrir facsímil")</f>
        <v>Abrir facsímil</v>
      </c>
      <c r="K503" s="15" t="s">
        <v>22</v>
      </c>
    </row>
    <row r="504" spans="1:11" ht="42" customHeight="1">
      <c r="A504" s="4" t="s">
        <v>1340</v>
      </c>
      <c r="B504" s="5" t="s">
        <v>1341</v>
      </c>
      <c r="C504" s="5" t="s">
        <v>17</v>
      </c>
      <c r="D504" s="5" t="s">
        <v>18</v>
      </c>
      <c r="E504" s="5" t="s">
        <v>1221</v>
      </c>
      <c r="F504" s="9">
        <v>41</v>
      </c>
      <c r="G504" s="9">
        <v>442</v>
      </c>
      <c r="H504" s="5" t="s">
        <v>20</v>
      </c>
      <c r="I504" s="5" t="s">
        <v>1342</v>
      </c>
      <c r="J504" s="12" t="str">
        <f>HYPERLINK("https://www.boe.es/gazeta/dias/1805/05/21/pdfs/GMD-1805-41.pdf#page=10","Abrir facsímil")</f>
        <v>Abrir facsímil</v>
      </c>
      <c r="K504" s="15" t="s">
        <v>22</v>
      </c>
    </row>
    <row r="505" spans="1:11" ht="42" customHeight="1">
      <c r="A505" s="4" t="s">
        <v>1343</v>
      </c>
      <c r="B505" s="5" t="s">
        <v>1344</v>
      </c>
      <c r="C505" s="5" t="s">
        <v>85</v>
      </c>
      <c r="D505" s="5" t="s">
        <v>86</v>
      </c>
      <c r="E505" s="5" t="s">
        <v>335</v>
      </c>
      <c r="F505" s="9">
        <v>79</v>
      </c>
      <c r="G505" s="9">
        <v>838</v>
      </c>
      <c r="H505" s="5" t="s">
        <v>20</v>
      </c>
      <c r="I505" s="5" t="s">
        <v>1345</v>
      </c>
      <c r="J505" s="12" t="str">
        <f>HYPERLINK("https://www.boe.es/gazeta/dias/1805/10/01/pdfs/GMD-1805-79.pdf#page=10","Abrir facsímil")</f>
        <v>Abrir facsímil</v>
      </c>
      <c r="K505" s="15" t="s">
        <v>22</v>
      </c>
    </row>
    <row r="506" spans="1:11" ht="42" customHeight="1">
      <c r="A506" s="4" t="s">
        <v>1346</v>
      </c>
      <c r="B506" s="5" t="s">
        <v>1347</v>
      </c>
      <c r="C506" s="5" t="s">
        <v>17</v>
      </c>
      <c r="D506" s="5" t="s">
        <v>18</v>
      </c>
      <c r="E506" s="5" t="s">
        <v>40</v>
      </c>
      <c r="F506" s="9">
        <v>59</v>
      </c>
      <c r="G506" s="9">
        <v>631</v>
      </c>
      <c r="H506" s="5" t="s">
        <v>20</v>
      </c>
      <c r="I506" s="5" t="s">
        <v>1348</v>
      </c>
      <c r="J506" s="12" t="str">
        <f>HYPERLINK("https://www.boe.es/gazeta/dias/1805/07/23/pdfs/GMD-1805-59.pdf#page=7","Abrir facsímil")</f>
        <v>Abrir facsímil</v>
      </c>
      <c r="K506" s="15" t="s">
        <v>22</v>
      </c>
    </row>
    <row r="507" spans="1:11" ht="42" customHeight="1">
      <c r="A507" s="4" t="s">
        <v>1346</v>
      </c>
      <c r="B507" s="5" t="s">
        <v>1347</v>
      </c>
      <c r="C507" s="5" t="s">
        <v>184</v>
      </c>
      <c r="D507" s="5" t="s">
        <v>86</v>
      </c>
      <c r="E507" s="5" t="s">
        <v>40</v>
      </c>
      <c r="F507" s="9">
        <v>59</v>
      </c>
      <c r="G507" s="9">
        <v>632</v>
      </c>
      <c r="H507" s="5" t="s">
        <v>20</v>
      </c>
      <c r="I507" s="5" t="s">
        <v>1349</v>
      </c>
      <c r="J507" s="12" t="str">
        <f>HYPERLINK("https://www.boe.es/gazeta/dias/1805/07/23/pdfs/GMD-1805-59.pdf#page=8","Abrir facsímil")</f>
        <v>Abrir facsímil</v>
      </c>
      <c r="K507" s="15" t="s">
        <v>22</v>
      </c>
    </row>
    <row r="508" spans="1:11" ht="42" customHeight="1">
      <c r="A508" s="4" t="s">
        <v>1350</v>
      </c>
      <c r="B508" s="5" t="s">
        <v>1351</v>
      </c>
      <c r="C508" s="5" t="s">
        <v>85</v>
      </c>
      <c r="D508" s="5" t="s">
        <v>86</v>
      </c>
      <c r="E508" s="5" t="s">
        <v>471</v>
      </c>
      <c r="F508" s="9">
        <v>22</v>
      </c>
      <c r="G508" s="9">
        <v>233</v>
      </c>
      <c r="H508" s="5" t="s">
        <v>20</v>
      </c>
      <c r="I508" s="5" t="s">
        <v>1352</v>
      </c>
      <c r="J508" s="12" t="str">
        <f>HYPERLINK("https://www.boe.es/gazeta/dias/1805/03/15/pdfs/GMD-1805-22.pdf#page=9","Abrir facsímil")</f>
        <v>Abrir facsímil</v>
      </c>
      <c r="K508" s="15" t="s">
        <v>22</v>
      </c>
    </row>
    <row r="509" spans="1:11" ht="42" customHeight="1">
      <c r="A509" s="4" t="s">
        <v>1353</v>
      </c>
      <c r="B509" s="5" t="s">
        <v>1354</v>
      </c>
      <c r="C509" s="5" t="s">
        <v>35</v>
      </c>
      <c r="D509" s="5" t="s">
        <v>36</v>
      </c>
      <c r="E509" s="5" t="s">
        <v>120</v>
      </c>
      <c r="F509" s="9">
        <v>24</v>
      </c>
      <c r="G509" s="9">
        <v>256</v>
      </c>
      <c r="H509" s="5" t="s">
        <v>20</v>
      </c>
      <c r="I509" s="5" t="s">
        <v>1355</v>
      </c>
      <c r="J509" s="12" t="str">
        <f>HYPERLINK("https://www.boe.es/gazeta/dias/1805/03/22/pdfs/GMD-1805-24.pdf#page=8","Abrir facsímil")</f>
        <v>Abrir facsímil</v>
      </c>
      <c r="K509" s="15" t="s">
        <v>22</v>
      </c>
    </row>
    <row r="510" spans="1:11" ht="42" customHeight="1">
      <c r="A510" s="4" t="s">
        <v>1356</v>
      </c>
      <c r="B510" s="5" t="s">
        <v>1357</v>
      </c>
      <c r="C510" s="5" t="s">
        <v>35</v>
      </c>
      <c r="D510" s="5" t="s">
        <v>36</v>
      </c>
      <c r="E510" s="5" t="s">
        <v>24</v>
      </c>
      <c r="F510" s="9">
        <v>11</v>
      </c>
      <c r="G510" s="9">
        <v>120</v>
      </c>
      <c r="H510" s="5" t="s">
        <v>20</v>
      </c>
      <c r="I510" s="5" t="s">
        <v>1358</v>
      </c>
      <c r="J510" s="12" t="str">
        <f>HYPERLINK("https://www.boe.es/gazeta/dias/1805/02/05/pdfs/GMD-1805-11.pdf#page=8","Abrir facsímil")</f>
        <v>Abrir facsímil</v>
      </c>
      <c r="K510" s="15" t="s">
        <v>22</v>
      </c>
    </row>
    <row r="511" spans="1:11" ht="42" customHeight="1">
      <c r="A511" s="4" t="s">
        <v>1359</v>
      </c>
      <c r="B511" s="5" t="s">
        <v>1360</v>
      </c>
      <c r="C511" s="5" t="s">
        <v>52</v>
      </c>
      <c r="D511" s="5" t="s">
        <v>53</v>
      </c>
      <c r="E511" s="5" t="s">
        <v>54</v>
      </c>
      <c r="F511" s="9">
        <v>99</v>
      </c>
      <c r="G511" s="9" t="s">
        <v>55</v>
      </c>
      <c r="H511" s="5" t="s">
        <v>20</v>
      </c>
      <c r="I511" s="5" t="s">
        <v>1361</v>
      </c>
      <c r="J511" s="12" t="str">
        <f>HYPERLINK("https://www.boe.es/gazeta/dias/1805/12/10/pdfs/GMD-C-1805-99.pdf#page=4","Abrir facsímil")</f>
        <v>Abrir facsímil</v>
      </c>
      <c r="K511" s="15" t="s">
        <v>22</v>
      </c>
    </row>
    <row r="512" spans="1:11" ht="42" customHeight="1">
      <c r="A512" s="4" t="s">
        <v>1362</v>
      </c>
      <c r="B512" s="5" t="s">
        <v>1363</v>
      </c>
      <c r="C512" s="5" t="s">
        <v>35</v>
      </c>
      <c r="D512" s="5" t="s">
        <v>36</v>
      </c>
      <c r="E512" s="5" t="s">
        <v>495</v>
      </c>
      <c r="F512" s="9">
        <v>103</v>
      </c>
      <c r="G512" s="9">
        <v>1114</v>
      </c>
      <c r="H512" s="5" t="s">
        <v>20</v>
      </c>
      <c r="I512" s="5" t="s">
        <v>1364</v>
      </c>
      <c r="J512" s="12" t="str">
        <f>HYPERLINK("https://www.boe.es/gazeta/dias/1805/12/24/pdfs/GMD-1805-103.pdf#page=6","Abrir facsímil")</f>
        <v>Abrir facsímil</v>
      </c>
      <c r="K512" s="15" t="s">
        <v>22</v>
      </c>
    </row>
    <row r="513" spans="1:11" ht="42" customHeight="1">
      <c r="A513" s="4" t="s">
        <v>1365</v>
      </c>
      <c r="B513" s="5" t="s">
        <v>1366</v>
      </c>
      <c r="C513" s="5" t="s">
        <v>35</v>
      </c>
      <c r="D513" s="5" t="s">
        <v>36</v>
      </c>
      <c r="E513" s="5" t="s">
        <v>200</v>
      </c>
      <c r="F513" s="9">
        <v>91</v>
      </c>
      <c r="G513" s="9">
        <v>977</v>
      </c>
      <c r="H513" s="5" t="s">
        <v>20</v>
      </c>
      <c r="I513" s="5" t="s">
        <v>1367</v>
      </c>
      <c r="J513" s="12" t="str">
        <f>HYPERLINK("https://www.boe.es/gazeta/dias/1805/11/12/pdfs/GMD-1805-91.pdf#page=9","Abrir facsímil")</f>
        <v>Abrir facsímil</v>
      </c>
      <c r="K513" s="15" t="s">
        <v>22</v>
      </c>
    </row>
    <row r="514" spans="1:11" ht="42" customHeight="1">
      <c r="A514" s="4" t="s">
        <v>1368</v>
      </c>
      <c r="B514" s="5" t="s">
        <v>1369</v>
      </c>
      <c r="C514" s="5" t="s">
        <v>17</v>
      </c>
      <c r="D514" s="5" t="s">
        <v>18</v>
      </c>
      <c r="E514" s="5" t="s">
        <v>71</v>
      </c>
      <c r="F514" s="9">
        <v>33</v>
      </c>
      <c r="G514" s="9">
        <v>352</v>
      </c>
      <c r="H514" s="5" t="s">
        <v>20</v>
      </c>
      <c r="I514" s="5" t="s">
        <v>1370</v>
      </c>
      <c r="J514" s="12" t="str">
        <f>HYPERLINK("https://www.boe.es/gazeta/dias/1805/04/23/pdfs/GMD-1805-33.pdf#page=8","Abrir facsímil")</f>
        <v>Abrir facsímil</v>
      </c>
      <c r="K514" s="15" t="s">
        <v>22</v>
      </c>
    </row>
    <row r="515" spans="1:11" ht="42" customHeight="1">
      <c r="A515" s="4" t="s">
        <v>1371</v>
      </c>
      <c r="B515" s="5" t="s">
        <v>1372</v>
      </c>
      <c r="C515" s="5" t="s">
        <v>35</v>
      </c>
      <c r="D515" s="5" t="s">
        <v>36</v>
      </c>
      <c r="E515" s="5" t="s">
        <v>59</v>
      </c>
      <c r="F515" s="9">
        <v>21</v>
      </c>
      <c r="G515" s="9">
        <v>220</v>
      </c>
      <c r="H515" s="5" t="s">
        <v>20</v>
      </c>
      <c r="I515" s="5" t="s">
        <v>1373</v>
      </c>
      <c r="J515" s="12" t="str">
        <f>HYPERLINK("https://www.boe.es/gazeta/dias/1805/03/12/pdfs/GMD-1805-21.pdf#page=8","Abrir facsímil")</f>
        <v>Abrir facsímil</v>
      </c>
      <c r="K515" s="15" t="s">
        <v>22</v>
      </c>
    </row>
    <row r="516" spans="1:11" ht="42" customHeight="1">
      <c r="A516" s="4" t="s">
        <v>1374</v>
      </c>
      <c r="B516" s="5" t="s">
        <v>1375</v>
      </c>
      <c r="C516" s="5" t="s">
        <v>17</v>
      </c>
      <c r="D516" s="5" t="s">
        <v>18</v>
      </c>
      <c r="E516" s="5" t="s">
        <v>286</v>
      </c>
      <c r="F516" s="9">
        <v>48</v>
      </c>
      <c r="G516" s="9">
        <v>520</v>
      </c>
      <c r="H516" s="5" t="s">
        <v>20</v>
      </c>
      <c r="I516" s="5" t="s">
        <v>1376</v>
      </c>
      <c r="J516" s="12" t="str">
        <f>HYPERLINK("https://www.boe.es/gazeta/dias/1805/06/14/pdfs/GMD-1805-48.pdf#page=8","Abrir facsímil")</f>
        <v>Abrir facsímil</v>
      </c>
      <c r="K516" s="15" t="s">
        <v>22</v>
      </c>
    </row>
    <row r="517" spans="1:11" ht="42" customHeight="1">
      <c r="A517" s="4" t="s">
        <v>1377</v>
      </c>
      <c r="B517" s="5" t="s">
        <v>1377</v>
      </c>
      <c r="C517" s="5" t="s">
        <v>17</v>
      </c>
      <c r="D517" s="5" t="s">
        <v>18</v>
      </c>
      <c r="E517" s="5" t="s">
        <v>393</v>
      </c>
      <c r="F517" s="9">
        <v>44</v>
      </c>
      <c r="G517" s="9">
        <v>468</v>
      </c>
      <c r="H517" s="5" t="s">
        <v>20</v>
      </c>
      <c r="I517" s="5" t="s">
        <v>1378</v>
      </c>
      <c r="J517" s="12" t="str">
        <f>HYPERLINK("https://www.boe.es/gazeta/dias/1805/05/31/pdfs/GMD-1805-44.pdf#page=4","Abrir facsímil")</f>
        <v>Abrir facsímil</v>
      </c>
      <c r="K517" s="15" t="s">
        <v>22</v>
      </c>
    </row>
    <row r="518" spans="1:11" ht="42" customHeight="1">
      <c r="A518" s="4" t="s">
        <v>1379</v>
      </c>
      <c r="B518" s="5" t="s">
        <v>1380</v>
      </c>
      <c r="C518" s="5" t="s">
        <v>35</v>
      </c>
      <c r="D518" s="5" t="s">
        <v>36</v>
      </c>
      <c r="E518" s="5" t="s">
        <v>37</v>
      </c>
      <c r="F518" s="9">
        <v>54</v>
      </c>
      <c r="G518" s="9">
        <v>579</v>
      </c>
      <c r="H518" s="5" t="s">
        <v>20</v>
      </c>
      <c r="I518" s="5" t="s">
        <v>1381</v>
      </c>
      <c r="J518" s="12" t="str">
        <f>HYPERLINK("https://www.boe.es/gazeta/dias/1805/07/05/pdfs/GMD-1805-54.pdf#page=7","Abrir facsímil")</f>
        <v>Abrir facsímil</v>
      </c>
      <c r="K518" s="15" t="s">
        <v>22</v>
      </c>
    </row>
    <row r="519" spans="1:11" ht="42" customHeight="1">
      <c r="A519" s="4" t="s">
        <v>1382</v>
      </c>
      <c r="B519" s="5" t="s">
        <v>1383</v>
      </c>
      <c r="C519" s="5" t="s">
        <v>80</v>
      </c>
      <c r="D519" s="5" t="s">
        <v>81</v>
      </c>
      <c r="E519" s="5" t="s">
        <v>170</v>
      </c>
      <c r="F519" s="9">
        <v>9</v>
      </c>
      <c r="G519" s="9">
        <v>95</v>
      </c>
      <c r="H519" s="5" t="s">
        <v>20</v>
      </c>
      <c r="I519" s="5" t="s">
        <v>1384</v>
      </c>
      <c r="J519" s="12" t="str">
        <f>HYPERLINK("https://www.boe.es/gazeta/dias/1805/01/29/pdfs/GMD-1805-9.pdf#page=3","Abrir facsímil")</f>
        <v>Abrir facsímil</v>
      </c>
      <c r="K519" s="15" t="s">
        <v>22</v>
      </c>
    </row>
    <row r="520" spans="1:11" ht="42" customHeight="1">
      <c r="A520" s="4" t="s">
        <v>1385</v>
      </c>
      <c r="B520" s="5" t="s">
        <v>1386</v>
      </c>
      <c r="C520" s="5" t="s">
        <v>35</v>
      </c>
      <c r="D520" s="5" t="s">
        <v>36</v>
      </c>
      <c r="E520" s="5" t="s">
        <v>31</v>
      </c>
      <c r="F520" s="9">
        <v>65</v>
      </c>
      <c r="G520" s="9">
        <v>698</v>
      </c>
      <c r="H520" s="5" t="s">
        <v>20</v>
      </c>
      <c r="I520" s="5" t="s">
        <v>1387</v>
      </c>
      <c r="J520" s="12" t="str">
        <f>HYPERLINK("https://www.boe.es/gazeta/dias/1805/08/13/pdfs/GMD-1805-65.pdf#page=10","Abrir facsímil")</f>
        <v>Abrir facsímil</v>
      </c>
      <c r="K520" s="15" t="s">
        <v>22</v>
      </c>
    </row>
    <row r="521" spans="1:11" ht="42" customHeight="1">
      <c r="A521" s="4" t="s">
        <v>1388</v>
      </c>
      <c r="B521" s="5" t="s">
        <v>1389</v>
      </c>
      <c r="C521" s="5" t="s">
        <v>80</v>
      </c>
      <c r="D521" s="5" t="s">
        <v>81</v>
      </c>
      <c r="E521" s="5" t="s">
        <v>904</v>
      </c>
      <c r="F521" s="9">
        <v>47</v>
      </c>
      <c r="G521" s="9">
        <v>508</v>
      </c>
      <c r="H521" s="5" t="s">
        <v>20</v>
      </c>
      <c r="I521" s="5" t="s">
        <v>1390</v>
      </c>
      <c r="J521" s="12" t="str">
        <f>HYPERLINK("https://www.boe.es/gazeta/dias/1805/06/11/pdfs/GMD-1805-47.pdf#page=8","Abrir facsímil")</f>
        <v>Abrir facsímil</v>
      </c>
      <c r="K521" s="15" t="s">
        <v>22</v>
      </c>
    </row>
    <row r="522" spans="1:11" ht="42" customHeight="1">
      <c r="A522" s="4" t="s">
        <v>1388</v>
      </c>
      <c r="B522" s="5" t="s">
        <v>1389</v>
      </c>
      <c r="C522" s="5" t="s">
        <v>80</v>
      </c>
      <c r="D522" s="5" t="s">
        <v>81</v>
      </c>
      <c r="E522" s="5" t="s">
        <v>1022</v>
      </c>
      <c r="F522" s="9">
        <v>52</v>
      </c>
      <c r="G522" s="9">
        <v>560</v>
      </c>
      <c r="H522" s="5" t="s">
        <v>20</v>
      </c>
      <c r="I522" s="5" t="s">
        <v>1391</v>
      </c>
      <c r="J522" s="12" t="str">
        <f>HYPERLINK("https://www.boe.es/gazeta/dias/1805/06/28/pdfs/GMD-1805-52.pdf#page=8","Abrir facsímil")</f>
        <v>Abrir facsímil</v>
      </c>
      <c r="K522" s="15" t="s">
        <v>22</v>
      </c>
    </row>
    <row r="523" spans="1:11" ht="42" customHeight="1">
      <c r="A523" s="4" t="s">
        <v>1388</v>
      </c>
      <c r="B523" s="5" t="s">
        <v>1389</v>
      </c>
      <c r="C523" s="5" t="s">
        <v>17</v>
      </c>
      <c r="D523" s="5" t="s">
        <v>18</v>
      </c>
      <c r="E523" s="5" t="s">
        <v>19</v>
      </c>
      <c r="F523" s="9">
        <v>86</v>
      </c>
      <c r="G523" s="9">
        <v>913</v>
      </c>
      <c r="H523" s="5" t="s">
        <v>20</v>
      </c>
      <c r="I523" s="5" t="s">
        <v>1392</v>
      </c>
      <c r="J523" s="12" t="str">
        <f>HYPERLINK("https://www.boe.es/gazeta/dias/1805/10/25/pdfs/GMD-1805-86.pdf#page=9","Abrir facsímil")</f>
        <v>Abrir facsímil</v>
      </c>
      <c r="K523" s="15" t="s">
        <v>22</v>
      </c>
    </row>
    <row r="524" spans="1:11" ht="42" customHeight="1">
      <c r="A524" s="4" t="s">
        <v>1393</v>
      </c>
      <c r="B524" s="5" t="s">
        <v>1394</v>
      </c>
      <c r="C524" s="5" t="s">
        <v>35</v>
      </c>
      <c r="D524" s="5" t="s">
        <v>36</v>
      </c>
      <c r="E524" s="5" t="s">
        <v>669</v>
      </c>
      <c r="F524" s="9">
        <v>84</v>
      </c>
      <c r="G524" s="9">
        <v>890</v>
      </c>
      <c r="H524" s="5" t="s">
        <v>20</v>
      </c>
      <c r="I524" s="5" t="s">
        <v>1395</v>
      </c>
      <c r="J524" s="12" t="str">
        <f>HYPERLINK("https://www.boe.es/gazeta/dias/1805/10/18/pdfs/GMD-1805-84.pdf#page=6","Abrir facsímil")</f>
        <v>Abrir facsímil</v>
      </c>
      <c r="K524" s="15" t="s">
        <v>22</v>
      </c>
    </row>
    <row r="525" spans="1:11" ht="42" customHeight="1">
      <c r="A525" s="4" t="s">
        <v>1396</v>
      </c>
      <c r="B525" s="5" t="s">
        <v>1397</v>
      </c>
      <c r="C525" s="5" t="s">
        <v>35</v>
      </c>
      <c r="D525" s="5" t="s">
        <v>36</v>
      </c>
      <c r="E525" s="5" t="s">
        <v>196</v>
      </c>
      <c r="F525" s="9">
        <v>67</v>
      </c>
      <c r="G525" s="9">
        <v>717</v>
      </c>
      <c r="H525" s="5" t="s">
        <v>20</v>
      </c>
      <c r="I525" s="5" t="s">
        <v>1398</v>
      </c>
      <c r="J525" s="12" t="str">
        <f>HYPERLINK("https://www.boe.es/gazeta/dias/1805/08/20/pdfs/GMD-1805-67.pdf#page=5","Abrir facsímil")</f>
        <v>Abrir facsímil</v>
      </c>
      <c r="K525" s="15" t="s">
        <v>22</v>
      </c>
    </row>
    <row r="526" spans="1:11" ht="42" customHeight="1">
      <c r="A526" s="4" t="s">
        <v>1399</v>
      </c>
      <c r="B526" s="5" t="s">
        <v>1400</v>
      </c>
      <c r="C526" s="5" t="s">
        <v>35</v>
      </c>
      <c r="D526" s="5" t="s">
        <v>36</v>
      </c>
      <c r="E526" s="5" t="s">
        <v>864</v>
      </c>
      <c r="F526" s="9">
        <v>88</v>
      </c>
      <c r="G526" s="9">
        <v>932</v>
      </c>
      <c r="H526" s="5" t="s">
        <v>20</v>
      </c>
      <c r="I526" s="5" t="s">
        <v>1401</v>
      </c>
      <c r="J526" s="12" t="str">
        <f>HYPERLINK("https://www.boe.es/gazeta/dias/1805/11/01/pdfs/GMD-1805-88.pdf#page=4","Abrir facsímil")</f>
        <v>Abrir facsímil</v>
      </c>
      <c r="K526" s="15" t="s">
        <v>22</v>
      </c>
    </row>
    <row r="527" spans="1:11" ht="42" customHeight="1">
      <c r="A527" s="4" t="s">
        <v>1402</v>
      </c>
      <c r="B527" s="5" t="s">
        <v>1402</v>
      </c>
      <c r="C527" s="5" t="s">
        <v>17</v>
      </c>
      <c r="D527" s="5" t="s">
        <v>18</v>
      </c>
      <c r="E527" s="5" t="s">
        <v>76</v>
      </c>
      <c r="F527" s="9">
        <v>66</v>
      </c>
      <c r="G527" s="9">
        <v>707</v>
      </c>
      <c r="H527" s="5" t="s">
        <v>20</v>
      </c>
      <c r="I527" s="5" t="s">
        <v>1403</v>
      </c>
      <c r="J527" s="12" t="str">
        <f>HYPERLINK("https://www.boe.es/gazeta/dias/1805/08/16/pdfs/GMD-1805-66.pdf#page=7","Abrir facsímil")</f>
        <v>Abrir facsímil</v>
      </c>
      <c r="K527" s="15" t="s">
        <v>22</v>
      </c>
    </row>
    <row r="528" spans="1:11" ht="42" customHeight="1">
      <c r="A528" s="4" t="s">
        <v>1404</v>
      </c>
      <c r="B528" s="5" t="s">
        <v>1404</v>
      </c>
      <c r="C528" s="5" t="s">
        <v>35</v>
      </c>
      <c r="D528" s="5" t="s">
        <v>36</v>
      </c>
      <c r="E528" s="5" t="s">
        <v>711</v>
      </c>
      <c r="F528" s="9">
        <v>63</v>
      </c>
      <c r="G528" s="9">
        <v>673</v>
      </c>
      <c r="H528" s="5" t="s">
        <v>20</v>
      </c>
      <c r="I528" s="5" t="s">
        <v>1405</v>
      </c>
      <c r="J528" s="12" t="str">
        <f>HYPERLINK("https://www.boe.es/gazeta/dias/1805/08/06/pdfs/GMD-1805-63.pdf#page=9","Abrir facsímil")</f>
        <v>Abrir facsímil</v>
      </c>
      <c r="K528" s="15" t="s">
        <v>22</v>
      </c>
    </row>
    <row r="529" spans="1:11" ht="42" customHeight="1">
      <c r="A529" s="4" t="s">
        <v>1406</v>
      </c>
      <c r="B529" s="5" t="s">
        <v>1407</v>
      </c>
      <c r="C529" s="5" t="s">
        <v>17</v>
      </c>
      <c r="D529" s="5" t="s">
        <v>18</v>
      </c>
      <c r="E529" s="5" t="s">
        <v>303</v>
      </c>
      <c r="F529" s="9">
        <v>57</v>
      </c>
      <c r="G529" s="9">
        <v>610</v>
      </c>
      <c r="H529" s="5" t="s">
        <v>20</v>
      </c>
      <c r="I529" s="5" t="s">
        <v>1408</v>
      </c>
      <c r="J529" s="12" t="str">
        <f>HYPERLINK("https://www.boe.es/gazeta/dias/1805/07/16/pdfs/GMD-1805-57.pdf#page=6","Abrir facsímil")</f>
        <v>Abrir facsímil</v>
      </c>
      <c r="K529" s="15" t="s">
        <v>22</v>
      </c>
    </row>
    <row r="530" spans="1:11" ht="42" customHeight="1">
      <c r="A530" s="4" t="s">
        <v>1409</v>
      </c>
      <c r="B530" s="5" t="s">
        <v>1410</v>
      </c>
      <c r="C530" s="5" t="s">
        <v>35</v>
      </c>
      <c r="D530" s="5" t="s">
        <v>36</v>
      </c>
      <c r="E530" s="5" t="s">
        <v>95</v>
      </c>
      <c r="F530" s="9">
        <v>13</v>
      </c>
      <c r="G530" s="9">
        <v>139</v>
      </c>
      <c r="H530" s="5" t="s">
        <v>20</v>
      </c>
      <c r="I530" s="5" t="s">
        <v>1411</v>
      </c>
      <c r="J530" s="12" t="str">
        <f>HYPERLINK("https://www.boe.es/gazeta/dias/1805/02/12/pdfs/GMD-1805-13.pdf#page=7","Abrir facsímil")</f>
        <v>Abrir facsímil</v>
      </c>
      <c r="K530" s="15" t="s">
        <v>22</v>
      </c>
    </row>
    <row r="531" spans="1:11" ht="42" customHeight="1">
      <c r="A531" s="4" t="s">
        <v>1412</v>
      </c>
      <c r="B531" s="5" t="s">
        <v>1412</v>
      </c>
      <c r="C531" s="5" t="s">
        <v>17</v>
      </c>
      <c r="D531" s="5" t="s">
        <v>18</v>
      </c>
      <c r="E531" s="5" t="s">
        <v>31</v>
      </c>
      <c r="F531" s="9">
        <v>65</v>
      </c>
      <c r="G531" s="9">
        <v>695</v>
      </c>
      <c r="H531" s="5" t="s">
        <v>20</v>
      </c>
      <c r="I531" s="5" t="s">
        <v>1413</v>
      </c>
      <c r="J531" s="12" t="str">
        <f>HYPERLINK("https://www.boe.es/gazeta/dias/1805/08/13/pdfs/GMD-1805-65.pdf#page=7","Abrir facsímil")</f>
        <v>Abrir facsímil</v>
      </c>
      <c r="K531" s="15" t="s">
        <v>22</v>
      </c>
    </row>
    <row r="532" spans="1:11" ht="42" customHeight="1">
      <c r="A532" s="4" t="s">
        <v>1414</v>
      </c>
      <c r="B532" s="5" t="s">
        <v>1415</v>
      </c>
      <c r="C532" s="5" t="s">
        <v>17</v>
      </c>
      <c r="D532" s="5" t="s">
        <v>18</v>
      </c>
      <c r="E532" s="5" t="s">
        <v>506</v>
      </c>
      <c r="F532" s="9">
        <v>80</v>
      </c>
      <c r="G532" s="9">
        <v>849</v>
      </c>
      <c r="H532" s="5" t="s">
        <v>20</v>
      </c>
      <c r="I532" s="5" t="s">
        <v>1416</v>
      </c>
      <c r="J532" s="12" t="str">
        <f>HYPERLINK("https://www.boe.es/gazeta/dias/1805/10/04/pdfs/GMD-1805-80.pdf#page=9","Abrir facsímil")</f>
        <v>Abrir facsímil</v>
      </c>
      <c r="K532" s="15" t="s">
        <v>22</v>
      </c>
    </row>
    <row r="533" spans="1:11" ht="42" customHeight="1">
      <c r="A533" s="4" t="s">
        <v>1417</v>
      </c>
      <c r="B533" s="5" t="s">
        <v>1418</v>
      </c>
      <c r="C533" s="5" t="s">
        <v>85</v>
      </c>
      <c r="D533" s="5" t="s">
        <v>86</v>
      </c>
      <c r="E533" s="5" t="s">
        <v>440</v>
      </c>
      <c r="F533" s="9">
        <v>27</v>
      </c>
      <c r="G533" s="9">
        <v>288</v>
      </c>
      <c r="H533" s="5" t="s">
        <v>20</v>
      </c>
      <c r="I533" s="5" t="s">
        <v>1419</v>
      </c>
      <c r="J533" s="12" t="str">
        <f>HYPERLINK("https://www.boe.es/gazeta/dias/1805/04/02/pdfs/GMD-1805-27.pdf#page=8","Abrir facsímil")</f>
        <v>Abrir facsímil</v>
      </c>
      <c r="K533" s="15" t="s">
        <v>22</v>
      </c>
    </row>
    <row r="534" spans="1:11" ht="42" customHeight="1">
      <c r="A534" s="4" t="s">
        <v>1420</v>
      </c>
      <c r="B534" s="5" t="s">
        <v>1421</v>
      </c>
      <c r="C534" s="5" t="s">
        <v>35</v>
      </c>
      <c r="D534" s="5" t="s">
        <v>36</v>
      </c>
      <c r="E534" s="5" t="s">
        <v>117</v>
      </c>
      <c r="F534" s="9">
        <v>20</v>
      </c>
      <c r="G534" s="9">
        <v>208</v>
      </c>
      <c r="H534" s="5" t="s">
        <v>20</v>
      </c>
      <c r="I534" s="5" t="s">
        <v>1422</v>
      </c>
      <c r="J534" s="12" t="str">
        <f>HYPERLINK("https://www.boe.es/gazeta/dias/1805/03/08/pdfs/GMD-1805-20.pdf#page=8","Abrir facsímil")</f>
        <v>Abrir facsímil</v>
      </c>
      <c r="K534" s="15" t="s">
        <v>22</v>
      </c>
    </row>
    <row r="535" spans="1:11" ht="42" customHeight="1">
      <c r="A535" s="4" t="s">
        <v>1423</v>
      </c>
      <c r="B535" s="5" t="s">
        <v>1424</v>
      </c>
      <c r="C535" s="5" t="s">
        <v>80</v>
      </c>
      <c r="D535" s="5" t="s">
        <v>81</v>
      </c>
      <c r="E535" s="5" t="s">
        <v>363</v>
      </c>
      <c r="F535" s="9">
        <v>1</v>
      </c>
      <c r="G535" s="9">
        <v>5</v>
      </c>
      <c r="H535" s="5" t="s">
        <v>20</v>
      </c>
      <c r="I535" s="5" t="s">
        <v>1425</v>
      </c>
      <c r="J535" s="12" t="str">
        <f>HYPERLINK("https://www.boe.es/gazeta/dias/1805/01/01/pdfs/GMD-1805-1.pdf#page=5","Abrir facsímil")</f>
        <v>Abrir facsímil</v>
      </c>
      <c r="K535" s="15" t="s">
        <v>22</v>
      </c>
    </row>
    <row r="536" spans="1:11" ht="42" customHeight="1">
      <c r="A536" s="4" t="s">
        <v>1423</v>
      </c>
      <c r="B536" s="5" t="s">
        <v>1424</v>
      </c>
      <c r="C536" s="5" t="s">
        <v>85</v>
      </c>
      <c r="D536" s="5" t="s">
        <v>86</v>
      </c>
      <c r="E536" s="5" t="s">
        <v>40</v>
      </c>
      <c r="F536" s="9">
        <v>59</v>
      </c>
      <c r="G536" s="9">
        <v>626</v>
      </c>
      <c r="H536" s="5" t="s">
        <v>20</v>
      </c>
      <c r="I536" s="5" t="s">
        <v>1426</v>
      </c>
      <c r="J536" s="12" t="str">
        <f>HYPERLINK("https://www.boe.es/gazeta/dias/1805/07/23/pdfs/GMD-1805-59.pdf#page=2","Abrir facsímil")</f>
        <v>Abrir facsímil</v>
      </c>
      <c r="K536" s="15" t="s">
        <v>22</v>
      </c>
    </row>
    <row r="537" spans="1:11" ht="42" customHeight="1">
      <c r="A537" s="4" t="s">
        <v>1427</v>
      </c>
      <c r="B537" s="5" t="s">
        <v>1428</v>
      </c>
      <c r="C537" s="5" t="s">
        <v>52</v>
      </c>
      <c r="D537" s="5" t="s">
        <v>53</v>
      </c>
      <c r="E537" s="5" t="s">
        <v>144</v>
      </c>
      <c r="F537" s="9">
        <v>85</v>
      </c>
      <c r="G537" s="9" t="s">
        <v>1153</v>
      </c>
      <c r="H537" s="5" t="s">
        <v>20</v>
      </c>
      <c r="I537" s="5" t="s">
        <v>1429</v>
      </c>
      <c r="J537" s="12" t="str">
        <f>HYPERLINK("https://www.boe.es/gazeta/dias/1805/10/22/pdfs/GMD-C-1805-85.pdf#page=8","Abrir facsímil")</f>
        <v>Abrir facsímil</v>
      </c>
      <c r="K537" s="15" t="s">
        <v>22</v>
      </c>
    </row>
    <row r="538" spans="1:11" ht="42" customHeight="1">
      <c r="A538" s="4" t="s">
        <v>1430</v>
      </c>
      <c r="B538" s="5" t="s">
        <v>1431</v>
      </c>
      <c r="C538" s="5" t="s">
        <v>35</v>
      </c>
      <c r="D538" s="5" t="s">
        <v>36</v>
      </c>
      <c r="E538" s="5" t="s">
        <v>1432</v>
      </c>
      <c r="F538" s="9">
        <v>53</v>
      </c>
      <c r="G538" s="9">
        <v>571</v>
      </c>
      <c r="H538" s="5" t="s">
        <v>20</v>
      </c>
      <c r="I538" s="5" t="s">
        <v>1433</v>
      </c>
      <c r="J538" s="12" t="str">
        <f>HYPERLINK("https://www.boe.es/gazeta/dias/1805/07/02/pdfs/GMD-1805-53.pdf#page=7","Abrir facsímil")</f>
        <v>Abrir facsímil</v>
      </c>
      <c r="K538" s="15" t="s">
        <v>22</v>
      </c>
    </row>
    <row r="539" spans="1:11" ht="42" customHeight="1">
      <c r="A539" s="4" t="s">
        <v>1434</v>
      </c>
      <c r="B539" s="5" t="s">
        <v>1435</v>
      </c>
      <c r="C539" s="5" t="s">
        <v>35</v>
      </c>
      <c r="D539" s="5" t="s">
        <v>36</v>
      </c>
      <c r="E539" s="5" t="s">
        <v>163</v>
      </c>
      <c r="F539" s="9">
        <v>77</v>
      </c>
      <c r="G539" s="9">
        <v>817</v>
      </c>
      <c r="H539" s="5" t="s">
        <v>20</v>
      </c>
      <c r="I539" s="5" t="s">
        <v>1436</v>
      </c>
      <c r="J539" s="12" t="str">
        <f>HYPERLINK("https://www.boe.es/gazeta/dias/1805/09/24/pdfs/GMD-1805-77.pdf#page=9","Abrir facsímil")</f>
        <v>Abrir facsímil</v>
      </c>
      <c r="K539" s="15" t="s">
        <v>22</v>
      </c>
    </row>
    <row r="540" spans="1:11" ht="42" customHeight="1">
      <c r="A540" s="4" t="s">
        <v>1437</v>
      </c>
      <c r="B540" s="5" t="s">
        <v>1438</v>
      </c>
      <c r="C540" s="5" t="s">
        <v>80</v>
      </c>
      <c r="D540" s="5" t="s">
        <v>81</v>
      </c>
      <c r="E540" s="5" t="s">
        <v>789</v>
      </c>
      <c r="F540" s="9">
        <v>104</v>
      </c>
      <c r="G540" s="9">
        <v>1120</v>
      </c>
      <c r="H540" s="5" t="s">
        <v>20</v>
      </c>
      <c r="I540" s="5" t="s">
        <v>1439</v>
      </c>
      <c r="J540" s="12" t="str">
        <f>HYPERLINK("https://www.boe.es/gazeta/dias/1805/12/27/pdfs/GMD-1805-104.pdf#page=4","Abrir facsímil")</f>
        <v>Abrir facsímil</v>
      </c>
      <c r="K540" s="15" t="s">
        <v>22</v>
      </c>
    </row>
    <row r="541" spans="1:11" ht="42" customHeight="1">
      <c r="A541" s="4" t="s">
        <v>1440</v>
      </c>
      <c r="B541" s="5" t="s">
        <v>1441</v>
      </c>
      <c r="C541" s="5" t="s">
        <v>80</v>
      </c>
      <c r="D541" s="5" t="s">
        <v>81</v>
      </c>
      <c r="E541" s="5" t="s">
        <v>512</v>
      </c>
      <c r="F541" s="9">
        <v>100</v>
      </c>
      <c r="G541" s="9">
        <v>1079</v>
      </c>
      <c r="H541" s="5" t="s">
        <v>20</v>
      </c>
      <c r="I541" s="5" t="s">
        <v>1442</v>
      </c>
      <c r="J541" s="12" t="str">
        <f>HYPERLINK("https://www.boe.es/gazeta/dias/1805/12/13/pdfs/GMD-1805-100.pdf#page=7","Abrir facsímil")</f>
        <v>Abrir facsímil</v>
      </c>
      <c r="K541" s="15" t="s">
        <v>22</v>
      </c>
    </row>
    <row r="542" spans="1:11" ht="42" customHeight="1">
      <c r="A542" s="4" t="s">
        <v>1443</v>
      </c>
      <c r="B542" s="5" t="s">
        <v>1444</v>
      </c>
      <c r="C542" s="5" t="s">
        <v>85</v>
      </c>
      <c r="D542" s="5" t="s">
        <v>86</v>
      </c>
      <c r="E542" s="5" t="s">
        <v>1445</v>
      </c>
      <c r="F542" s="9">
        <v>6</v>
      </c>
      <c r="G542" s="9">
        <v>66</v>
      </c>
      <c r="H542" s="5" t="s">
        <v>20</v>
      </c>
      <c r="I542" s="5" t="s">
        <v>1446</v>
      </c>
      <c r="J542" s="12" t="str">
        <f>HYPERLINK("https://www.boe.es/gazeta/dias/1805/01/18/pdfs/GMD-1805-6.pdf#page=10","Abrir facsímil")</f>
        <v>Abrir facsímil</v>
      </c>
      <c r="K542" s="15" t="s">
        <v>22</v>
      </c>
    </row>
    <row r="543" spans="1:11" ht="42" customHeight="1">
      <c r="A543" s="4" t="s">
        <v>1447</v>
      </c>
      <c r="B543" s="5" t="s">
        <v>1448</v>
      </c>
      <c r="C543" s="5" t="s">
        <v>80</v>
      </c>
      <c r="D543" s="5" t="s">
        <v>81</v>
      </c>
      <c r="E543" s="5" t="s">
        <v>192</v>
      </c>
      <c r="F543" s="9">
        <v>105</v>
      </c>
      <c r="G543" s="9">
        <v>1132</v>
      </c>
      <c r="H543" s="5" t="s">
        <v>20</v>
      </c>
      <c r="I543" s="5" t="s">
        <v>1449</v>
      </c>
      <c r="J543" s="12" t="str">
        <f>HYPERLINK("https://www.boe.es/gazeta/dias/1805/12/31/pdfs/GMD-1805-105.pdf#page=4","Abrir facsímil")</f>
        <v>Abrir facsímil</v>
      </c>
      <c r="K543" s="15" t="s">
        <v>22</v>
      </c>
    </row>
    <row r="544" spans="1:11" ht="42" customHeight="1">
      <c r="A544" s="4" t="s">
        <v>1450</v>
      </c>
      <c r="B544" s="5" t="s">
        <v>1450</v>
      </c>
      <c r="C544" s="5" t="s">
        <v>184</v>
      </c>
      <c r="D544" s="5" t="s">
        <v>86</v>
      </c>
      <c r="E544" s="5" t="s">
        <v>163</v>
      </c>
      <c r="F544" s="9">
        <v>77</v>
      </c>
      <c r="G544" s="9">
        <v>818</v>
      </c>
      <c r="H544" s="5" t="s">
        <v>20</v>
      </c>
      <c r="I544" s="5" t="s">
        <v>1451</v>
      </c>
      <c r="J544" s="12" t="str">
        <f>HYPERLINK("https://www.boe.es/gazeta/dias/1805/09/24/pdfs/GMD-1805-77.pdf#page=10","Abrir facsímil")</f>
        <v>Abrir facsímil</v>
      </c>
      <c r="K544" s="15" t="s">
        <v>22</v>
      </c>
    </row>
    <row r="545" spans="1:11" ht="42" customHeight="1">
      <c r="A545" s="4" t="s">
        <v>1452</v>
      </c>
      <c r="B545" s="5" t="s">
        <v>1453</v>
      </c>
      <c r="C545" s="5" t="s">
        <v>80</v>
      </c>
      <c r="D545" s="5" t="s">
        <v>81</v>
      </c>
      <c r="E545" s="5" t="s">
        <v>387</v>
      </c>
      <c r="F545" s="9">
        <v>4</v>
      </c>
      <c r="G545" s="9">
        <v>36</v>
      </c>
      <c r="H545" s="5" t="s">
        <v>20</v>
      </c>
      <c r="I545" s="5" t="s">
        <v>1454</v>
      </c>
      <c r="J545" s="12" t="str">
        <f>HYPERLINK("https://www.boe.es/gazeta/dias/1805/01/11/pdfs/GMD-1805-4.pdf#page=4","Abrir facsímil")</f>
        <v>Abrir facsímil</v>
      </c>
      <c r="K545" s="15" t="s">
        <v>22</v>
      </c>
    </row>
    <row r="546" spans="1:11" ht="42" customHeight="1">
      <c r="A546" s="4" t="s">
        <v>1452</v>
      </c>
      <c r="B546" s="5" t="s">
        <v>1453</v>
      </c>
      <c r="C546" s="5" t="s">
        <v>184</v>
      </c>
      <c r="D546" s="5" t="s">
        <v>86</v>
      </c>
      <c r="E546" s="5" t="s">
        <v>649</v>
      </c>
      <c r="F546" s="9">
        <v>7</v>
      </c>
      <c r="G546" s="9">
        <v>70</v>
      </c>
      <c r="H546" s="5" t="s">
        <v>20</v>
      </c>
      <c r="I546" s="5" t="s">
        <v>1455</v>
      </c>
      <c r="J546" s="12" t="str">
        <f>HYPERLINK("https://www.boe.es/gazeta/dias/1805/01/22/pdfs/GMD-1805-7.pdf#page=2","Abrir facsímil")</f>
        <v>Abrir facsímil</v>
      </c>
      <c r="K546" s="15" t="s">
        <v>22</v>
      </c>
    </row>
    <row r="547" spans="1:11" ht="42" customHeight="1">
      <c r="A547" s="4" t="s">
        <v>1452</v>
      </c>
      <c r="B547" s="5" t="s">
        <v>1453</v>
      </c>
      <c r="C547" s="5" t="s">
        <v>80</v>
      </c>
      <c r="D547" s="5" t="s">
        <v>81</v>
      </c>
      <c r="E547" s="5" t="s">
        <v>296</v>
      </c>
      <c r="F547" s="9">
        <v>26</v>
      </c>
      <c r="G547" s="9">
        <v>272</v>
      </c>
      <c r="H547" s="5" t="s">
        <v>20</v>
      </c>
      <c r="I547" s="5" t="s">
        <v>1456</v>
      </c>
      <c r="J547" s="12" t="str">
        <f>HYPERLINK("https://www.boe.es/gazeta/dias/1805/03/29/pdfs/GMD-1805-26.pdf#page=4","Abrir facsímil")</f>
        <v>Abrir facsímil</v>
      </c>
      <c r="K547" s="15" t="s">
        <v>22</v>
      </c>
    </row>
    <row r="548" spans="1:11" ht="42" customHeight="1">
      <c r="A548" s="4" t="s">
        <v>1457</v>
      </c>
      <c r="B548" s="5" t="s">
        <v>1457</v>
      </c>
      <c r="C548" s="5" t="s">
        <v>80</v>
      </c>
      <c r="D548" s="5" t="s">
        <v>81</v>
      </c>
      <c r="E548" s="5" t="s">
        <v>1221</v>
      </c>
      <c r="F548" s="9">
        <v>41</v>
      </c>
      <c r="G548" s="9">
        <v>438</v>
      </c>
      <c r="H548" s="5" t="s">
        <v>20</v>
      </c>
      <c r="I548" s="5" t="s">
        <v>1458</v>
      </c>
      <c r="J548" s="12" t="str">
        <f>HYPERLINK("https://www.boe.es/gazeta/dias/1805/05/21/pdfs/GMD-1805-41.pdf#page=6","Abrir facsímil")</f>
        <v>Abrir facsímil</v>
      </c>
      <c r="K548" s="15" t="s">
        <v>22</v>
      </c>
    </row>
    <row r="549" spans="1:11" ht="42" customHeight="1">
      <c r="A549" s="4" t="s">
        <v>1459</v>
      </c>
      <c r="B549" s="5" t="s">
        <v>1460</v>
      </c>
      <c r="C549" s="5" t="s">
        <v>80</v>
      </c>
      <c r="D549" s="5" t="s">
        <v>81</v>
      </c>
      <c r="E549" s="5" t="s">
        <v>48</v>
      </c>
      <c r="F549" s="9">
        <v>35</v>
      </c>
      <c r="G549" s="9">
        <v>370</v>
      </c>
      <c r="H549" s="5" t="s">
        <v>20</v>
      </c>
      <c r="I549" s="5" t="s">
        <v>1461</v>
      </c>
      <c r="J549" s="12" t="str">
        <f>HYPERLINK("https://www.boe.es/gazeta/dias/1805/04/30/pdfs/GMD-1805-35.pdf#page=2","Abrir facsímil")</f>
        <v>Abrir facsímil</v>
      </c>
      <c r="K549" s="15" t="s">
        <v>22</v>
      </c>
    </row>
    <row r="550" spans="1:11" ht="42" customHeight="1">
      <c r="A550" s="4" t="s">
        <v>1462</v>
      </c>
      <c r="B550" s="5" t="s">
        <v>1463</v>
      </c>
      <c r="C550" s="5" t="s">
        <v>35</v>
      </c>
      <c r="D550" s="5" t="s">
        <v>36</v>
      </c>
      <c r="E550" s="5" t="s">
        <v>163</v>
      </c>
      <c r="F550" s="9">
        <v>77</v>
      </c>
      <c r="G550" s="9">
        <v>817</v>
      </c>
      <c r="H550" s="5" t="s">
        <v>20</v>
      </c>
      <c r="I550" s="5" t="s">
        <v>1464</v>
      </c>
      <c r="J550" s="12" t="str">
        <f>HYPERLINK("https://www.boe.es/gazeta/dias/1805/09/24/pdfs/GMD-1805-77.pdf#page=9","Abrir facsímil")</f>
        <v>Abrir facsímil</v>
      </c>
      <c r="K550" s="15" t="s">
        <v>22</v>
      </c>
    </row>
    <row r="551" spans="1:11" ht="42" customHeight="1">
      <c r="A551" s="4" t="s">
        <v>1465</v>
      </c>
      <c r="B551" s="5" t="s">
        <v>1465</v>
      </c>
      <c r="C551" s="5" t="s">
        <v>35</v>
      </c>
      <c r="D551" s="5" t="s">
        <v>36</v>
      </c>
      <c r="E551" s="5" t="s">
        <v>1432</v>
      </c>
      <c r="F551" s="9">
        <v>53</v>
      </c>
      <c r="G551" s="9">
        <v>569</v>
      </c>
      <c r="H551" s="5" t="s">
        <v>20</v>
      </c>
      <c r="I551" s="5" t="s">
        <v>1466</v>
      </c>
      <c r="J551" s="12" t="str">
        <f>HYPERLINK("https://www.boe.es/gazeta/dias/1805/07/02/pdfs/GMD-1805-53.pdf#page=5","Abrir facsímil")</f>
        <v>Abrir facsímil</v>
      </c>
      <c r="K551" s="15" t="s">
        <v>22</v>
      </c>
    </row>
    <row r="552" spans="1:11" ht="42" customHeight="1">
      <c r="A552" s="4" t="s">
        <v>1467</v>
      </c>
      <c r="B552" s="5" t="s">
        <v>1467</v>
      </c>
      <c r="C552" s="5" t="s">
        <v>35</v>
      </c>
      <c r="D552" s="5" t="s">
        <v>36</v>
      </c>
      <c r="E552" s="5" t="s">
        <v>132</v>
      </c>
      <c r="F552" s="9">
        <v>2</v>
      </c>
      <c r="G552" s="9">
        <v>21</v>
      </c>
      <c r="H552" s="5" t="s">
        <v>20</v>
      </c>
      <c r="I552" s="5" t="s">
        <v>1468</v>
      </c>
      <c r="J552" s="12" t="str">
        <f>HYPERLINK("https://www.boe.es/gazeta/dias/1805/01/04/pdfs/GMD-1805-2.pdf#page=9","Abrir facsímil")</f>
        <v>Abrir facsímil</v>
      </c>
      <c r="K552" s="15" t="s">
        <v>22</v>
      </c>
    </row>
    <row r="553" spans="1:11" ht="42" customHeight="1">
      <c r="A553" s="4" t="s">
        <v>1469</v>
      </c>
      <c r="B553" s="5" t="s">
        <v>1470</v>
      </c>
      <c r="C553" s="5" t="s">
        <v>85</v>
      </c>
      <c r="D553" s="5" t="s">
        <v>86</v>
      </c>
      <c r="E553" s="5" t="s">
        <v>1471</v>
      </c>
      <c r="F553" s="9">
        <v>34</v>
      </c>
      <c r="G553" s="9">
        <v>362</v>
      </c>
      <c r="H553" s="5" t="s">
        <v>20</v>
      </c>
      <c r="I553" s="5" t="s">
        <v>1472</v>
      </c>
      <c r="J553" s="12" t="str">
        <f>HYPERLINK("https://www.boe.es/gazeta/dias/1805/04/26/pdfs/GMD-1805-34.pdf#page=6","Abrir facsímil")</f>
        <v>Abrir facsímil</v>
      </c>
      <c r="K553" s="15" t="s">
        <v>22</v>
      </c>
    </row>
    <row r="554" spans="1:11" ht="42" customHeight="1">
      <c r="A554" s="4" t="s">
        <v>1473</v>
      </c>
      <c r="B554" s="5" t="s">
        <v>1474</v>
      </c>
      <c r="C554" s="5" t="s">
        <v>17</v>
      </c>
      <c r="D554" s="5" t="s">
        <v>18</v>
      </c>
      <c r="E554" s="5" t="s">
        <v>63</v>
      </c>
      <c r="F554" s="9">
        <v>101</v>
      </c>
      <c r="G554" s="9">
        <v>1091</v>
      </c>
      <c r="H554" s="5" t="s">
        <v>20</v>
      </c>
      <c r="I554" s="5" t="s">
        <v>1475</v>
      </c>
      <c r="J554" s="12" t="str">
        <f>HYPERLINK("https://www.boe.es/gazeta/dias/1805/12/17/pdfs/GMD-1805-101.pdf#page=7","Abrir facsímil")</f>
        <v>Abrir facsímil</v>
      </c>
      <c r="K554" s="15" t="s">
        <v>22</v>
      </c>
    </row>
    <row r="555" spans="1:11" ht="42" customHeight="1">
      <c r="A555" s="4" t="s">
        <v>1476</v>
      </c>
      <c r="B555" s="5" t="s">
        <v>1477</v>
      </c>
      <c r="C555" s="5" t="s">
        <v>17</v>
      </c>
      <c r="D555" s="5" t="s">
        <v>18</v>
      </c>
      <c r="E555" s="5" t="s">
        <v>200</v>
      </c>
      <c r="F555" s="9">
        <v>91</v>
      </c>
      <c r="G555" s="9">
        <v>977</v>
      </c>
      <c r="H555" s="5" t="s">
        <v>20</v>
      </c>
      <c r="I555" s="5" t="s">
        <v>1478</v>
      </c>
      <c r="J555" s="12" t="str">
        <f>HYPERLINK("https://www.boe.es/gazeta/dias/1805/11/12/pdfs/GMD-1805-91.pdf#page=9","Abrir facsímil")</f>
        <v>Abrir facsímil</v>
      </c>
      <c r="K555" s="15" t="s">
        <v>22</v>
      </c>
    </row>
    <row r="556" spans="1:11" ht="42" customHeight="1">
      <c r="A556" s="4" t="s">
        <v>1479</v>
      </c>
      <c r="B556" s="5" t="s">
        <v>1480</v>
      </c>
      <c r="C556" s="5" t="s">
        <v>17</v>
      </c>
      <c r="D556" s="5" t="s">
        <v>18</v>
      </c>
      <c r="E556" s="5" t="s">
        <v>200</v>
      </c>
      <c r="F556" s="9">
        <v>91</v>
      </c>
      <c r="G556" s="9">
        <v>977</v>
      </c>
      <c r="H556" s="5" t="s">
        <v>20</v>
      </c>
      <c r="I556" s="5" t="s">
        <v>1481</v>
      </c>
      <c r="J556" s="12" t="str">
        <f>HYPERLINK("https://www.boe.es/gazeta/dias/1805/11/12/pdfs/GMD-1805-91.pdf#page=9","Abrir facsímil")</f>
        <v>Abrir facsímil</v>
      </c>
      <c r="K556" s="15" t="s">
        <v>22</v>
      </c>
    </row>
    <row r="557" spans="1:11" ht="42" customHeight="1">
      <c r="A557" s="4" t="s">
        <v>1482</v>
      </c>
      <c r="B557" s="5" t="s">
        <v>1482</v>
      </c>
      <c r="C557" s="5" t="s">
        <v>29</v>
      </c>
      <c r="D557" s="5" t="s">
        <v>30</v>
      </c>
      <c r="E557" s="5" t="s">
        <v>1471</v>
      </c>
      <c r="F557" s="9">
        <v>34</v>
      </c>
      <c r="G557" s="9">
        <v>364</v>
      </c>
      <c r="H557" s="5" t="s">
        <v>20</v>
      </c>
      <c r="I557" s="5" t="s">
        <v>1483</v>
      </c>
      <c r="J557" s="12" t="str">
        <f>HYPERLINK("https://www.boe.es/gazeta/dias/1805/04/26/pdfs/GMD-1805-34.pdf#page=8","Abrir facsímil")</f>
        <v>Abrir facsímil</v>
      </c>
      <c r="K557" s="15" t="s">
        <v>22</v>
      </c>
    </row>
    <row r="558" spans="1:11" ht="42" customHeight="1">
      <c r="A558" s="4" t="s">
        <v>1484</v>
      </c>
      <c r="B558" s="5" t="s">
        <v>1484</v>
      </c>
      <c r="C558" s="5" t="s">
        <v>80</v>
      </c>
      <c r="D558" s="5" t="s">
        <v>81</v>
      </c>
      <c r="E558" s="5" t="s">
        <v>27</v>
      </c>
      <c r="F558" s="9">
        <v>37</v>
      </c>
      <c r="G558" s="9">
        <v>398</v>
      </c>
      <c r="H558" s="5" t="s">
        <v>20</v>
      </c>
      <c r="I558" s="5" t="s">
        <v>1485</v>
      </c>
      <c r="J558" s="12" t="str">
        <f>HYPERLINK("https://www.boe.es/gazeta/dias/1805/05/07/pdfs/GMD-1805-37.pdf#page=6","Abrir facsímil")</f>
        <v>Abrir facsímil</v>
      </c>
      <c r="K558" s="15" t="s">
        <v>22</v>
      </c>
    </row>
    <row r="559" spans="1:11" ht="42" customHeight="1">
      <c r="A559" s="4" t="s">
        <v>1486</v>
      </c>
      <c r="B559" s="5" t="s">
        <v>1487</v>
      </c>
      <c r="C559" s="5" t="s">
        <v>184</v>
      </c>
      <c r="D559" s="5" t="s">
        <v>86</v>
      </c>
      <c r="E559" s="5" t="s">
        <v>117</v>
      </c>
      <c r="F559" s="9">
        <v>20</v>
      </c>
      <c r="G559" s="9">
        <v>209</v>
      </c>
      <c r="H559" s="5" t="s">
        <v>20</v>
      </c>
      <c r="I559" s="5" t="s">
        <v>1488</v>
      </c>
      <c r="J559" s="12" t="str">
        <f>HYPERLINK("https://www.boe.es/gazeta/dias/1805/03/08/pdfs/GMD-1805-20.pdf#page=9","Abrir facsímil")</f>
        <v>Abrir facsímil</v>
      </c>
      <c r="K559" s="15" t="s">
        <v>22</v>
      </c>
    </row>
    <row r="560" spans="1:11" ht="42" customHeight="1">
      <c r="A560" s="4" t="s">
        <v>1489</v>
      </c>
      <c r="B560" s="5" t="s">
        <v>1490</v>
      </c>
      <c r="C560" s="5" t="s">
        <v>85</v>
      </c>
      <c r="D560" s="5" t="s">
        <v>86</v>
      </c>
      <c r="E560" s="5" t="s">
        <v>426</v>
      </c>
      <c r="F560" s="9">
        <v>75</v>
      </c>
      <c r="G560" s="9">
        <v>798</v>
      </c>
      <c r="H560" s="5" t="s">
        <v>20</v>
      </c>
      <c r="I560" s="5" t="s">
        <v>1491</v>
      </c>
      <c r="J560" s="12" t="str">
        <f>HYPERLINK("https://www.boe.es/gazeta/dias/1805/09/17/pdfs/GMD-1805-75.pdf#page=10","Abrir facsímil")</f>
        <v>Abrir facsímil</v>
      </c>
      <c r="K560" s="15" t="s">
        <v>22</v>
      </c>
    </row>
    <row r="561" spans="1:11" ht="42" customHeight="1">
      <c r="A561" s="4" t="s">
        <v>1492</v>
      </c>
      <c r="B561" s="5" t="s">
        <v>1493</v>
      </c>
      <c r="C561" s="5" t="s">
        <v>29</v>
      </c>
      <c r="D561" s="5" t="s">
        <v>30</v>
      </c>
      <c r="E561" s="5" t="s">
        <v>1494</v>
      </c>
      <c r="F561" s="9">
        <v>31</v>
      </c>
      <c r="G561" s="9">
        <v>336</v>
      </c>
      <c r="H561" s="5" t="s">
        <v>20</v>
      </c>
      <c r="I561" s="5" t="s">
        <v>1495</v>
      </c>
      <c r="J561" s="12" t="str">
        <f>HYPERLINK("https://www.boe.es/gazeta/dias/1805/04/16/pdfs/GMD-1805-31.pdf#page=12","Abrir facsímil")</f>
        <v>Abrir facsímil</v>
      </c>
      <c r="K561" s="15" t="s">
        <v>22</v>
      </c>
    </row>
    <row r="562" spans="1:11" ht="42" customHeight="1">
      <c r="A562" s="4" t="s">
        <v>1496</v>
      </c>
      <c r="B562" s="5" t="s">
        <v>1497</v>
      </c>
      <c r="C562" s="5" t="s">
        <v>17</v>
      </c>
      <c r="D562" s="5" t="s">
        <v>18</v>
      </c>
      <c r="E562" s="5" t="s">
        <v>71</v>
      </c>
      <c r="F562" s="9">
        <v>33</v>
      </c>
      <c r="G562" s="9">
        <v>356</v>
      </c>
      <c r="H562" s="5" t="s">
        <v>20</v>
      </c>
      <c r="I562" s="5" t="s">
        <v>1498</v>
      </c>
      <c r="J562" s="12" t="str">
        <f>HYPERLINK("https://www.boe.es/gazeta/dias/1805/04/23/pdfs/GMD-1805-33.pdf#page=12","Abrir facsímil")</f>
        <v>Abrir facsímil</v>
      </c>
      <c r="K562" s="15" t="s">
        <v>22</v>
      </c>
    </row>
    <row r="563" spans="1:11" ht="42" customHeight="1">
      <c r="A563" s="4" t="s">
        <v>1499</v>
      </c>
      <c r="B563" s="5" t="s">
        <v>1500</v>
      </c>
      <c r="C563" s="5" t="s">
        <v>80</v>
      </c>
      <c r="D563" s="5" t="s">
        <v>81</v>
      </c>
      <c r="E563" s="5" t="s">
        <v>539</v>
      </c>
      <c r="F563" s="9">
        <v>97</v>
      </c>
      <c r="G563" s="9">
        <v>1038</v>
      </c>
      <c r="H563" s="5" t="s">
        <v>20</v>
      </c>
      <c r="I563" s="5" t="s">
        <v>1501</v>
      </c>
      <c r="J563" s="12" t="str">
        <f>HYPERLINK("https://www.boe.es/gazeta/dias/1805/12/03/pdfs/GMD-1805-97.pdf#page=2","Abrir facsímil")</f>
        <v>Abrir facsímil</v>
      </c>
      <c r="K563" s="15" t="s">
        <v>22</v>
      </c>
    </row>
    <row r="564" spans="1:11" ht="42" customHeight="1">
      <c r="A564" s="4" t="s">
        <v>1499</v>
      </c>
      <c r="B564" s="5" t="s">
        <v>1500</v>
      </c>
      <c r="C564" s="5" t="s">
        <v>35</v>
      </c>
      <c r="D564" s="5" t="s">
        <v>36</v>
      </c>
      <c r="E564" s="5" t="s">
        <v>512</v>
      </c>
      <c r="F564" s="9">
        <v>100</v>
      </c>
      <c r="G564" s="9">
        <v>1078</v>
      </c>
      <c r="H564" s="5" t="s">
        <v>20</v>
      </c>
      <c r="I564" s="5" t="s">
        <v>1502</v>
      </c>
      <c r="J564" s="12" t="str">
        <f>HYPERLINK("https://www.boe.es/gazeta/dias/1805/12/13/pdfs/GMD-1805-100.pdf#page=6","Abrir facsímil")</f>
        <v>Abrir facsímil</v>
      </c>
      <c r="K564" s="15" t="s">
        <v>22</v>
      </c>
    </row>
    <row r="565" spans="1:11" ht="42" customHeight="1">
      <c r="A565" s="4" t="s">
        <v>1503</v>
      </c>
      <c r="B565" s="5" t="s">
        <v>1504</v>
      </c>
      <c r="C565" s="5" t="s">
        <v>35</v>
      </c>
      <c r="D565" s="5" t="s">
        <v>36</v>
      </c>
      <c r="E565" s="5" t="s">
        <v>48</v>
      </c>
      <c r="F565" s="9">
        <v>35</v>
      </c>
      <c r="G565" s="9">
        <v>375</v>
      </c>
      <c r="H565" s="5" t="s">
        <v>20</v>
      </c>
      <c r="I565" s="5" t="s">
        <v>1505</v>
      </c>
      <c r="J565" s="12" t="str">
        <f>HYPERLINK("https://www.boe.es/gazeta/dias/1805/04/30/pdfs/GMD-1805-35.pdf#page=7","Abrir facsímil")</f>
        <v>Abrir facsímil</v>
      </c>
      <c r="K565" s="15" t="s">
        <v>22</v>
      </c>
    </row>
    <row r="566" spans="1:11" ht="42" customHeight="1">
      <c r="A566" s="4" t="s">
        <v>1503</v>
      </c>
      <c r="B566" s="5" t="s">
        <v>1504</v>
      </c>
      <c r="C566" s="5" t="s">
        <v>80</v>
      </c>
      <c r="D566" s="5" t="s">
        <v>81</v>
      </c>
      <c r="E566" s="5" t="s">
        <v>48</v>
      </c>
      <c r="F566" s="9">
        <v>35</v>
      </c>
      <c r="G566" s="9">
        <v>376</v>
      </c>
      <c r="H566" s="5" t="s">
        <v>20</v>
      </c>
      <c r="I566" s="5" t="s">
        <v>1506</v>
      </c>
      <c r="J566" s="12" t="str">
        <f>HYPERLINK("https://www.boe.es/gazeta/dias/1805/04/30/pdfs/GMD-1805-35.pdf#page=8","Abrir facsímil")</f>
        <v>Abrir facsímil</v>
      </c>
      <c r="K566" s="15" t="s">
        <v>22</v>
      </c>
    </row>
    <row r="567" spans="1:11" ht="42" customHeight="1">
      <c r="A567" s="4" t="s">
        <v>1507</v>
      </c>
      <c r="B567" s="5" t="s">
        <v>1508</v>
      </c>
      <c r="C567" s="5" t="s">
        <v>184</v>
      </c>
      <c r="D567" s="5" t="s">
        <v>86</v>
      </c>
      <c r="E567" s="5" t="s">
        <v>128</v>
      </c>
      <c r="F567" s="9">
        <v>23</v>
      </c>
      <c r="G567" s="9">
        <v>237</v>
      </c>
      <c r="H567" s="5" t="s">
        <v>20</v>
      </c>
      <c r="I567" s="5" t="s">
        <v>1509</v>
      </c>
      <c r="J567" s="12" t="str">
        <f>HYPERLINK("https://www.boe.es/gazeta/dias/1805/03/19/pdfs/GMD-1805-23.pdf#page=1","Abrir facsímil")</f>
        <v>Abrir facsímil</v>
      </c>
      <c r="K567" s="15" t="s">
        <v>22</v>
      </c>
    </row>
    <row r="568" spans="1:11" ht="42" customHeight="1">
      <c r="A568" s="4" t="s">
        <v>1510</v>
      </c>
      <c r="B568" s="5" t="s">
        <v>1511</v>
      </c>
      <c r="C568" s="5" t="s">
        <v>80</v>
      </c>
      <c r="D568" s="5" t="s">
        <v>81</v>
      </c>
      <c r="E568" s="5" t="s">
        <v>273</v>
      </c>
      <c r="F568" s="9">
        <v>8</v>
      </c>
      <c r="G568" s="9">
        <v>82</v>
      </c>
      <c r="H568" s="5" t="s">
        <v>20</v>
      </c>
      <c r="I568" s="5" t="s">
        <v>1512</v>
      </c>
      <c r="J568" s="12" t="str">
        <f>HYPERLINK("https://www.boe.es/gazeta/dias/1805/01/25/pdfs/GMD-1805-8.pdf#page=2","Abrir facsímil")</f>
        <v>Abrir facsímil</v>
      </c>
      <c r="K568" s="15" t="s">
        <v>22</v>
      </c>
    </row>
    <row r="569" spans="1:11" ht="42" customHeight="1">
      <c r="A569" s="4" t="s">
        <v>1510</v>
      </c>
      <c r="B569" s="5" t="s">
        <v>1511</v>
      </c>
      <c r="C569" s="5" t="s">
        <v>35</v>
      </c>
      <c r="D569" s="5" t="s">
        <v>36</v>
      </c>
      <c r="E569" s="5" t="s">
        <v>95</v>
      </c>
      <c r="F569" s="9">
        <v>13</v>
      </c>
      <c r="G569" s="9">
        <v>133</v>
      </c>
      <c r="H569" s="5" t="s">
        <v>20</v>
      </c>
      <c r="I569" s="5" t="s">
        <v>1513</v>
      </c>
      <c r="J569" s="12" t="str">
        <f>HYPERLINK("https://www.boe.es/gazeta/dias/1805/02/12/pdfs/GMD-1805-13.pdf#page=1","Abrir facsímil")</f>
        <v>Abrir facsímil</v>
      </c>
      <c r="K569" s="15" t="s">
        <v>22</v>
      </c>
    </row>
    <row r="570" spans="1:11" ht="42" customHeight="1">
      <c r="A570" s="4" t="s">
        <v>1514</v>
      </c>
      <c r="B570" s="5" t="s">
        <v>1515</v>
      </c>
      <c r="C570" s="5" t="s">
        <v>35</v>
      </c>
      <c r="D570" s="5" t="s">
        <v>36</v>
      </c>
      <c r="E570" s="5" t="s">
        <v>132</v>
      </c>
      <c r="F570" s="9">
        <v>2</v>
      </c>
      <c r="G570" s="9">
        <v>13</v>
      </c>
      <c r="H570" s="5" t="s">
        <v>20</v>
      </c>
      <c r="I570" s="5" t="s">
        <v>1516</v>
      </c>
      <c r="J570" s="12" t="str">
        <f>HYPERLINK("https://www.boe.es/gazeta/dias/1805/01/04/pdfs/GMD-1805-2.pdf#page=1","Abrir facsímil")</f>
        <v>Abrir facsímil</v>
      </c>
      <c r="K570" s="15" t="s">
        <v>22</v>
      </c>
    </row>
    <row r="571" spans="1:11" ht="42" customHeight="1">
      <c r="A571" s="4" t="s">
        <v>1514</v>
      </c>
      <c r="B571" s="5" t="s">
        <v>1515</v>
      </c>
      <c r="C571" s="5" t="s">
        <v>80</v>
      </c>
      <c r="D571" s="5" t="s">
        <v>81</v>
      </c>
      <c r="E571" s="5" t="s">
        <v>387</v>
      </c>
      <c r="F571" s="9">
        <v>4</v>
      </c>
      <c r="G571" s="9">
        <v>36</v>
      </c>
      <c r="H571" s="5" t="s">
        <v>20</v>
      </c>
      <c r="I571" s="5" t="s">
        <v>1517</v>
      </c>
      <c r="J571" s="12" t="str">
        <f>HYPERLINK("https://www.boe.es/gazeta/dias/1805/01/11/pdfs/GMD-1805-4.pdf#page=4","Abrir facsímil")</f>
        <v>Abrir facsímil</v>
      </c>
      <c r="K571" s="15" t="s">
        <v>22</v>
      </c>
    </row>
    <row r="572" spans="1:11" ht="42" customHeight="1">
      <c r="A572" s="4" t="s">
        <v>1514</v>
      </c>
      <c r="B572" s="5" t="s">
        <v>1515</v>
      </c>
      <c r="C572" s="5" t="s">
        <v>80</v>
      </c>
      <c r="D572" s="5" t="s">
        <v>81</v>
      </c>
      <c r="E572" s="5" t="s">
        <v>170</v>
      </c>
      <c r="F572" s="9">
        <v>9</v>
      </c>
      <c r="G572" s="9">
        <v>93</v>
      </c>
      <c r="H572" s="5" t="s">
        <v>20</v>
      </c>
      <c r="I572" s="5" t="s">
        <v>1518</v>
      </c>
      <c r="J572" s="12" t="str">
        <f>HYPERLINK("https://www.boe.es/gazeta/dias/1805/01/29/pdfs/GMD-1805-9.pdf#page=1","Abrir facsímil")</f>
        <v>Abrir facsímil</v>
      </c>
      <c r="K572" s="15" t="s">
        <v>22</v>
      </c>
    </row>
    <row r="573" spans="1:11" ht="42" customHeight="1">
      <c r="A573" s="4" t="s">
        <v>1514</v>
      </c>
      <c r="B573" s="5" t="s">
        <v>1515</v>
      </c>
      <c r="C573" s="5" t="s">
        <v>80</v>
      </c>
      <c r="D573" s="5" t="s">
        <v>81</v>
      </c>
      <c r="E573" s="5" t="s">
        <v>117</v>
      </c>
      <c r="F573" s="9">
        <v>20</v>
      </c>
      <c r="G573" s="9">
        <v>202</v>
      </c>
      <c r="H573" s="5" t="s">
        <v>20</v>
      </c>
      <c r="I573" s="5" t="s">
        <v>1519</v>
      </c>
      <c r="J573" s="12" t="str">
        <f>HYPERLINK("https://www.boe.es/gazeta/dias/1805/03/08/pdfs/GMD-1805-20.pdf#page=2","Abrir facsímil")</f>
        <v>Abrir facsímil</v>
      </c>
      <c r="K573" s="15" t="s">
        <v>22</v>
      </c>
    </row>
    <row r="574" spans="1:11" ht="42" customHeight="1">
      <c r="A574" s="4" t="s">
        <v>1514</v>
      </c>
      <c r="B574" s="5" t="s">
        <v>1515</v>
      </c>
      <c r="C574" s="5" t="s">
        <v>17</v>
      </c>
      <c r="D574" s="5" t="s">
        <v>18</v>
      </c>
      <c r="E574" s="5" t="s">
        <v>59</v>
      </c>
      <c r="F574" s="9">
        <v>21</v>
      </c>
      <c r="G574" s="9">
        <v>218</v>
      </c>
      <c r="H574" s="5" t="s">
        <v>20</v>
      </c>
      <c r="I574" s="5" t="s">
        <v>1520</v>
      </c>
      <c r="J574" s="12" t="str">
        <f>HYPERLINK("https://www.boe.es/gazeta/dias/1805/03/12/pdfs/GMD-1805-21.pdf#page=6","Abrir facsímil")</f>
        <v>Abrir facsímil</v>
      </c>
      <c r="K574" s="15" t="s">
        <v>22</v>
      </c>
    </row>
    <row r="575" spans="1:11" ht="42" customHeight="1">
      <c r="A575" s="4" t="s">
        <v>1514</v>
      </c>
      <c r="B575" s="5" t="s">
        <v>1515</v>
      </c>
      <c r="C575" s="5" t="s">
        <v>17</v>
      </c>
      <c r="D575" s="5" t="s">
        <v>18</v>
      </c>
      <c r="E575" s="5" t="s">
        <v>128</v>
      </c>
      <c r="F575" s="9">
        <v>23</v>
      </c>
      <c r="G575" s="9">
        <v>237</v>
      </c>
      <c r="H575" s="5" t="s">
        <v>20</v>
      </c>
      <c r="I575" s="5" t="s">
        <v>1521</v>
      </c>
      <c r="J575" s="12" t="str">
        <f>HYPERLINK("https://www.boe.es/gazeta/dias/1805/03/19/pdfs/GMD-1805-23.pdf#page=1","Abrir facsímil")</f>
        <v>Abrir facsímil</v>
      </c>
      <c r="K575" s="15" t="s">
        <v>22</v>
      </c>
    </row>
    <row r="576" spans="1:11" ht="42" customHeight="1">
      <c r="A576" s="4" t="s">
        <v>1514</v>
      </c>
      <c r="B576" s="5" t="s">
        <v>1515</v>
      </c>
      <c r="C576" s="5" t="s">
        <v>17</v>
      </c>
      <c r="D576" s="5" t="s">
        <v>18</v>
      </c>
      <c r="E576" s="5" t="s">
        <v>120</v>
      </c>
      <c r="F576" s="9">
        <v>24</v>
      </c>
      <c r="G576" s="9">
        <v>250</v>
      </c>
      <c r="H576" s="5" t="s">
        <v>20</v>
      </c>
      <c r="I576" s="5" t="s">
        <v>1522</v>
      </c>
      <c r="J576" s="12" t="str">
        <f>HYPERLINK("https://www.boe.es/gazeta/dias/1805/03/22/pdfs/GMD-1805-24.pdf#page=2","Abrir facsímil")</f>
        <v>Abrir facsímil</v>
      </c>
      <c r="K576" s="15" t="s">
        <v>22</v>
      </c>
    </row>
    <row r="577" spans="1:11" ht="42" customHeight="1">
      <c r="A577" s="4" t="s">
        <v>1514</v>
      </c>
      <c r="B577" s="5" t="s">
        <v>1515</v>
      </c>
      <c r="C577" s="5" t="s">
        <v>29</v>
      </c>
      <c r="D577" s="5" t="s">
        <v>30</v>
      </c>
      <c r="E577" s="5" t="s">
        <v>296</v>
      </c>
      <c r="F577" s="9">
        <v>26</v>
      </c>
      <c r="G577" s="9">
        <v>270</v>
      </c>
      <c r="H577" s="5" t="s">
        <v>20</v>
      </c>
      <c r="I577" s="5" t="s">
        <v>1523</v>
      </c>
      <c r="J577" s="12" t="str">
        <f>HYPERLINK("https://www.boe.es/gazeta/dias/1805/03/29/pdfs/GMD-1805-26.pdf#page=2","Abrir facsímil")</f>
        <v>Abrir facsímil</v>
      </c>
      <c r="K577" s="15" t="s">
        <v>22</v>
      </c>
    </row>
    <row r="578" spans="1:11" ht="42" customHeight="1">
      <c r="A578" s="4" t="s">
        <v>1514</v>
      </c>
      <c r="B578" s="5" t="s">
        <v>1515</v>
      </c>
      <c r="C578" s="5" t="s">
        <v>80</v>
      </c>
      <c r="D578" s="5" t="s">
        <v>81</v>
      </c>
      <c r="E578" s="5" t="s">
        <v>91</v>
      </c>
      <c r="F578" s="9">
        <v>28</v>
      </c>
      <c r="G578" s="9">
        <v>294</v>
      </c>
      <c r="H578" s="5" t="s">
        <v>20</v>
      </c>
      <c r="I578" s="5" t="s">
        <v>1524</v>
      </c>
      <c r="J578" s="12" t="str">
        <f>HYPERLINK("https://www.boe.es/gazeta/dias/1805/04/05/pdfs/GMD-1805-28.pdf#page=2","Abrir facsímil")</f>
        <v>Abrir facsímil</v>
      </c>
      <c r="K578" s="15" t="s">
        <v>22</v>
      </c>
    </row>
    <row r="579" spans="1:11" ht="42" customHeight="1">
      <c r="A579" s="4" t="s">
        <v>1514</v>
      </c>
      <c r="B579" s="5" t="s">
        <v>1515</v>
      </c>
      <c r="C579" s="5" t="s">
        <v>17</v>
      </c>
      <c r="D579" s="5" t="s">
        <v>18</v>
      </c>
      <c r="E579" s="5" t="s">
        <v>91</v>
      </c>
      <c r="F579" s="9">
        <v>28</v>
      </c>
      <c r="G579" s="9">
        <v>298</v>
      </c>
      <c r="H579" s="5" t="s">
        <v>20</v>
      </c>
      <c r="I579" s="5" t="s">
        <v>1525</v>
      </c>
      <c r="J579" s="12" t="str">
        <f>HYPERLINK("https://www.boe.es/gazeta/dias/1805/04/05/pdfs/GMD-1805-28.pdf#page=6","Abrir facsímil")</f>
        <v>Abrir facsímil</v>
      </c>
      <c r="K579" s="15" t="s">
        <v>22</v>
      </c>
    </row>
    <row r="580" spans="1:11" ht="42" customHeight="1">
      <c r="A580" s="4" t="s">
        <v>1514</v>
      </c>
      <c r="B580" s="5" t="s">
        <v>1515</v>
      </c>
      <c r="C580" s="5" t="s">
        <v>80</v>
      </c>
      <c r="D580" s="5" t="s">
        <v>81</v>
      </c>
      <c r="E580" s="5" t="s">
        <v>567</v>
      </c>
      <c r="F580" s="9">
        <v>49</v>
      </c>
      <c r="G580" s="9">
        <v>525</v>
      </c>
      <c r="H580" s="5" t="s">
        <v>20</v>
      </c>
      <c r="I580" s="5" t="s">
        <v>1526</v>
      </c>
      <c r="J580" s="12" t="str">
        <f>HYPERLINK("https://www.boe.es/gazeta/dias/1805/06/18/pdfs/GMD-1805-49.pdf#page=1","Abrir facsímil")</f>
        <v>Abrir facsímil</v>
      </c>
      <c r="K580" s="15" t="s">
        <v>22</v>
      </c>
    </row>
    <row r="581" spans="1:11" ht="42" customHeight="1">
      <c r="A581" s="4" t="s">
        <v>1514</v>
      </c>
      <c r="B581" s="5" t="s">
        <v>1515</v>
      </c>
      <c r="C581" s="5" t="s">
        <v>80</v>
      </c>
      <c r="D581" s="5" t="s">
        <v>81</v>
      </c>
      <c r="E581" s="5" t="s">
        <v>669</v>
      </c>
      <c r="F581" s="9">
        <v>84</v>
      </c>
      <c r="G581" s="9">
        <v>889</v>
      </c>
      <c r="H581" s="5" t="s">
        <v>20</v>
      </c>
      <c r="I581" s="5" t="s">
        <v>1527</v>
      </c>
      <c r="J581" s="12" t="str">
        <f>HYPERLINK("https://www.boe.es/gazeta/dias/1805/10/18/pdfs/GMD-1805-84.pdf#page=5","Abrir facsímil")</f>
        <v>Abrir facsímil</v>
      </c>
      <c r="K581" s="15" t="s">
        <v>22</v>
      </c>
    </row>
    <row r="582" spans="1:11" ht="42" customHeight="1">
      <c r="A582" s="4" t="s">
        <v>1528</v>
      </c>
      <c r="B582" s="5" t="s">
        <v>1529</v>
      </c>
      <c r="C582" s="5" t="s">
        <v>29</v>
      </c>
      <c r="D582" s="5" t="s">
        <v>30</v>
      </c>
      <c r="E582" s="5" t="s">
        <v>296</v>
      </c>
      <c r="F582" s="9">
        <v>26</v>
      </c>
      <c r="G582" s="9">
        <v>280</v>
      </c>
      <c r="H582" s="5" t="s">
        <v>20</v>
      </c>
      <c r="I582" s="5" t="s">
        <v>1530</v>
      </c>
      <c r="J582" s="12" t="str">
        <f>HYPERLINK("https://www.boe.es/gazeta/dias/1805/03/29/pdfs/GMD-1805-26.pdf#page=12","Abrir facsímil")</f>
        <v>Abrir facsímil</v>
      </c>
      <c r="K582" s="15" t="s">
        <v>22</v>
      </c>
    </row>
    <row r="583" spans="1:11" ht="42" customHeight="1">
      <c r="A583" s="4" t="s">
        <v>1531</v>
      </c>
      <c r="B583" s="5" t="s">
        <v>1532</v>
      </c>
      <c r="C583" s="5" t="s">
        <v>29</v>
      </c>
      <c r="D583" s="5" t="s">
        <v>30</v>
      </c>
      <c r="E583" s="5" t="s">
        <v>327</v>
      </c>
      <c r="F583" s="9">
        <v>10</v>
      </c>
      <c r="G583" s="9">
        <v>112</v>
      </c>
      <c r="H583" s="5" t="s">
        <v>20</v>
      </c>
      <c r="I583" s="5" t="s">
        <v>1533</v>
      </c>
      <c r="J583" s="12" t="str">
        <f>HYPERLINK("https://www.boe.es/gazeta/dias/1805/02/01/pdfs/GMD-1805-10.pdf#page=8","Abrir facsímil")</f>
        <v>Abrir facsímil</v>
      </c>
      <c r="K583" s="15" t="s">
        <v>22</v>
      </c>
    </row>
    <row r="584" spans="1:11" ht="42" customHeight="1">
      <c r="A584" s="4" t="s">
        <v>1531</v>
      </c>
      <c r="B584" s="5" t="s">
        <v>1532</v>
      </c>
      <c r="C584" s="5" t="s">
        <v>29</v>
      </c>
      <c r="D584" s="5" t="s">
        <v>30</v>
      </c>
      <c r="E584" s="5" t="s">
        <v>904</v>
      </c>
      <c r="F584" s="9">
        <v>47</v>
      </c>
      <c r="G584" s="9">
        <v>512</v>
      </c>
      <c r="H584" s="5" t="s">
        <v>20</v>
      </c>
      <c r="I584" s="5" t="s">
        <v>1534</v>
      </c>
      <c r="J584" s="12" t="str">
        <f>HYPERLINK("https://www.boe.es/gazeta/dias/1805/06/11/pdfs/GMD-1805-47.pdf#page=12","Abrir facsímil")</f>
        <v>Abrir facsímil</v>
      </c>
      <c r="K584" s="15" t="s">
        <v>22</v>
      </c>
    </row>
    <row r="585" spans="1:11" ht="42" customHeight="1">
      <c r="A585" s="4" t="s">
        <v>1535</v>
      </c>
      <c r="B585" s="5" t="s">
        <v>1535</v>
      </c>
      <c r="C585" s="5" t="s">
        <v>17</v>
      </c>
      <c r="D585" s="5" t="s">
        <v>18</v>
      </c>
      <c r="E585" s="5" t="s">
        <v>95</v>
      </c>
      <c r="F585" s="9">
        <v>13</v>
      </c>
      <c r="G585" s="9">
        <v>139</v>
      </c>
      <c r="H585" s="5" t="s">
        <v>20</v>
      </c>
      <c r="I585" s="5" t="s">
        <v>1536</v>
      </c>
      <c r="J585" s="12" t="str">
        <f>HYPERLINK("https://www.boe.es/gazeta/dias/1805/02/12/pdfs/GMD-1805-13.pdf#page=7","Abrir facsímil")</f>
        <v>Abrir facsímil</v>
      </c>
      <c r="K585" s="15" t="s">
        <v>22</v>
      </c>
    </row>
    <row r="586" spans="1:11" ht="42" customHeight="1">
      <c r="A586" s="4" t="s">
        <v>1537</v>
      </c>
      <c r="B586" s="5" t="s">
        <v>1537</v>
      </c>
      <c r="C586" s="5" t="s">
        <v>17</v>
      </c>
      <c r="D586" s="5" t="s">
        <v>18</v>
      </c>
      <c r="E586" s="5" t="s">
        <v>495</v>
      </c>
      <c r="F586" s="9">
        <v>103</v>
      </c>
      <c r="G586" s="9">
        <v>1113</v>
      </c>
      <c r="H586" s="5" t="s">
        <v>20</v>
      </c>
      <c r="I586" s="5" t="s">
        <v>1538</v>
      </c>
      <c r="J586" s="12" t="str">
        <f>HYPERLINK("https://www.boe.es/gazeta/dias/1805/12/24/pdfs/GMD-1805-103.pdf#page=5","Abrir facsímil")</f>
        <v>Abrir facsímil</v>
      </c>
      <c r="K586" s="15" t="s">
        <v>22</v>
      </c>
    </row>
    <row r="587" spans="1:11" ht="42" customHeight="1">
      <c r="A587" s="4" t="s">
        <v>1539</v>
      </c>
      <c r="B587" s="5" t="s">
        <v>1539</v>
      </c>
      <c r="C587" s="5" t="s">
        <v>17</v>
      </c>
      <c r="D587" s="5" t="s">
        <v>18</v>
      </c>
      <c r="E587" s="5" t="s">
        <v>506</v>
      </c>
      <c r="F587" s="9">
        <v>80</v>
      </c>
      <c r="G587" s="9">
        <v>849</v>
      </c>
      <c r="H587" s="5" t="s">
        <v>20</v>
      </c>
      <c r="I587" s="5" t="s">
        <v>1540</v>
      </c>
      <c r="J587" s="12" t="str">
        <f>HYPERLINK("https://www.boe.es/gazeta/dias/1805/10/04/pdfs/GMD-1805-80.pdf#page=9","Abrir facsímil")</f>
        <v>Abrir facsímil</v>
      </c>
      <c r="K587" s="15" t="s">
        <v>22</v>
      </c>
    </row>
    <row r="588" spans="1:11" ht="42" customHeight="1">
      <c r="A588" s="4" t="s">
        <v>1541</v>
      </c>
      <c r="B588" s="5" t="s">
        <v>1541</v>
      </c>
      <c r="C588" s="5" t="s">
        <v>29</v>
      </c>
      <c r="D588" s="5" t="s">
        <v>30</v>
      </c>
      <c r="E588" s="5" t="s">
        <v>114</v>
      </c>
      <c r="F588" s="9">
        <v>17</v>
      </c>
      <c r="G588" s="9">
        <v>178</v>
      </c>
      <c r="H588" s="5" t="s">
        <v>20</v>
      </c>
      <c r="I588" s="5" t="s">
        <v>1542</v>
      </c>
      <c r="J588" s="12" t="str">
        <f>HYPERLINK("https://www.boe.es/gazeta/dias/1805/02/26/pdfs/GMD-1805-17.pdf#page=10","Abrir facsímil")</f>
        <v>Abrir facsímil</v>
      </c>
      <c r="K588" s="15" t="s">
        <v>22</v>
      </c>
    </row>
    <row r="589" spans="1:11" ht="42" customHeight="1">
      <c r="A589" s="4" t="s">
        <v>1543</v>
      </c>
      <c r="B589" s="5" t="s">
        <v>1544</v>
      </c>
      <c r="C589" s="5" t="s">
        <v>85</v>
      </c>
      <c r="D589" s="5" t="s">
        <v>86</v>
      </c>
      <c r="E589" s="5" t="s">
        <v>387</v>
      </c>
      <c r="F589" s="9">
        <v>4</v>
      </c>
      <c r="G589" s="9">
        <v>42</v>
      </c>
      <c r="H589" s="5" t="s">
        <v>20</v>
      </c>
      <c r="I589" s="5" t="s">
        <v>1545</v>
      </c>
      <c r="J589" s="12" t="str">
        <f>HYPERLINK("https://www.boe.es/gazeta/dias/1805/01/11/pdfs/GMD-1805-4.pdf#page=10","Abrir facsímil")</f>
        <v>Abrir facsímil</v>
      </c>
      <c r="K589" s="15" t="s">
        <v>22</v>
      </c>
    </row>
    <row r="590" spans="1:11" ht="42" customHeight="1">
      <c r="A590" s="4" t="s">
        <v>1546</v>
      </c>
      <c r="B590" s="5" t="s">
        <v>1547</v>
      </c>
      <c r="C590" s="5" t="s">
        <v>35</v>
      </c>
      <c r="D590" s="5" t="s">
        <v>36</v>
      </c>
      <c r="E590" s="5" t="s">
        <v>31</v>
      </c>
      <c r="F590" s="9">
        <v>65</v>
      </c>
      <c r="G590" s="9">
        <v>697</v>
      </c>
      <c r="H590" s="5" t="s">
        <v>20</v>
      </c>
      <c r="I590" s="5" t="s">
        <v>1548</v>
      </c>
      <c r="J590" s="12" t="str">
        <f>HYPERLINK("https://www.boe.es/gazeta/dias/1805/08/13/pdfs/GMD-1805-65.pdf#page=9","Abrir facsímil")</f>
        <v>Abrir facsímil</v>
      </c>
      <c r="K590" s="15" t="s">
        <v>22</v>
      </c>
    </row>
    <row r="591" spans="1:11" ht="42" customHeight="1">
      <c r="A591" s="4" t="s">
        <v>1549</v>
      </c>
      <c r="B591" s="5" t="s">
        <v>1550</v>
      </c>
      <c r="C591" s="5" t="s">
        <v>17</v>
      </c>
      <c r="D591" s="5" t="s">
        <v>18</v>
      </c>
      <c r="E591" s="5" t="s">
        <v>107</v>
      </c>
      <c r="F591" s="9">
        <v>19</v>
      </c>
      <c r="G591" s="9">
        <v>197</v>
      </c>
      <c r="H591" s="5" t="s">
        <v>20</v>
      </c>
      <c r="I591" s="5" t="s">
        <v>1551</v>
      </c>
      <c r="J591" s="12" t="str">
        <f>HYPERLINK("https://www.boe.es/gazeta/dias/1805/03/05/pdfs/GMD-1805-19.pdf#page=9","Abrir facsímil")</f>
        <v>Abrir facsímil</v>
      </c>
      <c r="K591" s="15" t="s">
        <v>22</v>
      </c>
    </row>
    <row r="592" spans="1:11" ht="42" customHeight="1">
      <c r="A592" s="4" t="s">
        <v>1552</v>
      </c>
      <c r="B592" s="5" t="s">
        <v>1553</v>
      </c>
      <c r="C592" s="5" t="s">
        <v>35</v>
      </c>
      <c r="D592" s="5" t="s">
        <v>36</v>
      </c>
      <c r="E592" s="5" t="s">
        <v>188</v>
      </c>
      <c r="F592" s="9">
        <v>68</v>
      </c>
      <c r="G592" s="9">
        <v>729</v>
      </c>
      <c r="H592" s="5" t="s">
        <v>20</v>
      </c>
      <c r="I592" s="5" t="s">
        <v>1554</v>
      </c>
      <c r="J592" s="12" t="str">
        <f>HYPERLINK("https://www.boe.es/gazeta/dias/1805/08/23/pdfs/GMD-1805-68.pdf#page=9","Abrir facsímil")</f>
        <v>Abrir facsímil</v>
      </c>
      <c r="K592" s="15" t="s">
        <v>22</v>
      </c>
    </row>
    <row r="593" spans="1:11" ht="42" customHeight="1">
      <c r="A593" s="4" t="s">
        <v>1555</v>
      </c>
      <c r="B593" s="5" t="s">
        <v>1556</v>
      </c>
      <c r="C593" s="5" t="s">
        <v>35</v>
      </c>
      <c r="D593" s="5" t="s">
        <v>36</v>
      </c>
      <c r="E593" s="5" t="s">
        <v>426</v>
      </c>
      <c r="F593" s="9">
        <v>75</v>
      </c>
      <c r="G593" s="9">
        <v>798</v>
      </c>
      <c r="H593" s="5" t="s">
        <v>20</v>
      </c>
      <c r="I593" s="5" t="s">
        <v>1557</v>
      </c>
      <c r="J593" s="12" t="str">
        <f>HYPERLINK("https://www.boe.es/gazeta/dias/1805/09/17/pdfs/GMD-1805-75.pdf#page=10","Abrir facsímil")</f>
        <v>Abrir facsímil</v>
      </c>
      <c r="K593" s="15" t="s">
        <v>22</v>
      </c>
    </row>
    <row r="594" spans="1:11" ht="42" customHeight="1">
      <c r="A594" s="4" t="s">
        <v>1558</v>
      </c>
      <c r="B594" s="5" t="s">
        <v>1559</v>
      </c>
      <c r="C594" s="5" t="s">
        <v>85</v>
      </c>
      <c r="D594" s="5" t="s">
        <v>86</v>
      </c>
      <c r="E594" s="5" t="s">
        <v>440</v>
      </c>
      <c r="F594" s="9">
        <v>27</v>
      </c>
      <c r="G594" s="9">
        <v>288</v>
      </c>
      <c r="H594" s="5" t="s">
        <v>20</v>
      </c>
      <c r="I594" s="5" t="s">
        <v>1560</v>
      </c>
      <c r="J594" s="12" t="str">
        <f>HYPERLINK("https://www.boe.es/gazeta/dias/1805/04/02/pdfs/GMD-1805-27.pdf#page=8","Abrir facsímil")</f>
        <v>Abrir facsímil</v>
      </c>
      <c r="K594" s="15" t="s">
        <v>22</v>
      </c>
    </row>
    <row r="595" spans="1:11" ht="42" customHeight="1">
      <c r="A595" s="4" t="s">
        <v>1561</v>
      </c>
      <c r="B595" s="5" t="s">
        <v>1562</v>
      </c>
      <c r="C595" s="5" t="s">
        <v>80</v>
      </c>
      <c r="D595" s="5" t="s">
        <v>81</v>
      </c>
      <c r="E595" s="5" t="s">
        <v>399</v>
      </c>
      <c r="F595" s="9">
        <v>39</v>
      </c>
      <c r="G595" s="9">
        <v>417</v>
      </c>
      <c r="H595" s="5" t="s">
        <v>20</v>
      </c>
      <c r="I595" s="5" t="s">
        <v>1563</v>
      </c>
      <c r="J595" s="12" t="str">
        <f>HYPERLINK("https://www.boe.es/gazeta/dias/1805/05/14/pdfs/GMD-1805-39.pdf#page=5","Abrir facsímil")</f>
        <v>Abrir facsímil</v>
      </c>
      <c r="K595" s="15" t="s">
        <v>22</v>
      </c>
    </row>
    <row r="596" spans="1:11" ht="42" customHeight="1">
      <c r="A596" s="4" t="s">
        <v>1564</v>
      </c>
      <c r="B596" s="5" t="s">
        <v>1565</v>
      </c>
      <c r="C596" s="5" t="s">
        <v>17</v>
      </c>
      <c r="D596" s="5" t="s">
        <v>18</v>
      </c>
      <c r="E596" s="5" t="s">
        <v>1132</v>
      </c>
      <c r="F596" s="9">
        <v>72</v>
      </c>
      <c r="G596" s="9">
        <v>767</v>
      </c>
      <c r="H596" s="5" t="s">
        <v>20</v>
      </c>
      <c r="I596" s="5" t="s">
        <v>1566</v>
      </c>
      <c r="J596" s="12" t="str">
        <f>HYPERLINK("https://www.boe.es/gazeta/dias/1805/09/06/pdfs/GMD-1805-72.pdf#page=7","Abrir facsímil")</f>
        <v>Abrir facsímil</v>
      </c>
      <c r="K596" s="15" t="s">
        <v>22</v>
      </c>
    </row>
    <row r="597" spans="1:11" ht="42" customHeight="1">
      <c r="A597" s="4" t="s">
        <v>1567</v>
      </c>
      <c r="B597" s="5" t="s">
        <v>1567</v>
      </c>
      <c r="C597" s="5" t="s">
        <v>80</v>
      </c>
      <c r="D597" s="5" t="s">
        <v>81</v>
      </c>
      <c r="E597" s="5" t="s">
        <v>850</v>
      </c>
      <c r="F597" s="9">
        <v>42</v>
      </c>
      <c r="G597" s="9">
        <v>445</v>
      </c>
      <c r="H597" s="5" t="s">
        <v>20</v>
      </c>
      <c r="I597" s="5" t="s">
        <v>1568</v>
      </c>
      <c r="J597" s="12" t="str">
        <f>HYPERLINK("https://www.boe.es/gazeta/dias/1805/05/24/pdfs/GMD-1805-42.pdf#page=1","Abrir facsímil")</f>
        <v>Abrir facsímil</v>
      </c>
      <c r="K597" s="15" t="s">
        <v>22</v>
      </c>
    </row>
    <row r="598" spans="1:11" ht="42" customHeight="1">
      <c r="A598" s="4" t="s">
        <v>1569</v>
      </c>
      <c r="B598" s="5" t="s">
        <v>1570</v>
      </c>
      <c r="C598" s="5" t="s">
        <v>17</v>
      </c>
      <c r="D598" s="5" t="s">
        <v>18</v>
      </c>
      <c r="E598" s="5" t="s">
        <v>144</v>
      </c>
      <c r="F598" s="9">
        <v>85</v>
      </c>
      <c r="G598" s="9">
        <v>903</v>
      </c>
      <c r="H598" s="5" t="s">
        <v>20</v>
      </c>
      <c r="I598" s="5" t="s">
        <v>1571</v>
      </c>
      <c r="J598" s="12" t="str">
        <f>HYPERLINK("https://www.boe.es/gazeta/dias/1805/10/22/pdfs/GMD-1805-85.pdf#page=11","Abrir facsímil")</f>
        <v>Abrir facsímil</v>
      </c>
      <c r="K598" s="15" t="s">
        <v>22</v>
      </c>
    </row>
    <row r="599" spans="1:11" ht="42" customHeight="1">
      <c r="A599" s="4" t="s">
        <v>1572</v>
      </c>
      <c r="B599" s="5" t="s">
        <v>1573</v>
      </c>
      <c r="C599" s="5" t="s">
        <v>17</v>
      </c>
      <c r="D599" s="5" t="s">
        <v>18</v>
      </c>
      <c r="E599" s="5" t="s">
        <v>63</v>
      </c>
      <c r="F599" s="9">
        <v>101</v>
      </c>
      <c r="G599" s="9">
        <v>1091</v>
      </c>
      <c r="H599" s="5" t="s">
        <v>20</v>
      </c>
      <c r="I599" s="5" t="s">
        <v>1574</v>
      </c>
      <c r="J599" s="12" t="str">
        <f>HYPERLINK("https://www.boe.es/gazeta/dias/1805/12/17/pdfs/GMD-1805-101.pdf#page=7","Abrir facsímil")</f>
        <v>Abrir facsímil</v>
      </c>
      <c r="K599" s="15" t="s">
        <v>22</v>
      </c>
    </row>
    <row r="600" spans="1:11" ht="42" customHeight="1">
      <c r="A600" s="4" t="s">
        <v>1575</v>
      </c>
      <c r="B600" s="5" t="s">
        <v>1576</v>
      </c>
      <c r="C600" s="5" t="s">
        <v>85</v>
      </c>
      <c r="D600" s="5" t="s">
        <v>86</v>
      </c>
      <c r="E600" s="5" t="s">
        <v>27</v>
      </c>
      <c r="F600" s="9">
        <v>37</v>
      </c>
      <c r="G600" s="9">
        <v>402</v>
      </c>
      <c r="H600" s="5" t="s">
        <v>20</v>
      </c>
      <c r="I600" s="5" t="s">
        <v>1577</v>
      </c>
      <c r="J600" s="12" t="str">
        <f>HYPERLINK("https://www.boe.es/gazeta/dias/1805/05/07/pdfs/GMD-1805-37.pdf#page=10","Abrir facsímil")</f>
        <v>Abrir facsímil</v>
      </c>
      <c r="K600" s="15" t="s">
        <v>22</v>
      </c>
    </row>
    <row r="601" spans="1:11" ht="42" customHeight="1">
      <c r="A601" s="4" t="s">
        <v>1578</v>
      </c>
      <c r="B601" s="5" t="s">
        <v>1579</v>
      </c>
      <c r="C601" s="5" t="s">
        <v>80</v>
      </c>
      <c r="D601" s="5" t="s">
        <v>81</v>
      </c>
      <c r="E601" s="5" t="s">
        <v>192</v>
      </c>
      <c r="F601" s="9">
        <v>105</v>
      </c>
      <c r="G601" s="9">
        <v>1134</v>
      </c>
      <c r="H601" s="5" t="s">
        <v>20</v>
      </c>
      <c r="I601" s="5" t="s">
        <v>1580</v>
      </c>
      <c r="J601" s="12" t="str">
        <f>HYPERLINK("https://www.boe.es/gazeta/dias/1805/12/31/pdfs/GMD-1805-105.pdf#page=6","Abrir facsímil")</f>
        <v>Abrir facsímil</v>
      </c>
      <c r="K601" s="15" t="s">
        <v>22</v>
      </c>
    </row>
    <row r="602" spans="1:11" ht="42" customHeight="1">
      <c r="A602" s="4" t="s">
        <v>1581</v>
      </c>
      <c r="B602" s="5" t="s">
        <v>1581</v>
      </c>
      <c r="C602" s="5" t="s">
        <v>17</v>
      </c>
      <c r="D602" s="5" t="s">
        <v>18</v>
      </c>
      <c r="E602" s="5" t="s">
        <v>128</v>
      </c>
      <c r="F602" s="9">
        <v>23</v>
      </c>
      <c r="G602" s="9">
        <v>239</v>
      </c>
      <c r="H602" s="5" t="s">
        <v>20</v>
      </c>
      <c r="I602" s="5" t="s">
        <v>1582</v>
      </c>
      <c r="J602" s="12" t="str">
        <f>HYPERLINK("https://www.boe.es/gazeta/dias/1805/03/19/pdfs/GMD-1805-23.pdf#page=3","Abrir facsímil")</f>
        <v>Abrir facsímil</v>
      </c>
      <c r="K602" s="15" t="s">
        <v>22</v>
      </c>
    </row>
    <row r="603" spans="1:11" ht="42" customHeight="1">
      <c r="A603" s="4" t="s">
        <v>1583</v>
      </c>
      <c r="B603" s="5" t="s">
        <v>1583</v>
      </c>
      <c r="C603" s="5" t="s">
        <v>80</v>
      </c>
      <c r="D603" s="5" t="s">
        <v>81</v>
      </c>
      <c r="E603" s="5" t="s">
        <v>63</v>
      </c>
      <c r="F603" s="9">
        <v>101</v>
      </c>
      <c r="G603" s="9">
        <v>1085</v>
      </c>
      <c r="H603" s="5" t="s">
        <v>20</v>
      </c>
      <c r="I603" s="5" t="s">
        <v>1584</v>
      </c>
      <c r="J603" s="12" t="str">
        <f>HYPERLINK("https://www.boe.es/gazeta/dias/1805/12/17/pdfs/GMD-1805-101.pdf#page=1","Abrir facsímil")</f>
        <v>Abrir facsímil</v>
      </c>
      <c r="K603" s="15" t="s">
        <v>22</v>
      </c>
    </row>
    <row r="604" spans="1:11" ht="42" customHeight="1">
      <c r="A604" s="4" t="s">
        <v>1585</v>
      </c>
      <c r="B604" s="5" t="s">
        <v>1585</v>
      </c>
      <c r="C604" s="5" t="s">
        <v>17</v>
      </c>
      <c r="D604" s="5" t="s">
        <v>18</v>
      </c>
      <c r="E604" s="5" t="s">
        <v>286</v>
      </c>
      <c r="F604" s="9">
        <v>48</v>
      </c>
      <c r="G604" s="9">
        <v>520</v>
      </c>
      <c r="H604" s="5" t="s">
        <v>20</v>
      </c>
      <c r="I604" s="5" t="s">
        <v>1586</v>
      </c>
      <c r="J604" s="12" t="str">
        <f>HYPERLINK("https://www.boe.es/gazeta/dias/1805/06/14/pdfs/GMD-1805-48.pdf#page=8","Abrir facsímil")</f>
        <v>Abrir facsímil</v>
      </c>
      <c r="K604" s="15" t="s">
        <v>22</v>
      </c>
    </row>
    <row r="605" spans="1:11" ht="42" customHeight="1">
      <c r="A605" s="4" t="s">
        <v>1587</v>
      </c>
      <c r="B605" s="5" t="s">
        <v>1588</v>
      </c>
      <c r="C605" s="5" t="s">
        <v>35</v>
      </c>
      <c r="D605" s="5" t="s">
        <v>36</v>
      </c>
      <c r="E605" s="5" t="s">
        <v>67</v>
      </c>
      <c r="F605" s="9">
        <v>98</v>
      </c>
      <c r="G605" s="9">
        <v>1059</v>
      </c>
      <c r="H605" s="5" t="s">
        <v>20</v>
      </c>
      <c r="I605" s="5" t="s">
        <v>1589</v>
      </c>
      <c r="J605" s="12" t="str">
        <f>HYPERLINK("https://www.boe.es/gazeta/dias/1805/12/06/pdfs/GMD-1805-98.pdf#page=11","Abrir facsímil")</f>
        <v>Abrir facsímil</v>
      </c>
      <c r="K605" s="15" t="s">
        <v>22</v>
      </c>
    </row>
    <row r="606" spans="1:11" ht="42" customHeight="1">
      <c r="A606" s="4" t="s">
        <v>1590</v>
      </c>
      <c r="B606" s="5" t="s">
        <v>1591</v>
      </c>
      <c r="C606" s="5" t="s">
        <v>17</v>
      </c>
      <c r="D606" s="5" t="s">
        <v>18</v>
      </c>
      <c r="E606" s="5" t="s">
        <v>63</v>
      </c>
      <c r="F606" s="9">
        <v>101</v>
      </c>
      <c r="G606" s="9">
        <v>1091</v>
      </c>
      <c r="H606" s="5" t="s">
        <v>20</v>
      </c>
      <c r="I606" s="5" t="s">
        <v>1592</v>
      </c>
      <c r="J606" s="12" t="str">
        <f>HYPERLINK("https://www.boe.es/gazeta/dias/1805/12/17/pdfs/GMD-1805-101.pdf#page=7","Abrir facsímil")</f>
        <v>Abrir facsímil</v>
      </c>
      <c r="K606" s="15" t="s">
        <v>22</v>
      </c>
    </row>
    <row r="607" spans="1:11" ht="42" customHeight="1">
      <c r="A607" s="4" t="s">
        <v>1593</v>
      </c>
      <c r="B607" s="5" t="s">
        <v>1594</v>
      </c>
      <c r="C607" s="5" t="s">
        <v>17</v>
      </c>
      <c r="D607" s="5" t="s">
        <v>18</v>
      </c>
      <c r="E607" s="5" t="s">
        <v>673</v>
      </c>
      <c r="F607" s="9">
        <v>32</v>
      </c>
      <c r="G607" s="9">
        <v>342</v>
      </c>
      <c r="H607" s="5" t="s">
        <v>20</v>
      </c>
      <c r="I607" s="5" t="s">
        <v>1595</v>
      </c>
      <c r="J607" s="12" t="str">
        <f>HYPERLINK("https://www.boe.es/gazeta/dias/1805/04/19/pdfs/GMD-1805-32.pdf#page=6","Abrir facsímil")</f>
        <v>Abrir facsímil</v>
      </c>
      <c r="K607" s="15" t="s">
        <v>22</v>
      </c>
    </row>
    <row r="608" spans="1:11" ht="42" customHeight="1">
      <c r="A608" s="4" t="s">
        <v>1596</v>
      </c>
      <c r="B608" s="5" t="s">
        <v>1596</v>
      </c>
      <c r="C608" s="5" t="s">
        <v>29</v>
      </c>
      <c r="D608" s="5" t="s">
        <v>30</v>
      </c>
      <c r="E608" s="5" t="s">
        <v>273</v>
      </c>
      <c r="F608" s="9">
        <v>8</v>
      </c>
      <c r="G608" s="9">
        <v>90</v>
      </c>
      <c r="H608" s="5" t="s">
        <v>20</v>
      </c>
      <c r="I608" s="5" t="s">
        <v>1597</v>
      </c>
      <c r="J608" s="12" t="str">
        <f>HYPERLINK("https://www.boe.es/gazeta/dias/1805/01/25/pdfs/GMD-1805-8.pdf#page=10","Abrir facsímil")</f>
        <v>Abrir facsímil</v>
      </c>
      <c r="K608" s="15" t="s">
        <v>22</v>
      </c>
    </row>
    <row r="609" spans="1:11" ht="42" customHeight="1">
      <c r="A609" s="4" t="s">
        <v>1596</v>
      </c>
      <c r="B609" s="5" t="s">
        <v>1596</v>
      </c>
      <c r="C609" s="5" t="s">
        <v>17</v>
      </c>
      <c r="D609" s="5" t="s">
        <v>18</v>
      </c>
      <c r="E609" s="5" t="s">
        <v>673</v>
      </c>
      <c r="F609" s="9">
        <v>32</v>
      </c>
      <c r="G609" s="9">
        <v>344</v>
      </c>
      <c r="H609" s="5" t="s">
        <v>20</v>
      </c>
      <c r="I609" s="5" t="s">
        <v>1598</v>
      </c>
      <c r="J609" s="12" t="str">
        <f>HYPERLINK("https://www.boe.es/gazeta/dias/1805/04/19/pdfs/GMD-1805-32.pdf#page=8","Abrir facsímil")</f>
        <v>Abrir facsímil</v>
      </c>
      <c r="K609" s="15" t="s">
        <v>22</v>
      </c>
    </row>
    <row r="610" spans="1:11" ht="42" customHeight="1">
      <c r="A610" s="4" t="s">
        <v>1596</v>
      </c>
      <c r="B610" s="5" t="s">
        <v>1596</v>
      </c>
      <c r="C610" s="5" t="s">
        <v>17</v>
      </c>
      <c r="D610" s="5" t="s">
        <v>18</v>
      </c>
      <c r="E610" s="5" t="s">
        <v>399</v>
      </c>
      <c r="F610" s="9">
        <v>39</v>
      </c>
      <c r="G610" s="9">
        <v>424</v>
      </c>
      <c r="H610" s="5" t="s">
        <v>20</v>
      </c>
      <c r="I610" s="5" t="s">
        <v>1599</v>
      </c>
      <c r="J610" s="12" t="str">
        <f>HYPERLINK("https://www.boe.es/gazeta/dias/1805/05/14/pdfs/GMD-1805-39.pdf#page=12","Abrir facsímil")</f>
        <v>Abrir facsímil</v>
      </c>
      <c r="K610" s="15" t="s">
        <v>22</v>
      </c>
    </row>
    <row r="611" spans="1:11" ht="42" customHeight="1">
      <c r="A611" s="4" t="s">
        <v>1596</v>
      </c>
      <c r="B611" s="5" t="s">
        <v>1596</v>
      </c>
      <c r="C611" s="5" t="s">
        <v>35</v>
      </c>
      <c r="D611" s="5" t="s">
        <v>36</v>
      </c>
      <c r="E611" s="5" t="s">
        <v>1187</v>
      </c>
      <c r="F611" s="9">
        <v>40</v>
      </c>
      <c r="G611" s="9">
        <v>432</v>
      </c>
      <c r="H611" s="5" t="s">
        <v>20</v>
      </c>
      <c r="I611" s="5" t="s">
        <v>1600</v>
      </c>
      <c r="J611" s="12" t="str">
        <f>HYPERLINK("https://www.boe.es/gazeta/dias/1805/05/17/pdfs/GMD-1805-40.pdf#page=8","Abrir facsímil")</f>
        <v>Abrir facsímil</v>
      </c>
      <c r="K611" s="15" t="s">
        <v>22</v>
      </c>
    </row>
    <row r="612" spans="1:11" ht="42" customHeight="1">
      <c r="A612" s="4" t="s">
        <v>1601</v>
      </c>
      <c r="B612" s="5" t="s">
        <v>1602</v>
      </c>
      <c r="C612" s="5" t="s">
        <v>17</v>
      </c>
      <c r="D612" s="5" t="s">
        <v>18</v>
      </c>
      <c r="E612" s="5" t="s">
        <v>196</v>
      </c>
      <c r="F612" s="9">
        <v>67</v>
      </c>
      <c r="G612" s="9">
        <v>717</v>
      </c>
      <c r="H612" s="5" t="s">
        <v>20</v>
      </c>
      <c r="I612" s="5" t="s">
        <v>1603</v>
      </c>
      <c r="J612" s="12" t="str">
        <f>HYPERLINK("https://www.boe.es/gazeta/dias/1805/08/20/pdfs/GMD-1805-67.pdf#page=5","Abrir facsímil")</f>
        <v>Abrir facsímil</v>
      </c>
      <c r="K612" s="15" t="s">
        <v>22</v>
      </c>
    </row>
    <row r="613" spans="1:11" ht="42" customHeight="1">
      <c r="A613" s="4" t="s">
        <v>1604</v>
      </c>
      <c r="B613" s="5" t="s">
        <v>1605</v>
      </c>
      <c r="C613" s="5" t="s">
        <v>35</v>
      </c>
      <c r="D613" s="5" t="s">
        <v>36</v>
      </c>
      <c r="E613" s="5" t="s">
        <v>422</v>
      </c>
      <c r="F613" s="9">
        <v>74</v>
      </c>
      <c r="G613" s="9">
        <v>786</v>
      </c>
      <c r="H613" s="5" t="s">
        <v>20</v>
      </c>
      <c r="I613" s="5" t="s">
        <v>1606</v>
      </c>
      <c r="J613" s="12" t="str">
        <f>HYPERLINK("https://www.boe.es/gazeta/dias/1805/09/13/pdfs/GMD-1805-74.pdf#page=10","Abrir facsímil")</f>
        <v>Abrir facsímil</v>
      </c>
      <c r="K613" s="15" t="s">
        <v>22</v>
      </c>
    </row>
    <row r="614" spans="1:11" ht="42" customHeight="1">
      <c r="A614" s="4" t="s">
        <v>1607</v>
      </c>
      <c r="B614" s="5" t="s">
        <v>1608</v>
      </c>
      <c r="C614" s="5" t="s">
        <v>35</v>
      </c>
      <c r="D614" s="5" t="s">
        <v>36</v>
      </c>
      <c r="E614" s="5" t="s">
        <v>91</v>
      </c>
      <c r="F614" s="9">
        <v>28</v>
      </c>
      <c r="G614" s="9">
        <v>299</v>
      </c>
      <c r="H614" s="5" t="s">
        <v>20</v>
      </c>
      <c r="I614" s="5" t="s">
        <v>1609</v>
      </c>
      <c r="J614" s="12" t="str">
        <f>HYPERLINK("https://www.boe.es/gazeta/dias/1805/04/05/pdfs/GMD-1805-28.pdf#page=7","Abrir facsímil")</f>
        <v>Abrir facsímil</v>
      </c>
      <c r="K614" s="15" t="s">
        <v>22</v>
      </c>
    </row>
    <row r="615" spans="1:11" ht="42" customHeight="1">
      <c r="A615" s="4" t="s">
        <v>1610</v>
      </c>
      <c r="B615" s="5" t="s">
        <v>1611</v>
      </c>
      <c r="C615" s="5" t="s">
        <v>35</v>
      </c>
      <c r="D615" s="5" t="s">
        <v>36</v>
      </c>
      <c r="E615" s="5" t="s">
        <v>207</v>
      </c>
      <c r="F615" s="9">
        <v>76</v>
      </c>
      <c r="G615" s="9">
        <v>807</v>
      </c>
      <c r="H615" s="5" t="s">
        <v>20</v>
      </c>
      <c r="I615" s="5" t="s">
        <v>1612</v>
      </c>
      <c r="J615" s="12" t="str">
        <f>HYPERLINK("https://www.boe.es/gazeta/dias/1805/09/20/pdfs/GMD-1805-76.pdf#page=7","Abrir facsímil")</f>
        <v>Abrir facsímil</v>
      </c>
      <c r="K615" s="15" t="s">
        <v>22</v>
      </c>
    </row>
    <row r="616" spans="1:11" ht="42" customHeight="1">
      <c r="A616" s="4" t="s">
        <v>1613</v>
      </c>
      <c r="B616" s="5" t="s">
        <v>1614</v>
      </c>
      <c r="C616" s="5" t="s">
        <v>17</v>
      </c>
      <c r="D616" s="5" t="s">
        <v>18</v>
      </c>
      <c r="E616" s="5" t="s">
        <v>63</v>
      </c>
      <c r="F616" s="9">
        <v>101</v>
      </c>
      <c r="G616" s="9">
        <v>1092</v>
      </c>
      <c r="H616" s="5" t="s">
        <v>20</v>
      </c>
      <c r="I616" s="5" t="s">
        <v>1615</v>
      </c>
      <c r="J616" s="12" t="str">
        <f>HYPERLINK("https://www.boe.es/gazeta/dias/1805/12/17/pdfs/GMD-1805-101.pdf#page=8","Abrir facsímil")</f>
        <v>Abrir facsímil</v>
      </c>
      <c r="K616" s="15" t="s">
        <v>22</v>
      </c>
    </row>
    <row r="617" spans="1:11" ht="42" customHeight="1">
      <c r="A617" s="4" t="s">
        <v>1613</v>
      </c>
      <c r="B617" s="5" t="s">
        <v>1614</v>
      </c>
      <c r="C617" s="5" t="s">
        <v>35</v>
      </c>
      <c r="D617" s="5" t="s">
        <v>36</v>
      </c>
      <c r="E617" s="5" t="s">
        <v>138</v>
      </c>
      <c r="F617" s="9">
        <v>102</v>
      </c>
      <c r="G617" s="9">
        <v>1104</v>
      </c>
      <c r="H617" s="5" t="s">
        <v>20</v>
      </c>
      <c r="I617" s="5" t="s">
        <v>1616</v>
      </c>
      <c r="J617" s="12" t="str">
        <f>HYPERLINK("https://www.boe.es/gazeta/dias/1805/12/20/pdfs/GMD-1805-102.pdf#page=8","Abrir facsímil")</f>
        <v>Abrir facsímil</v>
      </c>
      <c r="K617" s="15" t="s">
        <v>22</v>
      </c>
    </row>
    <row r="618" spans="1:11" ht="42" customHeight="1">
      <c r="A618" s="4" t="s">
        <v>1617</v>
      </c>
      <c r="B618" s="5" t="s">
        <v>1617</v>
      </c>
      <c r="C618" s="5" t="s">
        <v>29</v>
      </c>
      <c r="D618" s="5" t="s">
        <v>30</v>
      </c>
      <c r="E618" s="5" t="s">
        <v>1221</v>
      </c>
      <c r="F618" s="9">
        <v>41</v>
      </c>
      <c r="G618" s="9">
        <v>436</v>
      </c>
      <c r="H618" s="5" t="s">
        <v>20</v>
      </c>
      <c r="I618" s="5" t="s">
        <v>1618</v>
      </c>
      <c r="J618" s="12" t="str">
        <f>HYPERLINK("https://www.boe.es/gazeta/dias/1805/05/21/pdfs/GMD-1805-41.pdf#page=4","Abrir facsímil")</f>
        <v>Abrir facsímil</v>
      </c>
      <c r="K618" s="15" t="s">
        <v>22</v>
      </c>
    </row>
    <row r="619" spans="1:11" ht="42" customHeight="1">
      <c r="A619" s="4" t="s">
        <v>1619</v>
      </c>
      <c r="B619" s="5" t="s">
        <v>1620</v>
      </c>
      <c r="C619" s="5" t="s">
        <v>17</v>
      </c>
      <c r="D619" s="5" t="s">
        <v>18</v>
      </c>
      <c r="E619" s="5" t="s">
        <v>831</v>
      </c>
      <c r="F619" s="9">
        <v>62</v>
      </c>
      <c r="G619" s="9">
        <v>662</v>
      </c>
      <c r="H619" s="5" t="s">
        <v>20</v>
      </c>
      <c r="I619" s="5" t="s">
        <v>1621</v>
      </c>
      <c r="J619" s="12" t="str">
        <f>HYPERLINK("https://www.boe.es/gazeta/dias/1805/08/02/pdfs/GMD-1805-62.pdf#page=6","Abrir facsímil")</f>
        <v>Abrir facsímil</v>
      </c>
      <c r="K619" s="15" t="s">
        <v>22</v>
      </c>
    </row>
    <row r="620" spans="1:11" ht="42" customHeight="1">
      <c r="A620" s="4" t="s">
        <v>1622</v>
      </c>
      <c r="B620" s="5" t="s">
        <v>1623</v>
      </c>
      <c r="C620" s="5" t="s">
        <v>35</v>
      </c>
      <c r="D620" s="5" t="s">
        <v>36</v>
      </c>
      <c r="E620" s="5" t="s">
        <v>787</v>
      </c>
      <c r="F620" s="9">
        <v>95</v>
      </c>
      <c r="G620" s="9">
        <v>1019</v>
      </c>
      <c r="H620" s="5" t="s">
        <v>20</v>
      </c>
      <c r="I620" s="5" t="s">
        <v>1624</v>
      </c>
      <c r="J620" s="12" t="str">
        <f>HYPERLINK("https://www.boe.es/gazeta/dias/1805/11/26/pdfs/GMD-1805-95.pdf#page=7","Abrir facsímil")</f>
        <v>Abrir facsímil</v>
      </c>
      <c r="K620" s="15" t="s">
        <v>22</v>
      </c>
    </row>
    <row r="621" spans="1:11" ht="42" customHeight="1">
      <c r="A621" s="4" t="s">
        <v>1625</v>
      </c>
      <c r="B621" s="5" t="s">
        <v>1626</v>
      </c>
      <c r="C621" s="5" t="s">
        <v>184</v>
      </c>
      <c r="D621" s="5" t="s">
        <v>86</v>
      </c>
      <c r="E621" s="5" t="s">
        <v>789</v>
      </c>
      <c r="F621" s="9">
        <v>104</v>
      </c>
      <c r="G621" s="9">
        <v>1121</v>
      </c>
      <c r="H621" s="5" t="s">
        <v>20</v>
      </c>
      <c r="I621" s="5" t="s">
        <v>1627</v>
      </c>
      <c r="J621" s="12" t="str">
        <f>HYPERLINK("https://www.boe.es/gazeta/dias/1805/12/27/pdfs/GMD-1805-104.pdf#page=5","Abrir facsímil")</f>
        <v>Abrir facsímil</v>
      </c>
      <c r="K621" s="15" t="s">
        <v>22</v>
      </c>
    </row>
    <row r="622" spans="1:11" ht="42" customHeight="1">
      <c r="A622" s="4" t="s">
        <v>1628</v>
      </c>
      <c r="B622" s="5" t="s">
        <v>1629</v>
      </c>
      <c r="C622" s="5" t="s">
        <v>80</v>
      </c>
      <c r="D622" s="5" t="s">
        <v>81</v>
      </c>
      <c r="E622" s="5" t="s">
        <v>789</v>
      </c>
      <c r="F622" s="9">
        <v>104</v>
      </c>
      <c r="G622" s="9">
        <v>1120</v>
      </c>
      <c r="H622" s="5" t="s">
        <v>20</v>
      </c>
      <c r="I622" s="5" t="s">
        <v>1630</v>
      </c>
      <c r="J622" s="12" t="str">
        <f>HYPERLINK("https://www.boe.es/gazeta/dias/1805/12/27/pdfs/GMD-1805-104.pdf#page=4","Abrir facsímil")</f>
        <v>Abrir facsímil</v>
      </c>
      <c r="K622" s="15" t="s">
        <v>22</v>
      </c>
    </row>
    <row r="623" spans="1:11" ht="42" customHeight="1">
      <c r="A623" s="4" t="s">
        <v>1631</v>
      </c>
      <c r="B623" s="5" t="s">
        <v>1631</v>
      </c>
      <c r="C623" s="5" t="s">
        <v>17</v>
      </c>
      <c r="D623" s="5" t="s">
        <v>18</v>
      </c>
      <c r="E623" s="5" t="s">
        <v>958</v>
      </c>
      <c r="F623" s="9">
        <v>58</v>
      </c>
      <c r="G623" s="9">
        <v>621</v>
      </c>
      <c r="H623" s="5" t="s">
        <v>20</v>
      </c>
      <c r="I623" s="5" t="s">
        <v>1632</v>
      </c>
      <c r="J623" s="12" t="str">
        <f>HYPERLINK("https://www.boe.es/gazeta/dias/1805/07/19/pdfs/GMD-1805-58.pdf#page=5","Abrir facsímil")</f>
        <v>Abrir facsímil</v>
      </c>
      <c r="K623" s="15" t="s">
        <v>22</v>
      </c>
    </row>
    <row r="624" spans="1:11" ht="42" customHeight="1">
      <c r="A624" s="4" t="s">
        <v>1633</v>
      </c>
      <c r="B624" s="5" t="s">
        <v>1634</v>
      </c>
      <c r="C624" s="5" t="s">
        <v>80</v>
      </c>
      <c r="D624" s="5" t="s">
        <v>81</v>
      </c>
      <c r="E624" s="5" t="s">
        <v>335</v>
      </c>
      <c r="F624" s="9">
        <v>79</v>
      </c>
      <c r="G624" s="9">
        <v>832</v>
      </c>
      <c r="H624" s="5" t="s">
        <v>20</v>
      </c>
      <c r="I624" s="5" t="s">
        <v>1635</v>
      </c>
      <c r="J624" s="12" t="str">
        <f>HYPERLINK("https://www.boe.es/gazeta/dias/1805/10/01/pdfs/GMD-1805-79.pdf#page=4","Abrir facsímil")</f>
        <v>Abrir facsímil</v>
      </c>
      <c r="K624" s="15" t="s">
        <v>22</v>
      </c>
    </row>
    <row r="625" spans="1:11" ht="42" customHeight="1">
      <c r="A625" s="4" t="s">
        <v>1636</v>
      </c>
      <c r="B625" s="5" t="s">
        <v>1636</v>
      </c>
      <c r="C625" s="5" t="s">
        <v>80</v>
      </c>
      <c r="D625" s="5" t="s">
        <v>81</v>
      </c>
      <c r="E625" s="5" t="s">
        <v>456</v>
      </c>
      <c r="F625" s="9">
        <v>70</v>
      </c>
      <c r="G625" s="9">
        <v>742</v>
      </c>
      <c r="H625" s="5" t="s">
        <v>20</v>
      </c>
      <c r="I625" s="5" t="s">
        <v>1637</v>
      </c>
      <c r="J625" s="12" t="str">
        <f>HYPERLINK("https://www.boe.es/gazeta/dias/1805/08/30/pdfs/GMD-1805-70.pdf#page=2","Abrir facsímil")</f>
        <v>Abrir facsímil</v>
      </c>
      <c r="K625" s="15" t="s">
        <v>22</v>
      </c>
    </row>
    <row r="626" spans="1:11" ht="42" customHeight="1">
      <c r="A626" s="4" t="s">
        <v>1638</v>
      </c>
      <c r="B626" s="5" t="s">
        <v>1639</v>
      </c>
      <c r="C626" s="5" t="s">
        <v>17</v>
      </c>
      <c r="D626" s="5" t="s">
        <v>18</v>
      </c>
      <c r="E626" s="5" t="s">
        <v>1432</v>
      </c>
      <c r="F626" s="9">
        <v>53</v>
      </c>
      <c r="G626" s="9">
        <v>568</v>
      </c>
      <c r="H626" s="5" t="s">
        <v>20</v>
      </c>
      <c r="I626" s="5" t="s">
        <v>1640</v>
      </c>
      <c r="J626" s="12" t="str">
        <f>HYPERLINK("https://www.boe.es/gazeta/dias/1805/07/02/pdfs/GMD-1805-53.pdf#page=4","Abrir facsímil")</f>
        <v>Abrir facsímil</v>
      </c>
      <c r="K626" s="15" t="s">
        <v>22</v>
      </c>
    </row>
    <row r="627" spans="1:11" ht="42" customHeight="1">
      <c r="A627" s="4" t="s">
        <v>1638</v>
      </c>
      <c r="B627" s="5" t="s">
        <v>1639</v>
      </c>
      <c r="C627" s="5" t="s">
        <v>80</v>
      </c>
      <c r="D627" s="5" t="s">
        <v>81</v>
      </c>
      <c r="E627" s="5" t="s">
        <v>40</v>
      </c>
      <c r="F627" s="9">
        <v>59</v>
      </c>
      <c r="G627" s="9">
        <v>627</v>
      </c>
      <c r="H627" s="5" t="s">
        <v>20</v>
      </c>
      <c r="I627" s="5" t="s">
        <v>1641</v>
      </c>
      <c r="J627" s="12" t="str">
        <f>HYPERLINK("https://www.boe.es/gazeta/dias/1805/07/23/pdfs/GMD-1805-59.pdf#page=3","Abrir facsímil")</f>
        <v>Abrir facsímil</v>
      </c>
      <c r="K627" s="15" t="s">
        <v>22</v>
      </c>
    </row>
    <row r="628" spans="1:11" ht="42" customHeight="1">
      <c r="A628" s="4" t="s">
        <v>1638</v>
      </c>
      <c r="B628" s="5" t="s">
        <v>1639</v>
      </c>
      <c r="C628" s="5" t="s">
        <v>17</v>
      </c>
      <c r="D628" s="5" t="s">
        <v>18</v>
      </c>
      <c r="E628" s="5" t="s">
        <v>585</v>
      </c>
      <c r="F628" s="9">
        <v>64</v>
      </c>
      <c r="G628" s="9">
        <v>686</v>
      </c>
      <c r="H628" s="5" t="s">
        <v>20</v>
      </c>
      <c r="I628" s="5" t="s">
        <v>1642</v>
      </c>
      <c r="J628" s="12" t="str">
        <f>HYPERLINK("https://www.boe.es/gazeta/dias/1805/08/09/pdfs/GMD-1805-64.pdf#page=10","Abrir facsímil")</f>
        <v>Abrir facsímil</v>
      </c>
      <c r="K628" s="15" t="s">
        <v>22</v>
      </c>
    </row>
    <row r="629" spans="1:11" ht="42" customHeight="1">
      <c r="A629" s="4" t="s">
        <v>1638</v>
      </c>
      <c r="B629" s="5" t="s">
        <v>1639</v>
      </c>
      <c r="C629" s="5" t="s">
        <v>17</v>
      </c>
      <c r="D629" s="5" t="s">
        <v>18</v>
      </c>
      <c r="E629" s="5" t="s">
        <v>135</v>
      </c>
      <c r="F629" s="9">
        <v>71</v>
      </c>
      <c r="G629" s="9">
        <v>752</v>
      </c>
      <c r="H629" s="5" t="s">
        <v>20</v>
      </c>
      <c r="I629" s="5" t="s">
        <v>1643</v>
      </c>
      <c r="J629" s="12" t="str">
        <f>HYPERLINK("https://www.boe.es/gazeta/dias/1805/09/03/pdfs/GMD-1805-71.pdf#page=4","Abrir facsímil")</f>
        <v>Abrir facsímil</v>
      </c>
      <c r="K629" s="15" t="s">
        <v>22</v>
      </c>
    </row>
    <row r="630" spans="1:11" ht="42" customHeight="1">
      <c r="A630" s="4" t="s">
        <v>1638</v>
      </c>
      <c r="B630" s="5" t="s">
        <v>1639</v>
      </c>
      <c r="C630" s="5" t="s">
        <v>35</v>
      </c>
      <c r="D630" s="5" t="s">
        <v>36</v>
      </c>
      <c r="E630" s="5" t="s">
        <v>1132</v>
      </c>
      <c r="F630" s="9">
        <v>72</v>
      </c>
      <c r="G630" s="9">
        <v>763</v>
      </c>
      <c r="H630" s="5" t="s">
        <v>20</v>
      </c>
      <c r="I630" s="5" t="s">
        <v>1644</v>
      </c>
      <c r="J630" s="12" t="str">
        <f>HYPERLINK("https://www.boe.es/gazeta/dias/1805/09/06/pdfs/GMD-1805-72.pdf#page=3","Abrir facsímil")</f>
        <v>Abrir facsímil</v>
      </c>
      <c r="K630" s="15" t="s">
        <v>22</v>
      </c>
    </row>
    <row r="631" spans="1:11" ht="42" customHeight="1">
      <c r="A631" s="4" t="s">
        <v>1638</v>
      </c>
      <c r="B631" s="5" t="s">
        <v>1639</v>
      </c>
      <c r="C631" s="5" t="s">
        <v>80</v>
      </c>
      <c r="D631" s="5" t="s">
        <v>81</v>
      </c>
      <c r="E631" s="5" t="s">
        <v>422</v>
      </c>
      <c r="F631" s="9">
        <v>74</v>
      </c>
      <c r="G631" s="9">
        <v>782</v>
      </c>
      <c r="H631" s="5" t="s">
        <v>20</v>
      </c>
      <c r="I631" s="5" t="s">
        <v>1645</v>
      </c>
      <c r="J631" s="12" t="str">
        <f>HYPERLINK("https://www.boe.es/gazeta/dias/1805/09/13/pdfs/GMD-1805-74.pdf#page=6","Abrir facsímil")</f>
        <v>Abrir facsímil</v>
      </c>
      <c r="K631" s="15" t="s">
        <v>22</v>
      </c>
    </row>
    <row r="632" spans="1:11" ht="42" customHeight="1">
      <c r="A632" s="4" t="s">
        <v>1638</v>
      </c>
      <c r="B632" s="5" t="s">
        <v>1639</v>
      </c>
      <c r="C632" s="5" t="s">
        <v>80</v>
      </c>
      <c r="D632" s="5" t="s">
        <v>81</v>
      </c>
      <c r="E632" s="5" t="s">
        <v>207</v>
      </c>
      <c r="F632" s="9">
        <v>76</v>
      </c>
      <c r="G632" s="9">
        <v>803</v>
      </c>
      <c r="H632" s="5" t="s">
        <v>20</v>
      </c>
      <c r="I632" s="5" t="s">
        <v>1646</v>
      </c>
      <c r="J632" s="12" t="str">
        <f>HYPERLINK("https://www.boe.es/gazeta/dias/1805/09/20/pdfs/GMD-1805-76.pdf#page=3","Abrir facsímil")</f>
        <v>Abrir facsímil</v>
      </c>
      <c r="K632" s="15" t="s">
        <v>22</v>
      </c>
    </row>
    <row r="633" spans="1:11" ht="42" customHeight="1">
      <c r="A633" s="4" t="s">
        <v>1638</v>
      </c>
      <c r="B633" s="5" t="s">
        <v>1639</v>
      </c>
      <c r="C633" s="5" t="s">
        <v>17</v>
      </c>
      <c r="D633" s="5" t="s">
        <v>18</v>
      </c>
      <c r="E633" s="5" t="s">
        <v>163</v>
      </c>
      <c r="F633" s="9">
        <v>77</v>
      </c>
      <c r="G633" s="9">
        <v>813</v>
      </c>
      <c r="H633" s="5" t="s">
        <v>20</v>
      </c>
      <c r="I633" s="5" t="s">
        <v>1647</v>
      </c>
      <c r="J633" s="12" t="str">
        <f>HYPERLINK("https://www.boe.es/gazeta/dias/1805/09/24/pdfs/GMD-1805-77.pdf#page=5","Abrir facsímil")</f>
        <v>Abrir facsímil</v>
      </c>
      <c r="K633" s="15" t="s">
        <v>22</v>
      </c>
    </row>
    <row r="634" spans="1:11" ht="42" customHeight="1">
      <c r="A634" s="4" t="s">
        <v>1638</v>
      </c>
      <c r="B634" s="5" t="s">
        <v>1639</v>
      </c>
      <c r="C634" s="5" t="s">
        <v>80</v>
      </c>
      <c r="D634" s="5" t="s">
        <v>81</v>
      </c>
      <c r="E634" s="5" t="s">
        <v>215</v>
      </c>
      <c r="F634" s="9">
        <v>87</v>
      </c>
      <c r="G634" s="9">
        <v>919</v>
      </c>
      <c r="H634" s="5" t="s">
        <v>20</v>
      </c>
      <c r="I634" s="5" t="s">
        <v>1648</v>
      </c>
      <c r="J634" s="12" t="str">
        <f>HYPERLINK("https://www.boe.es/gazeta/dias/1805/10/29/pdfs/GMD-1805-87.pdf#page=3","Abrir facsímil")</f>
        <v>Abrir facsímil</v>
      </c>
      <c r="K634" s="15" t="s">
        <v>22</v>
      </c>
    </row>
    <row r="635" spans="1:11" ht="42" customHeight="1">
      <c r="A635" s="4" t="s">
        <v>1649</v>
      </c>
      <c r="B635" s="5" t="s">
        <v>1650</v>
      </c>
      <c r="C635" s="5" t="s">
        <v>80</v>
      </c>
      <c r="D635" s="5" t="s">
        <v>81</v>
      </c>
      <c r="E635" s="5" t="s">
        <v>1259</v>
      </c>
      <c r="F635" s="9">
        <v>78</v>
      </c>
      <c r="G635" s="9">
        <v>825</v>
      </c>
      <c r="H635" s="5" t="s">
        <v>20</v>
      </c>
      <c r="I635" s="5" t="s">
        <v>1651</v>
      </c>
      <c r="J635" s="12" t="str">
        <f>HYPERLINK("https://www.boe.es/gazeta/dias/1805/09/27/pdfs/GMD-1805-78.pdf#page=5","Abrir facsímil")</f>
        <v>Abrir facsímil</v>
      </c>
      <c r="K635" s="15" t="s">
        <v>22</v>
      </c>
    </row>
    <row r="636" spans="1:11" ht="42" customHeight="1">
      <c r="A636" s="4" t="s">
        <v>1652</v>
      </c>
      <c r="B636" s="5" t="s">
        <v>1653</v>
      </c>
      <c r="C636" s="5" t="s">
        <v>35</v>
      </c>
      <c r="D636" s="5" t="s">
        <v>36</v>
      </c>
      <c r="E636" s="5" t="s">
        <v>200</v>
      </c>
      <c r="F636" s="9">
        <v>91</v>
      </c>
      <c r="G636" s="9">
        <v>977</v>
      </c>
      <c r="H636" s="5" t="s">
        <v>20</v>
      </c>
      <c r="I636" s="5" t="s">
        <v>1654</v>
      </c>
      <c r="J636" s="12" t="str">
        <f>HYPERLINK("https://www.boe.es/gazeta/dias/1805/11/12/pdfs/GMD-1805-91.pdf#page=9","Abrir facsímil")</f>
        <v>Abrir facsímil</v>
      </c>
      <c r="K636" s="15" t="s">
        <v>22</v>
      </c>
    </row>
    <row r="637" spans="1:11" ht="42" customHeight="1">
      <c r="A637" s="4" t="s">
        <v>1652</v>
      </c>
      <c r="B637" s="5" t="s">
        <v>1653</v>
      </c>
      <c r="C637" s="5" t="s">
        <v>35</v>
      </c>
      <c r="D637" s="5" t="s">
        <v>36</v>
      </c>
      <c r="E637" s="5" t="s">
        <v>63</v>
      </c>
      <c r="F637" s="9">
        <v>101</v>
      </c>
      <c r="G637" s="9">
        <v>1092</v>
      </c>
      <c r="H637" s="5" t="s">
        <v>20</v>
      </c>
      <c r="I637" s="5" t="s">
        <v>1655</v>
      </c>
      <c r="J637" s="12" t="str">
        <f>HYPERLINK("https://www.boe.es/gazeta/dias/1805/12/17/pdfs/GMD-1805-101.pdf#page=8","Abrir facsímil")</f>
        <v>Abrir facsímil</v>
      </c>
      <c r="K637" s="15" t="s">
        <v>22</v>
      </c>
    </row>
    <row r="638" spans="1:11" ht="42" customHeight="1">
      <c r="A638" s="4" t="s">
        <v>1656</v>
      </c>
      <c r="B638" s="5" t="s">
        <v>1657</v>
      </c>
      <c r="C638" s="5" t="s">
        <v>35</v>
      </c>
      <c r="D638" s="5" t="s">
        <v>36</v>
      </c>
      <c r="E638" s="5" t="s">
        <v>63</v>
      </c>
      <c r="F638" s="9">
        <v>101</v>
      </c>
      <c r="G638" s="9">
        <v>1092</v>
      </c>
      <c r="H638" s="5" t="s">
        <v>20</v>
      </c>
      <c r="I638" s="5" t="s">
        <v>1658</v>
      </c>
      <c r="J638" s="12" t="str">
        <f>HYPERLINK("https://www.boe.es/gazeta/dias/1805/12/17/pdfs/GMD-1805-101.pdf#page=8","Abrir facsímil")</f>
        <v>Abrir facsímil</v>
      </c>
      <c r="K638" s="15" t="s">
        <v>22</v>
      </c>
    </row>
    <row r="639" spans="1:11" ht="42" customHeight="1">
      <c r="A639" s="4" t="s">
        <v>1659</v>
      </c>
      <c r="B639" s="5" t="s">
        <v>1660</v>
      </c>
      <c r="C639" s="5" t="s">
        <v>85</v>
      </c>
      <c r="D639" s="5" t="s">
        <v>86</v>
      </c>
      <c r="E639" s="5" t="s">
        <v>290</v>
      </c>
      <c r="F639" s="9">
        <v>36</v>
      </c>
      <c r="G639" s="9">
        <v>388</v>
      </c>
      <c r="H639" s="5" t="s">
        <v>20</v>
      </c>
      <c r="I639" s="5" t="s">
        <v>1661</v>
      </c>
      <c r="J639" s="12" t="str">
        <f>HYPERLINK("https://www.boe.es/gazeta/dias/1805/05/03/pdfs/GMD-1805-36.pdf#page=8","Abrir facsímil")</f>
        <v>Abrir facsímil</v>
      </c>
      <c r="K639" s="15" t="s">
        <v>22</v>
      </c>
    </row>
    <row r="640" spans="1:11" ht="42" customHeight="1">
      <c r="A640" s="4" t="s">
        <v>1659</v>
      </c>
      <c r="B640" s="5" t="s">
        <v>1660</v>
      </c>
      <c r="C640" s="5" t="s">
        <v>35</v>
      </c>
      <c r="D640" s="5" t="s">
        <v>36</v>
      </c>
      <c r="E640" s="5" t="s">
        <v>399</v>
      </c>
      <c r="F640" s="9">
        <v>39</v>
      </c>
      <c r="G640" s="9">
        <v>422</v>
      </c>
      <c r="H640" s="5" t="s">
        <v>20</v>
      </c>
      <c r="I640" s="5" t="s">
        <v>1662</v>
      </c>
      <c r="J640" s="12" t="str">
        <f>HYPERLINK("https://www.boe.es/gazeta/dias/1805/05/14/pdfs/GMD-1805-39.pdf#page=10","Abrir facsímil")</f>
        <v>Abrir facsímil</v>
      </c>
      <c r="K640" s="15" t="s">
        <v>22</v>
      </c>
    </row>
    <row r="641" spans="1:11" ht="42" customHeight="1">
      <c r="A641" s="4" t="s">
        <v>1663</v>
      </c>
      <c r="B641" s="5" t="s">
        <v>1663</v>
      </c>
      <c r="C641" s="5" t="s">
        <v>17</v>
      </c>
      <c r="D641" s="5" t="s">
        <v>18</v>
      </c>
      <c r="E641" s="5" t="s">
        <v>63</v>
      </c>
      <c r="F641" s="9">
        <v>101</v>
      </c>
      <c r="G641" s="9">
        <v>1091</v>
      </c>
      <c r="H641" s="5" t="s">
        <v>20</v>
      </c>
      <c r="I641" s="5" t="s">
        <v>1664</v>
      </c>
      <c r="J641" s="12" t="str">
        <f>HYPERLINK("https://www.boe.es/gazeta/dias/1805/12/17/pdfs/GMD-1805-101.pdf#page=7","Abrir facsímil")</f>
        <v>Abrir facsímil</v>
      </c>
      <c r="K641" s="15" t="s">
        <v>22</v>
      </c>
    </row>
    <row r="642" spans="1:11" ht="42" customHeight="1">
      <c r="A642" s="4" t="s">
        <v>1665</v>
      </c>
      <c r="B642" s="5" t="s">
        <v>1666</v>
      </c>
      <c r="C642" s="5" t="s">
        <v>17</v>
      </c>
      <c r="D642" s="5" t="s">
        <v>18</v>
      </c>
      <c r="E642" s="5" t="s">
        <v>854</v>
      </c>
      <c r="F642" s="9">
        <v>46</v>
      </c>
      <c r="G642" s="9">
        <v>493</v>
      </c>
      <c r="H642" s="5" t="s">
        <v>20</v>
      </c>
      <c r="I642" s="5" t="s">
        <v>1667</v>
      </c>
      <c r="J642" s="12" t="str">
        <f>HYPERLINK("https://www.boe.es/gazeta/dias/1805/06/07/pdfs/GMD-1805-46.pdf#page=5","Abrir facsímil")</f>
        <v>Abrir facsímil</v>
      </c>
      <c r="K642" s="15" t="s">
        <v>22</v>
      </c>
    </row>
    <row r="643" spans="1:11" ht="42" customHeight="1">
      <c r="A643" s="4" t="s">
        <v>1668</v>
      </c>
      <c r="B643" s="5" t="s">
        <v>1669</v>
      </c>
      <c r="C643" s="5" t="s">
        <v>184</v>
      </c>
      <c r="D643" s="5" t="s">
        <v>86</v>
      </c>
      <c r="E643" s="5" t="s">
        <v>196</v>
      </c>
      <c r="F643" s="9">
        <v>67</v>
      </c>
      <c r="G643" s="9">
        <v>720</v>
      </c>
      <c r="H643" s="5" t="s">
        <v>20</v>
      </c>
      <c r="I643" s="5" t="s">
        <v>1670</v>
      </c>
      <c r="J643" s="12" t="str">
        <f>HYPERLINK("https://www.boe.es/gazeta/dias/1805/08/20/pdfs/GMD-1805-67.pdf#page=8","Abrir facsímil")</f>
        <v>Abrir facsímil</v>
      </c>
      <c r="K643" s="15" t="s">
        <v>22</v>
      </c>
    </row>
    <row r="644" spans="1:11" ht="42" customHeight="1">
      <c r="A644" s="4" t="s">
        <v>1671</v>
      </c>
      <c r="B644" s="5" t="s">
        <v>1672</v>
      </c>
      <c r="C644" s="5" t="s">
        <v>17</v>
      </c>
      <c r="D644" s="5" t="s">
        <v>18</v>
      </c>
      <c r="E644" s="5" t="s">
        <v>120</v>
      </c>
      <c r="F644" s="9">
        <v>24</v>
      </c>
      <c r="G644" s="9">
        <v>258</v>
      </c>
      <c r="H644" s="5" t="s">
        <v>20</v>
      </c>
      <c r="I644" s="5" t="s">
        <v>1673</v>
      </c>
      <c r="J644" s="12" t="str">
        <f>HYPERLINK("https://www.boe.es/gazeta/dias/1805/03/22/pdfs/GMD-1805-24.pdf#page=10","Abrir facsímil")</f>
        <v>Abrir facsímil</v>
      </c>
      <c r="K644" s="15" t="s">
        <v>22</v>
      </c>
    </row>
    <row r="645" spans="1:11" ht="42" customHeight="1">
      <c r="A645" s="4" t="s">
        <v>1671</v>
      </c>
      <c r="B645" s="5" t="s">
        <v>1672</v>
      </c>
      <c r="C645" s="5" t="s">
        <v>17</v>
      </c>
      <c r="D645" s="5" t="s">
        <v>18</v>
      </c>
      <c r="E645" s="5" t="s">
        <v>958</v>
      </c>
      <c r="F645" s="9">
        <v>58</v>
      </c>
      <c r="G645" s="9">
        <v>621</v>
      </c>
      <c r="H645" s="5" t="s">
        <v>20</v>
      </c>
      <c r="I645" s="5" t="s">
        <v>1674</v>
      </c>
      <c r="J645" s="12" t="str">
        <f>HYPERLINK("https://www.boe.es/gazeta/dias/1805/07/19/pdfs/GMD-1805-58.pdf#page=5","Abrir facsímil")</f>
        <v>Abrir facsímil</v>
      </c>
      <c r="K645" s="15" t="s">
        <v>22</v>
      </c>
    </row>
    <row r="646" spans="1:11" ht="42" customHeight="1">
      <c r="A646" s="4" t="s">
        <v>1675</v>
      </c>
      <c r="B646" s="5" t="s">
        <v>1676</v>
      </c>
      <c r="C646" s="5" t="s">
        <v>35</v>
      </c>
      <c r="D646" s="5" t="s">
        <v>36</v>
      </c>
      <c r="E646" s="5" t="s">
        <v>296</v>
      </c>
      <c r="F646" s="9">
        <v>26</v>
      </c>
      <c r="G646" s="9">
        <v>277</v>
      </c>
      <c r="H646" s="5" t="s">
        <v>20</v>
      </c>
      <c r="I646" s="5" t="s">
        <v>1677</v>
      </c>
      <c r="J646" s="12" t="str">
        <f>HYPERLINK("https://www.boe.es/gazeta/dias/1805/03/29/pdfs/GMD-1805-26.pdf#page=9","Abrir facsímil")</f>
        <v>Abrir facsímil</v>
      </c>
      <c r="K646" s="15" t="s">
        <v>22</v>
      </c>
    </row>
    <row r="647" spans="1:11" ht="42" customHeight="1">
      <c r="A647" s="4" t="s">
        <v>1678</v>
      </c>
      <c r="B647" s="5" t="s">
        <v>1679</v>
      </c>
      <c r="C647" s="5" t="s">
        <v>35</v>
      </c>
      <c r="D647" s="5" t="s">
        <v>36</v>
      </c>
      <c r="E647" s="5" t="s">
        <v>63</v>
      </c>
      <c r="F647" s="9">
        <v>101</v>
      </c>
      <c r="G647" s="9">
        <v>1092</v>
      </c>
      <c r="H647" s="5" t="s">
        <v>20</v>
      </c>
      <c r="I647" s="5" t="s">
        <v>1680</v>
      </c>
      <c r="J647" s="12" t="str">
        <f>HYPERLINK("https://www.boe.es/gazeta/dias/1805/12/17/pdfs/GMD-1805-101.pdf#page=8","Abrir facsímil")</f>
        <v>Abrir facsímil</v>
      </c>
      <c r="K647" s="15" t="s">
        <v>22</v>
      </c>
    </row>
    <row r="648" spans="1:11" ht="42" customHeight="1">
      <c r="A648" s="4" t="s">
        <v>1681</v>
      </c>
      <c r="B648" s="5" t="s">
        <v>1681</v>
      </c>
      <c r="C648" s="5" t="s">
        <v>29</v>
      </c>
      <c r="D648" s="5" t="s">
        <v>30</v>
      </c>
      <c r="E648" s="5" t="s">
        <v>399</v>
      </c>
      <c r="F648" s="9">
        <v>39</v>
      </c>
      <c r="G648" s="9">
        <v>413</v>
      </c>
      <c r="H648" s="5" t="s">
        <v>20</v>
      </c>
      <c r="I648" s="5" t="s">
        <v>1682</v>
      </c>
      <c r="J648" s="12" t="str">
        <f>HYPERLINK("https://www.boe.es/gazeta/dias/1805/05/14/pdfs/GMD-1805-39.pdf#page=1","Abrir facsímil")</f>
        <v>Abrir facsímil</v>
      </c>
      <c r="K648" s="15" t="s">
        <v>22</v>
      </c>
    </row>
    <row r="649" spans="1:11" ht="42" customHeight="1">
      <c r="A649" s="4" t="s">
        <v>1683</v>
      </c>
      <c r="B649" s="5" t="s">
        <v>1684</v>
      </c>
      <c r="C649" s="5" t="s">
        <v>35</v>
      </c>
      <c r="D649" s="5" t="s">
        <v>36</v>
      </c>
      <c r="E649" s="5" t="s">
        <v>114</v>
      </c>
      <c r="F649" s="9">
        <v>17</v>
      </c>
      <c r="G649" s="9">
        <v>176</v>
      </c>
      <c r="H649" s="5" t="s">
        <v>20</v>
      </c>
      <c r="I649" s="5" t="s">
        <v>1685</v>
      </c>
      <c r="J649" s="12" t="str">
        <f>HYPERLINK("https://www.boe.es/gazeta/dias/1805/02/26/pdfs/GMD-1805-17.pdf#page=8","Abrir facsímil")</f>
        <v>Abrir facsímil</v>
      </c>
      <c r="K649" s="15" t="s">
        <v>22</v>
      </c>
    </row>
    <row r="650" spans="1:11" ht="42" customHeight="1">
      <c r="A650" s="4" t="s">
        <v>1686</v>
      </c>
      <c r="B650" s="5" t="s">
        <v>1687</v>
      </c>
      <c r="C650" s="5" t="s">
        <v>35</v>
      </c>
      <c r="D650" s="5" t="s">
        <v>36</v>
      </c>
      <c r="E650" s="5" t="s">
        <v>261</v>
      </c>
      <c r="F650" s="9">
        <v>18</v>
      </c>
      <c r="G650" s="9">
        <v>185</v>
      </c>
      <c r="H650" s="5" t="s">
        <v>20</v>
      </c>
      <c r="I650" s="5" t="s">
        <v>1688</v>
      </c>
      <c r="J650" s="12" t="str">
        <f>HYPERLINK("https://www.boe.es/gazeta/dias/1805/03/01/pdfs/GMD-1805-18.pdf#page=5","Abrir facsímil")</f>
        <v>Abrir facsímil</v>
      </c>
      <c r="K650" s="15" t="s">
        <v>22</v>
      </c>
    </row>
    <row r="651" spans="1:11" ht="42" customHeight="1">
      <c r="A651" s="4" t="s">
        <v>1689</v>
      </c>
      <c r="B651" s="5" t="s">
        <v>1690</v>
      </c>
      <c r="C651" s="5" t="s">
        <v>35</v>
      </c>
      <c r="D651" s="5" t="s">
        <v>36</v>
      </c>
      <c r="E651" s="5" t="s">
        <v>286</v>
      </c>
      <c r="F651" s="9">
        <v>48</v>
      </c>
      <c r="G651" s="9">
        <v>520</v>
      </c>
      <c r="H651" s="5" t="s">
        <v>20</v>
      </c>
      <c r="I651" s="5" t="s">
        <v>1691</v>
      </c>
      <c r="J651" s="12" t="str">
        <f>HYPERLINK("https://www.boe.es/gazeta/dias/1805/06/14/pdfs/GMD-1805-48.pdf#page=8","Abrir facsímil")</f>
        <v>Abrir facsímil</v>
      </c>
      <c r="K651" s="15" t="s">
        <v>22</v>
      </c>
    </row>
    <row r="652" spans="1:11" ht="42" customHeight="1">
      <c r="A652" s="4" t="s">
        <v>1692</v>
      </c>
      <c r="B652" s="5" t="s">
        <v>1693</v>
      </c>
      <c r="C652" s="5" t="s">
        <v>35</v>
      </c>
      <c r="D652" s="5" t="s">
        <v>36</v>
      </c>
      <c r="E652" s="5" t="s">
        <v>63</v>
      </c>
      <c r="F652" s="9">
        <v>101</v>
      </c>
      <c r="G652" s="9">
        <v>1093</v>
      </c>
      <c r="H652" s="5" t="s">
        <v>20</v>
      </c>
      <c r="I652" s="5" t="s">
        <v>1694</v>
      </c>
      <c r="J652" s="12" t="str">
        <f>HYPERLINK("https://www.boe.es/gazeta/dias/1805/12/17/pdfs/GMD-1805-101.pdf#page=9","Abrir facsímil")</f>
        <v>Abrir facsímil</v>
      </c>
      <c r="K652" s="15" t="s">
        <v>22</v>
      </c>
    </row>
    <row r="653" spans="1:11" ht="42" customHeight="1">
      <c r="A653" s="4" t="s">
        <v>1695</v>
      </c>
      <c r="B653" s="5" t="s">
        <v>1696</v>
      </c>
      <c r="C653" s="5" t="s">
        <v>80</v>
      </c>
      <c r="D653" s="5" t="s">
        <v>81</v>
      </c>
      <c r="E653" s="5" t="s">
        <v>673</v>
      </c>
      <c r="F653" s="9">
        <v>32</v>
      </c>
      <c r="G653" s="9">
        <v>341</v>
      </c>
      <c r="H653" s="5" t="s">
        <v>20</v>
      </c>
      <c r="I653" s="5" t="s">
        <v>1697</v>
      </c>
      <c r="J653" s="12" t="str">
        <f>HYPERLINK("https://www.boe.es/gazeta/dias/1805/04/19/pdfs/GMD-1805-32.pdf#page=5","Abrir facsímil")</f>
        <v>Abrir facsímil</v>
      </c>
      <c r="K653" s="15" t="s">
        <v>22</v>
      </c>
    </row>
    <row r="654" spans="1:11" ht="42" customHeight="1">
      <c r="A654" s="4" t="s">
        <v>1698</v>
      </c>
      <c r="B654" s="5" t="s">
        <v>1699</v>
      </c>
      <c r="C654" s="5" t="s">
        <v>35</v>
      </c>
      <c r="D654" s="5" t="s">
        <v>36</v>
      </c>
      <c r="E654" s="5" t="s">
        <v>213</v>
      </c>
      <c r="F654" s="9">
        <v>56</v>
      </c>
      <c r="G654" s="9">
        <v>593</v>
      </c>
      <c r="H654" s="5" t="s">
        <v>20</v>
      </c>
      <c r="I654" s="5" t="s">
        <v>1700</v>
      </c>
      <c r="J654" s="12" t="str">
        <f>HYPERLINK("https://www.boe.es/gazeta/dias/1805/07/12/pdfs/GMD-1805-56.pdf#page=1","Abrir facsímil")</f>
        <v>Abrir facsímil</v>
      </c>
      <c r="K654" s="15" t="s">
        <v>22</v>
      </c>
    </row>
    <row r="655" spans="1:11" ht="42" customHeight="1">
      <c r="A655" s="4" t="s">
        <v>1701</v>
      </c>
      <c r="B655" s="5" t="s">
        <v>1702</v>
      </c>
      <c r="C655" s="5" t="s">
        <v>35</v>
      </c>
      <c r="D655" s="5" t="s">
        <v>36</v>
      </c>
      <c r="E655" s="5" t="s">
        <v>399</v>
      </c>
      <c r="F655" s="9">
        <v>39</v>
      </c>
      <c r="G655" s="9">
        <v>422</v>
      </c>
      <c r="H655" s="5" t="s">
        <v>20</v>
      </c>
      <c r="I655" s="5" t="s">
        <v>1703</v>
      </c>
      <c r="J655" s="12" t="str">
        <f>HYPERLINK("https://www.boe.es/gazeta/dias/1805/05/14/pdfs/GMD-1805-39.pdf#page=10","Abrir facsímil")</f>
        <v>Abrir facsímil</v>
      </c>
      <c r="K655" s="15" t="s">
        <v>22</v>
      </c>
    </row>
    <row r="656" spans="1:11" ht="42" customHeight="1">
      <c r="A656" s="4" t="s">
        <v>1704</v>
      </c>
      <c r="B656" s="5" t="s">
        <v>1705</v>
      </c>
      <c r="C656" s="5" t="s">
        <v>17</v>
      </c>
      <c r="D656" s="5" t="s">
        <v>18</v>
      </c>
      <c r="E656" s="5" t="s">
        <v>787</v>
      </c>
      <c r="F656" s="9">
        <v>95</v>
      </c>
      <c r="G656" s="9">
        <v>1018</v>
      </c>
      <c r="H656" s="5" t="s">
        <v>20</v>
      </c>
      <c r="I656" s="5" t="s">
        <v>1706</v>
      </c>
      <c r="J656" s="12" t="str">
        <f>HYPERLINK("https://www.boe.es/gazeta/dias/1805/11/26/pdfs/GMD-1805-95.pdf#page=6","Abrir facsímil")</f>
        <v>Abrir facsímil</v>
      </c>
      <c r="K656" s="15" t="s">
        <v>22</v>
      </c>
    </row>
    <row r="657" spans="1:11" ht="42" customHeight="1">
      <c r="A657" s="4" t="s">
        <v>1707</v>
      </c>
      <c r="B657" s="5" t="s">
        <v>1708</v>
      </c>
      <c r="C657" s="5" t="s">
        <v>52</v>
      </c>
      <c r="D657" s="5" t="s">
        <v>53</v>
      </c>
      <c r="E657" s="5" t="s">
        <v>54</v>
      </c>
      <c r="F657" s="9">
        <v>99</v>
      </c>
      <c r="G657" s="9" t="s">
        <v>222</v>
      </c>
      <c r="H657" s="5" t="s">
        <v>20</v>
      </c>
      <c r="I657" s="5" t="s">
        <v>1709</v>
      </c>
      <c r="J657" s="12" t="str">
        <f>HYPERLINK("https://www.boe.es/gazeta/dias/1805/12/10/pdfs/GMD-C-1805-99.pdf#page=1","Abrir facsímil")</f>
        <v>Abrir facsímil</v>
      </c>
      <c r="K657" s="15" t="s">
        <v>22</v>
      </c>
    </row>
    <row r="658" spans="1:11" ht="42" customHeight="1">
      <c r="A658" s="4" t="s">
        <v>1710</v>
      </c>
      <c r="B658" s="5" t="s">
        <v>1711</v>
      </c>
      <c r="C658" s="5" t="s">
        <v>17</v>
      </c>
      <c r="D658" s="5" t="s">
        <v>18</v>
      </c>
      <c r="E658" s="5" t="s">
        <v>107</v>
      </c>
      <c r="F658" s="9">
        <v>19</v>
      </c>
      <c r="G658" s="9">
        <v>197</v>
      </c>
      <c r="H658" s="5" t="s">
        <v>20</v>
      </c>
      <c r="I658" s="5" t="s">
        <v>1712</v>
      </c>
      <c r="J658" s="12" t="str">
        <f>HYPERLINK("https://www.boe.es/gazeta/dias/1805/03/05/pdfs/GMD-1805-19.pdf#page=9","Abrir facsímil")</f>
        <v>Abrir facsímil</v>
      </c>
      <c r="K658" s="15" t="s">
        <v>22</v>
      </c>
    </row>
    <row r="659" spans="1:11" ht="42" customHeight="1">
      <c r="A659" s="4" t="s">
        <v>1713</v>
      </c>
      <c r="B659" s="5" t="s">
        <v>1714</v>
      </c>
      <c r="C659" s="5" t="s">
        <v>35</v>
      </c>
      <c r="D659" s="5" t="s">
        <v>36</v>
      </c>
      <c r="E659" s="5" t="s">
        <v>67</v>
      </c>
      <c r="F659" s="9">
        <v>98</v>
      </c>
      <c r="G659" s="9">
        <v>1059</v>
      </c>
      <c r="H659" s="5" t="s">
        <v>20</v>
      </c>
      <c r="I659" s="5" t="s">
        <v>1715</v>
      </c>
      <c r="J659" s="12" t="str">
        <f>HYPERLINK("https://www.boe.es/gazeta/dias/1805/12/06/pdfs/GMD-1805-98.pdf#page=11","Abrir facsímil")</f>
        <v>Abrir facsímil</v>
      </c>
      <c r="K659" s="15" t="s">
        <v>22</v>
      </c>
    </row>
    <row r="660" spans="1:11" ht="42" customHeight="1">
      <c r="A660" s="4" t="s">
        <v>1716</v>
      </c>
      <c r="B660" s="5" t="s">
        <v>1717</v>
      </c>
      <c r="C660" s="5" t="s">
        <v>80</v>
      </c>
      <c r="D660" s="5" t="s">
        <v>81</v>
      </c>
      <c r="E660" s="5" t="s">
        <v>276</v>
      </c>
      <c r="F660" s="9">
        <v>51</v>
      </c>
      <c r="G660" s="9">
        <v>547</v>
      </c>
      <c r="H660" s="5" t="s">
        <v>20</v>
      </c>
      <c r="I660" s="5" t="s">
        <v>1718</v>
      </c>
      <c r="J660" s="12" t="str">
        <f>HYPERLINK("https://www.boe.es/gazeta/dias/1805/06/25/pdfs/GMD-1805-51.pdf#page=3","Abrir facsímil")</f>
        <v>Abrir facsímil</v>
      </c>
      <c r="K660" s="15" t="s">
        <v>22</v>
      </c>
    </row>
    <row r="661" spans="1:11" ht="42" customHeight="1">
      <c r="A661" s="4" t="s">
        <v>1716</v>
      </c>
      <c r="B661" s="5" t="s">
        <v>1717</v>
      </c>
      <c r="C661" s="5" t="s">
        <v>80</v>
      </c>
      <c r="D661" s="5" t="s">
        <v>81</v>
      </c>
      <c r="E661" s="5" t="s">
        <v>831</v>
      </c>
      <c r="F661" s="9">
        <v>62</v>
      </c>
      <c r="G661" s="9">
        <v>659</v>
      </c>
      <c r="H661" s="5" t="s">
        <v>20</v>
      </c>
      <c r="I661" s="5" t="s">
        <v>1719</v>
      </c>
      <c r="J661" s="12" t="str">
        <f>HYPERLINK("https://www.boe.es/gazeta/dias/1805/08/02/pdfs/GMD-1805-62.pdf#page=3","Abrir facsímil")</f>
        <v>Abrir facsímil</v>
      </c>
      <c r="K661" s="15" t="s">
        <v>22</v>
      </c>
    </row>
    <row r="662" spans="1:11" ht="42" customHeight="1">
      <c r="A662" s="4" t="s">
        <v>1716</v>
      </c>
      <c r="B662" s="5" t="s">
        <v>1717</v>
      </c>
      <c r="C662" s="5" t="s">
        <v>80</v>
      </c>
      <c r="D662" s="5" t="s">
        <v>81</v>
      </c>
      <c r="E662" s="5" t="s">
        <v>585</v>
      </c>
      <c r="F662" s="9">
        <v>64</v>
      </c>
      <c r="G662" s="9">
        <v>679</v>
      </c>
      <c r="H662" s="5" t="s">
        <v>20</v>
      </c>
      <c r="I662" s="5" t="s">
        <v>1720</v>
      </c>
      <c r="J662" s="12" t="str">
        <f>HYPERLINK("https://www.boe.es/gazeta/dias/1805/08/09/pdfs/GMD-1805-64.pdf#page=3","Abrir facsímil")</f>
        <v>Abrir facsímil</v>
      </c>
      <c r="K662" s="15" t="s">
        <v>22</v>
      </c>
    </row>
    <row r="663" spans="1:11" ht="42" customHeight="1">
      <c r="A663" s="4" t="s">
        <v>1716</v>
      </c>
      <c r="B663" s="5" t="s">
        <v>1717</v>
      </c>
      <c r="C663" s="5" t="s">
        <v>80</v>
      </c>
      <c r="D663" s="5" t="s">
        <v>81</v>
      </c>
      <c r="E663" s="5" t="s">
        <v>886</v>
      </c>
      <c r="F663" s="9">
        <v>93</v>
      </c>
      <c r="G663" s="9">
        <v>991</v>
      </c>
      <c r="H663" s="5" t="s">
        <v>20</v>
      </c>
      <c r="I663" s="5" t="s">
        <v>1721</v>
      </c>
      <c r="J663" s="12" t="str">
        <f>HYPERLINK("https://www.boe.es/gazeta/dias/1805/11/19/pdfs/GMD-1805-93.pdf#page=3","Abrir facsímil")</f>
        <v>Abrir facsímil</v>
      </c>
      <c r="K663" s="15" t="s">
        <v>22</v>
      </c>
    </row>
    <row r="664" spans="1:11" ht="42" customHeight="1">
      <c r="A664" s="4" t="s">
        <v>1722</v>
      </c>
      <c r="B664" s="5" t="s">
        <v>1723</v>
      </c>
      <c r="C664" s="5" t="s">
        <v>85</v>
      </c>
      <c r="D664" s="5" t="s">
        <v>86</v>
      </c>
      <c r="E664" s="5" t="s">
        <v>37</v>
      </c>
      <c r="F664" s="9">
        <v>54</v>
      </c>
      <c r="G664" s="9">
        <v>579</v>
      </c>
      <c r="H664" s="5" t="s">
        <v>20</v>
      </c>
      <c r="I664" s="5" t="s">
        <v>1724</v>
      </c>
      <c r="J664" s="12" t="str">
        <f>HYPERLINK("https://www.boe.es/gazeta/dias/1805/07/05/pdfs/GMD-1805-54.pdf#page=7","Abrir facsímil")</f>
        <v>Abrir facsímil</v>
      </c>
      <c r="K664" s="15" t="s">
        <v>22</v>
      </c>
    </row>
    <row r="665" spans="1:11" ht="42" customHeight="1">
      <c r="A665" s="4" t="s">
        <v>1725</v>
      </c>
      <c r="B665" s="5" t="s">
        <v>1725</v>
      </c>
      <c r="C665" s="5" t="s">
        <v>17</v>
      </c>
      <c r="D665" s="5" t="s">
        <v>18</v>
      </c>
      <c r="E665" s="5" t="s">
        <v>163</v>
      </c>
      <c r="F665" s="9">
        <v>77</v>
      </c>
      <c r="G665" s="9">
        <v>819</v>
      </c>
      <c r="H665" s="5" t="s">
        <v>20</v>
      </c>
      <c r="I665" s="5" t="s">
        <v>1726</v>
      </c>
      <c r="J665" s="12" t="str">
        <f>HYPERLINK("https://www.boe.es/gazeta/dias/1805/09/24/pdfs/GMD-1805-77.pdf#page=11","Abrir facsímil")</f>
        <v>Abrir facsímil</v>
      </c>
      <c r="K665" s="15" t="s">
        <v>22</v>
      </c>
    </row>
    <row r="666" spans="1:11" ht="42" customHeight="1">
      <c r="A666" s="4" t="s">
        <v>1727</v>
      </c>
      <c r="B666" s="5" t="s">
        <v>1727</v>
      </c>
      <c r="C666" s="5" t="s">
        <v>29</v>
      </c>
      <c r="D666" s="5" t="s">
        <v>30</v>
      </c>
      <c r="E666" s="5" t="s">
        <v>273</v>
      </c>
      <c r="F666" s="9">
        <v>8</v>
      </c>
      <c r="G666" s="9">
        <v>92</v>
      </c>
      <c r="H666" s="5" t="s">
        <v>20</v>
      </c>
      <c r="I666" s="5" t="s">
        <v>1728</v>
      </c>
      <c r="J666" s="12" t="str">
        <f>HYPERLINK("https://www.boe.es/gazeta/dias/1805/01/25/pdfs/GMD-1805-8.pdf#page=12","Abrir facsímil")</f>
        <v>Abrir facsímil</v>
      </c>
      <c r="K666" s="15" t="s">
        <v>22</v>
      </c>
    </row>
    <row r="667" spans="1:11" ht="42" customHeight="1">
      <c r="A667" s="4" t="s">
        <v>1727</v>
      </c>
      <c r="B667" s="5" t="s">
        <v>1727</v>
      </c>
      <c r="C667" s="5" t="s">
        <v>29</v>
      </c>
      <c r="D667" s="5" t="s">
        <v>30</v>
      </c>
      <c r="E667" s="5" t="s">
        <v>24</v>
      </c>
      <c r="F667" s="9">
        <v>11</v>
      </c>
      <c r="G667" s="9">
        <v>123</v>
      </c>
      <c r="H667" s="5" t="s">
        <v>20</v>
      </c>
      <c r="I667" s="5" t="s">
        <v>1729</v>
      </c>
      <c r="J667" s="12" t="str">
        <f>HYPERLINK("https://www.boe.es/gazeta/dias/1805/02/05/pdfs/GMD-1805-11.pdf#page=11","Abrir facsímil")</f>
        <v>Abrir facsímil</v>
      </c>
      <c r="K667" s="15" t="s">
        <v>22</v>
      </c>
    </row>
    <row r="668" spans="1:11" ht="42" customHeight="1">
      <c r="A668" s="4" t="s">
        <v>1727</v>
      </c>
      <c r="B668" s="5" t="s">
        <v>1727</v>
      </c>
      <c r="C668" s="5" t="s">
        <v>29</v>
      </c>
      <c r="D668" s="5" t="s">
        <v>30</v>
      </c>
      <c r="E668" s="5" t="s">
        <v>281</v>
      </c>
      <c r="F668" s="9">
        <v>15</v>
      </c>
      <c r="G668" s="9">
        <v>160</v>
      </c>
      <c r="H668" s="5" t="s">
        <v>20</v>
      </c>
      <c r="I668" s="5" t="s">
        <v>1730</v>
      </c>
      <c r="J668" s="12" t="str">
        <f>HYPERLINK("https://www.boe.es/gazeta/dias/1805/02/19/pdfs/GMD-1805-15.pdf#page=12","Abrir facsímil")</f>
        <v>Abrir facsímil</v>
      </c>
      <c r="K668" s="15" t="s">
        <v>22</v>
      </c>
    </row>
    <row r="669" spans="1:11" ht="42" customHeight="1">
      <c r="A669" s="4" t="s">
        <v>1731</v>
      </c>
      <c r="B669" s="5" t="s">
        <v>1732</v>
      </c>
      <c r="C669" s="5" t="s">
        <v>85</v>
      </c>
      <c r="D669" s="5" t="s">
        <v>86</v>
      </c>
      <c r="E669" s="5" t="s">
        <v>539</v>
      </c>
      <c r="F669" s="9">
        <v>97</v>
      </c>
      <c r="G669" s="9">
        <v>1043</v>
      </c>
      <c r="H669" s="5" t="s">
        <v>20</v>
      </c>
      <c r="I669" s="5" t="s">
        <v>1733</v>
      </c>
      <c r="J669" s="12" t="str">
        <f>HYPERLINK("https://www.boe.es/gazeta/dias/1805/12/03/pdfs/GMD-1805-97.pdf#page=7","Abrir facsímil")</f>
        <v>Abrir facsímil</v>
      </c>
      <c r="K669" s="15" t="s">
        <v>22</v>
      </c>
    </row>
    <row r="670" spans="1:11" ht="42" customHeight="1">
      <c r="A670" s="4" t="s">
        <v>1734</v>
      </c>
      <c r="B670" s="5" t="s">
        <v>1735</v>
      </c>
      <c r="C670" s="5" t="s">
        <v>35</v>
      </c>
      <c r="D670" s="5" t="s">
        <v>36</v>
      </c>
      <c r="E670" s="5" t="s">
        <v>850</v>
      </c>
      <c r="F670" s="9">
        <v>42</v>
      </c>
      <c r="G670" s="9">
        <v>453</v>
      </c>
      <c r="H670" s="5" t="s">
        <v>20</v>
      </c>
      <c r="I670" s="5" t="s">
        <v>1736</v>
      </c>
      <c r="J670" s="12" t="str">
        <f>HYPERLINK("https://www.boe.es/gazeta/dias/1805/05/24/pdfs/GMD-1805-42.pdf#page=9","Abrir facsímil")</f>
        <v>Abrir facsímil</v>
      </c>
      <c r="K670" s="15" t="s">
        <v>22</v>
      </c>
    </row>
    <row r="671" spans="1:11" ht="42" customHeight="1">
      <c r="A671" s="4" t="s">
        <v>1737</v>
      </c>
      <c r="B671" s="5" t="s">
        <v>1738</v>
      </c>
      <c r="C671" s="5" t="s">
        <v>35</v>
      </c>
      <c r="D671" s="5" t="s">
        <v>36</v>
      </c>
      <c r="E671" s="5" t="s">
        <v>300</v>
      </c>
      <c r="F671" s="9">
        <v>81</v>
      </c>
      <c r="G671" s="9">
        <v>858</v>
      </c>
      <c r="H671" s="5" t="s">
        <v>20</v>
      </c>
      <c r="I671" s="5" t="s">
        <v>1739</v>
      </c>
      <c r="J671" s="12" t="str">
        <f>HYPERLINK("https://www.boe.es/gazeta/dias/1805/10/08/pdfs/GMD-1805-81.pdf#page=6","Abrir facsímil")</f>
        <v>Abrir facsímil</v>
      </c>
      <c r="K671" s="15" t="s">
        <v>22</v>
      </c>
    </row>
    <row r="672" spans="1:11" ht="42" customHeight="1">
      <c r="A672" s="4" t="s">
        <v>1740</v>
      </c>
      <c r="B672" s="5" t="s">
        <v>1741</v>
      </c>
      <c r="C672" s="5" t="s">
        <v>52</v>
      </c>
      <c r="D672" s="5" t="s">
        <v>53</v>
      </c>
      <c r="E672" s="5" t="s">
        <v>144</v>
      </c>
      <c r="F672" s="9">
        <v>85</v>
      </c>
      <c r="G672" s="9" t="s">
        <v>159</v>
      </c>
      <c r="H672" s="5" t="s">
        <v>20</v>
      </c>
      <c r="I672" s="5" t="s">
        <v>1742</v>
      </c>
      <c r="J672" s="12" t="str">
        <f>HYPERLINK("https://www.boe.es/gazeta/dias/1805/10/22/pdfs/GMD-C-1805-85.pdf#page=3","Abrir facsímil")</f>
        <v>Abrir facsímil</v>
      </c>
      <c r="K672" s="15" t="s">
        <v>22</v>
      </c>
    </row>
    <row r="673" spans="1:11" ht="42" customHeight="1">
      <c r="A673" s="4" t="s">
        <v>1743</v>
      </c>
      <c r="B673" s="5" t="s">
        <v>1744</v>
      </c>
      <c r="C673" s="5" t="s">
        <v>35</v>
      </c>
      <c r="D673" s="5" t="s">
        <v>36</v>
      </c>
      <c r="E673" s="5" t="s">
        <v>506</v>
      </c>
      <c r="F673" s="9">
        <v>80</v>
      </c>
      <c r="G673" s="9">
        <v>848</v>
      </c>
      <c r="H673" s="5" t="s">
        <v>20</v>
      </c>
      <c r="I673" s="5" t="s">
        <v>1745</v>
      </c>
      <c r="J673" s="12" t="str">
        <f>HYPERLINK("https://www.boe.es/gazeta/dias/1805/10/04/pdfs/GMD-1805-80.pdf#page=8","Abrir facsímil")</f>
        <v>Abrir facsímil</v>
      </c>
      <c r="K673" s="15" t="s">
        <v>22</v>
      </c>
    </row>
    <row r="674" spans="1:11" ht="42" customHeight="1">
      <c r="A674" s="4" t="s">
        <v>1746</v>
      </c>
      <c r="B674" s="5" t="s">
        <v>1746</v>
      </c>
      <c r="C674" s="5" t="s">
        <v>80</v>
      </c>
      <c r="D674" s="5" t="s">
        <v>81</v>
      </c>
      <c r="E674" s="5" t="s">
        <v>132</v>
      </c>
      <c r="F674" s="9">
        <v>2</v>
      </c>
      <c r="G674" s="9">
        <v>16</v>
      </c>
      <c r="H674" s="5" t="s">
        <v>20</v>
      </c>
      <c r="I674" s="5" t="s">
        <v>1747</v>
      </c>
      <c r="J674" s="12" t="str">
        <f>HYPERLINK("https://www.boe.es/gazeta/dias/1805/01/04/pdfs/GMD-1805-2.pdf#page=4","Abrir facsímil")</f>
        <v>Abrir facsímil</v>
      </c>
      <c r="K674" s="15" t="s">
        <v>22</v>
      </c>
    </row>
    <row r="675" spans="1:11" ht="42" customHeight="1">
      <c r="A675" s="4" t="s">
        <v>1748</v>
      </c>
      <c r="B675" s="5" t="s">
        <v>1749</v>
      </c>
      <c r="C675" s="5" t="s">
        <v>85</v>
      </c>
      <c r="D675" s="5" t="s">
        <v>86</v>
      </c>
      <c r="E675" s="5" t="s">
        <v>649</v>
      </c>
      <c r="F675" s="9">
        <v>7</v>
      </c>
      <c r="G675" s="9">
        <v>79</v>
      </c>
      <c r="H675" s="5" t="s">
        <v>20</v>
      </c>
      <c r="I675" s="5" t="s">
        <v>1750</v>
      </c>
      <c r="J675" s="12" t="str">
        <f>HYPERLINK("https://www.boe.es/gazeta/dias/1805/01/22/pdfs/GMD-1805-7.pdf#page=11","Abrir facsímil")</f>
        <v>Abrir facsímil</v>
      </c>
      <c r="K675" s="15" t="s">
        <v>22</v>
      </c>
    </row>
    <row r="676" spans="1:11" ht="42" customHeight="1">
      <c r="A676" s="4" t="s">
        <v>1748</v>
      </c>
      <c r="B676" s="5" t="s">
        <v>1749</v>
      </c>
      <c r="C676" s="5" t="s">
        <v>184</v>
      </c>
      <c r="D676" s="5" t="s">
        <v>86</v>
      </c>
      <c r="E676" s="5" t="s">
        <v>44</v>
      </c>
      <c r="F676" s="9">
        <v>29</v>
      </c>
      <c r="G676" s="9">
        <v>314</v>
      </c>
      <c r="H676" s="5" t="s">
        <v>20</v>
      </c>
      <c r="I676" s="5" t="s">
        <v>1751</v>
      </c>
      <c r="J676" s="12" t="str">
        <f>HYPERLINK("https://www.boe.es/gazeta/dias/1805/04/09/pdfs/GMD-1805-29.pdf#page=10","Abrir facsímil")</f>
        <v>Abrir facsímil</v>
      </c>
      <c r="K676" s="15" t="s">
        <v>22</v>
      </c>
    </row>
    <row r="677" spans="1:11" ht="42" customHeight="1">
      <c r="A677" s="4" t="s">
        <v>1752</v>
      </c>
      <c r="B677" s="5" t="s">
        <v>1753</v>
      </c>
      <c r="C677" s="5" t="s">
        <v>184</v>
      </c>
      <c r="D677" s="5" t="s">
        <v>86</v>
      </c>
      <c r="E677" s="5" t="s">
        <v>645</v>
      </c>
      <c r="F677" s="9">
        <v>55</v>
      </c>
      <c r="G677" s="9">
        <v>588</v>
      </c>
      <c r="H677" s="5" t="s">
        <v>20</v>
      </c>
      <c r="I677" s="5" t="s">
        <v>1754</v>
      </c>
      <c r="J677" s="12" t="str">
        <f>HYPERLINK("https://www.boe.es/gazeta/dias/1805/07/09/pdfs/GMD-1805-55.pdf#page=8","Abrir facsímil")</f>
        <v>Abrir facsímil</v>
      </c>
      <c r="K677" s="15" t="s">
        <v>22</v>
      </c>
    </row>
    <row r="678" spans="1:11" ht="42" customHeight="1">
      <c r="A678" s="4" t="s">
        <v>1748</v>
      </c>
      <c r="B678" s="5" t="s">
        <v>1749</v>
      </c>
      <c r="C678" s="5" t="s">
        <v>29</v>
      </c>
      <c r="D678" s="5" t="s">
        <v>30</v>
      </c>
      <c r="E678" s="5" t="s">
        <v>422</v>
      </c>
      <c r="F678" s="9">
        <v>74</v>
      </c>
      <c r="G678" s="9">
        <v>788</v>
      </c>
      <c r="H678" s="5" t="s">
        <v>20</v>
      </c>
      <c r="I678" s="5" t="s">
        <v>1755</v>
      </c>
      <c r="J678" s="12" t="str">
        <f>HYPERLINK("https://www.boe.es/gazeta/dias/1805/09/13/pdfs/GMD-1805-74.pdf#page=12","Abrir facsímil")</f>
        <v>Abrir facsímil</v>
      </c>
      <c r="K678" s="15" t="s">
        <v>22</v>
      </c>
    </row>
    <row r="679" spans="1:11" ht="42" customHeight="1">
      <c r="A679" s="4" t="s">
        <v>1748</v>
      </c>
      <c r="B679" s="5" t="s">
        <v>1749</v>
      </c>
      <c r="C679" s="5" t="s">
        <v>184</v>
      </c>
      <c r="D679" s="5" t="s">
        <v>86</v>
      </c>
      <c r="E679" s="5" t="s">
        <v>506</v>
      </c>
      <c r="F679" s="9">
        <v>80</v>
      </c>
      <c r="G679" s="9">
        <v>851</v>
      </c>
      <c r="H679" s="5" t="s">
        <v>20</v>
      </c>
      <c r="I679" s="5" t="s">
        <v>1756</v>
      </c>
      <c r="J679" s="12" t="str">
        <f>HYPERLINK("https://www.boe.es/gazeta/dias/1805/10/04/pdfs/GMD-1805-80.pdf#page=11","Abrir facsímil")</f>
        <v>Abrir facsímil</v>
      </c>
      <c r="K679" s="15" t="s">
        <v>22</v>
      </c>
    </row>
    <row r="680" spans="1:11" ht="42" customHeight="1">
      <c r="A680" s="4" t="s">
        <v>1757</v>
      </c>
      <c r="B680" s="5" t="s">
        <v>1758</v>
      </c>
      <c r="C680" s="5" t="s">
        <v>85</v>
      </c>
      <c r="D680" s="5" t="s">
        <v>86</v>
      </c>
      <c r="E680" s="5" t="s">
        <v>24</v>
      </c>
      <c r="F680" s="9">
        <v>11</v>
      </c>
      <c r="G680" s="9">
        <v>120</v>
      </c>
      <c r="H680" s="5" t="s">
        <v>20</v>
      </c>
      <c r="I680" s="5" t="s">
        <v>1759</v>
      </c>
      <c r="J680" s="12" t="str">
        <f>HYPERLINK("https://www.boe.es/gazeta/dias/1805/02/05/pdfs/GMD-1805-11.pdf#page=8","Abrir facsímil")</f>
        <v>Abrir facsímil</v>
      </c>
      <c r="K680" s="15" t="s">
        <v>22</v>
      </c>
    </row>
    <row r="681" spans="1:11" ht="42" customHeight="1">
      <c r="A681" s="4" t="s">
        <v>1760</v>
      </c>
      <c r="B681" s="5" t="s">
        <v>1761</v>
      </c>
      <c r="C681" s="5" t="s">
        <v>17</v>
      </c>
      <c r="D681" s="5" t="s">
        <v>18</v>
      </c>
      <c r="E681" s="5" t="s">
        <v>135</v>
      </c>
      <c r="F681" s="9">
        <v>71</v>
      </c>
      <c r="G681" s="9">
        <v>758</v>
      </c>
      <c r="H681" s="5" t="s">
        <v>20</v>
      </c>
      <c r="I681" s="5" t="s">
        <v>1762</v>
      </c>
      <c r="J681" s="12" t="str">
        <f>HYPERLINK("https://www.boe.es/gazeta/dias/1805/09/03/pdfs/GMD-1805-71.pdf#page=10","Abrir facsímil")</f>
        <v>Abrir facsímil</v>
      </c>
      <c r="K681" s="15" t="s">
        <v>22</v>
      </c>
    </row>
    <row r="682" spans="1:11" ht="42" customHeight="1">
      <c r="A682" s="4" t="s">
        <v>1763</v>
      </c>
      <c r="B682" s="5" t="s">
        <v>1764</v>
      </c>
      <c r="C682" s="5" t="s">
        <v>17</v>
      </c>
      <c r="D682" s="5" t="s">
        <v>18</v>
      </c>
      <c r="E682" s="5" t="s">
        <v>135</v>
      </c>
      <c r="F682" s="9">
        <v>71</v>
      </c>
      <c r="G682" s="9">
        <v>758</v>
      </c>
      <c r="H682" s="5" t="s">
        <v>20</v>
      </c>
      <c r="I682" s="5" t="s">
        <v>1765</v>
      </c>
      <c r="J682" s="12" t="str">
        <f>HYPERLINK("https://www.boe.es/gazeta/dias/1805/09/03/pdfs/GMD-1805-71.pdf#page=10","Abrir facsímil")</f>
        <v>Abrir facsímil</v>
      </c>
      <c r="K682" s="15" t="s">
        <v>22</v>
      </c>
    </row>
    <row r="683" spans="1:11" ht="42" customHeight="1">
      <c r="A683" s="4" t="s">
        <v>1766</v>
      </c>
      <c r="B683" s="5" t="s">
        <v>1767</v>
      </c>
      <c r="C683" s="5" t="s">
        <v>52</v>
      </c>
      <c r="D683" s="5" t="s">
        <v>53</v>
      </c>
      <c r="E683" s="5" t="s">
        <v>144</v>
      </c>
      <c r="F683" s="9">
        <v>85</v>
      </c>
      <c r="G683" s="9" t="s">
        <v>222</v>
      </c>
      <c r="H683" s="5" t="s">
        <v>20</v>
      </c>
      <c r="I683" s="5" t="s">
        <v>1768</v>
      </c>
      <c r="J683" s="12" t="str">
        <f>HYPERLINK("https://www.boe.es/gazeta/dias/1805/10/22/pdfs/GMD-C-1805-85.pdf#page=1","Abrir facsímil")</f>
        <v>Abrir facsímil</v>
      </c>
      <c r="K683" s="15" t="s">
        <v>22</v>
      </c>
    </row>
    <row r="684" spans="1:11" ht="42" customHeight="1">
      <c r="A684" s="4" t="s">
        <v>1769</v>
      </c>
      <c r="B684" s="5" t="s">
        <v>1770</v>
      </c>
      <c r="C684" s="5" t="s">
        <v>35</v>
      </c>
      <c r="D684" s="5" t="s">
        <v>36</v>
      </c>
      <c r="E684" s="5" t="s">
        <v>303</v>
      </c>
      <c r="F684" s="9">
        <v>57</v>
      </c>
      <c r="G684" s="9">
        <v>611</v>
      </c>
      <c r="H684" s="5" t="s">
        <v>20</v>
      </c>
      <c r="I684" s="5" t="s">
        <v>1771</v>
      </c>
      <c r="J684" s="12" t="str">
        <f>HYPERLINK("https://www.boe.es/gazeta/dias/1805/07/16/pdfs/GMD-1805-57.pdf#page=7","Abrir facsímil")</f>
        <v>Abrir facsímil</v>
      </c>
      <c r="K684" s="15" t="s">
        <v>22</v>
      </c>
    </row>
    <row r="685" spans="1:11" ht="42" customHeight="1">
      <c r="A685" s="4" t="s">
        <v>1772</v>
      </c>
      <c r="B685" s="5" t="s">
        <v>1773</v>
      </c>
      <c r="C685" s="5" t="s">
        <v>29</v>
      </c>
      <c r="D685" s="5" t="s">
        <v>30</v>
      </c>
      <c r="E685" s="5" t="s">
        <v>303</v>
      </c>
      <c r="F685" s="9">
        <v>57</v>
      </c>
      <c r="G685" s="9">
        <v>615</v>
      </c>
      <c r="H685" s="5" t="s">
        <v>20</v>
      </c>
      <c r="I685" s="5" t="s">
        <v>1774</v>
      </c>
      <c r="J685" s="12" t="str">
        <f>HYPERLINK("https://www.boe.es/gazeta/dias/1805/07/16/pdfs/GMD-1805-57.pdf#page=11","Abrir facsímil")</f>
        <v>Abrir facsímil</v>
      </c>
      <c r="K685" s="15" t="s">
        <v>22</v>
      </c>
    </row>
    <row r="686" spans="1:11" ht="42" customHeight="1">
      <c r="A686" s="4" t="s">
        <v>1775</v>
      </c>
      <c r="B686" s="5" t="s">
        <v>1776</v>
      </c>
      <c r="C686" s="5" t="s">
        <v>85</v>
      </c>
      <c r="D686" s="5" t="s">
        <v>86</v>
      </c>
      <c r="E686" s="5" t="s">
        <v>733</v>
      </c>
      <c r="F686" s="9">
        <v>45</v>
      </c>
      <c r="G686" s="9">
        <v>487</v>
      </c>
      <c r="H686" s="5" t="s">
        <v>20</v>
      </c>
      <c r="I686" s="5" t="s">
        <v>1777</v>
      </c>
      <c r="J686" s="12" t="str">
        <f>HYPERLINK("https://www.boe.es/gazeta/dias/1805/06/04/pdfs/GMD-1805-45.pdf#page=11","Abrir facsímil")</f>
        <v>Abrir facsímil</v>
      </c>
      <c r="K686" s="15" t="s">
        <v>22</v>
      </c>
    </row>
    <row r="687" spans="1:11" ht="42" customHeight="1">
      <c r="A687" s="4" t="s">
        <v>1778</v>
      </c>
      <c r="B687" s="5" t="s">
        <v>1779</v>
      </c>
      <c r="C687" s="5" t="s">
        <v>29</v>
      </c>
      <c r="D687" s="5" t="s">
        <v>30</v>
      </c>
      <c r="E687" s="5" t="s">
        <v>76</v>
      </c>
      <c r="F687" s="9">
        <v>66</v>
      </c>
      <c r="G687" s="9">
        <v>712</v>
      </c>
      <c r="H687" s="5" t="s">
        <v>20</v>
      </c>
      <c r="I687" s="5" t="s">
        <v>1780</v>
      </c>
      <c r="J687" s="12" t="str">
        <f>HYPERLINK("https://www.boe.es/gazeta/dias/1805/08/16/pdfs/GMD-1805-66.pdf#page=12","Abrir facsímil")</f>
        <v>Abrir facsímil</v>
      </c>
      <c r="K687" s="15" t="s">
        <v>22</v>
      </c>
    </row>
    <row r="688" spans="1:11" ht="42" customHeight="1">
      <c r="A688" s="4" t="s">
        <v>1781</v>
      </c>
      <c r="B688" s="5" t="s">
        <v>1782</v>
      </c>
      <c r="C688" s="5" t="s">
        <v>35</v>
      </c>
      <c r="D688" s="5" t="s">
        <v>36</v>
      </c>
      <c r="E688" s="5" t="s">
        <v>44</v>
      </c>
      <c r="F688" s="9">
        <v>29</v>
      </c>
      <c r="G688" s="9">
        <v>312</v>
      </c>
      <c r="H688" s="5" t="s">
        <v>20</v>
      </c>
      <c r="I688" s="5" t="s">
        <v>1783</v>
      </c>
      <c r="J688" s="12" t="str">
        <f>HYPERLINK("https://www.boe.es/gazeta/dias/1805/04/09/pdfs/GMD-1805-29.pdf#page=8","Abrir facsímil")</f>
        <v>Abrir facsímil</v>
      </c>
      <c r="K688" s="15" t="s">
        <v>22</v>
      </c>
    </row>
    <row r="689" spans="1:11" ht="42" customHeight="1">
      <c r="A689" s="4" t="s">
        <v>1784</v>
      </c>
      <c r="B689" s="5" t="s">
        <v>1785</v>
      </c>
      <c r="C689" s="5" t="s">
        <v>35</v>
      </c>
      <c r="D689" s="5" t="s">
        <v>36</v>
      </c>
      <c r="E689" s="5" t="s">
        <v>787</v>
      </c>
      <c r="F689" s="9">
        <v>95</v>
      </c>
      <c r="G689" s="9">
        <v>1022</v>
      </c>
      <c r="H689" s="5" t="s">
        <v>20</v>
      </c>
      <c r="I689" s="5" t="s">
        <v>1786</v>
      </c>
      <c r="J689" s="12" t="str">
        <f>HYPERLINK("https://www.boe.es/gazeta/dias/1805/11/26/pdfs/GMD-1805-95.pdf#page=10","Abrir facsímil")</f>
        <v>Abrir facsímil</v>
      </c>
      <c r="K689" s="15" t="s">
        <v>22</v>
      </c>
    </row>
    <row r="690" spans="1:11" ht="42" customHeight="1">
      <c r="A690" s="4" t="s">
        <v>1787</v>
      </c>
      <c r="B690" s="5" t="s">
        <v>1788</v>
      </c>
      <c r="C690" s="5" t="s">
        <v>35</v>
      </c>
      <c r="D690" s="5" t="s">
        <v>36</v>
      </c>
      <c r="E690" s="5" t="s">
        <v>170</v>
      </c>
      <c r="F690" s="9">
        <v>9</v>
      </c>
      <c r="G690" s="9">
        <v>98</v>
      </c>
      <c r="H690" s="5" t="s">
        <v>20</v>
      </c>
      <c r="I690" s="5" t="s">
        <v>1789</v>
      </c>
      <c r="J690" s="12" t="str">
        <f>HYPERLINK("https://www.boe.es/gazeta/dias/1805/01/29/pdfs/GMD-1805-9.pdf#page=6","Abrir facsímil")</f>
        <v>Abrir facsímil</v>
      </c>
      <c r="K690" s="15" t="s">
        <v>22</v>
      </c>
    </row>
    <row r="691" spans="1:11" ht="42" customHeight="1">
      <c r="A691" s="4" t="s">
        <v>1787</v>
      </c>
      <c r="B691" s="5" t="s">
        <v>1788</v>
      </c>
      <c r="C691" s="5" t="s">
        <v>17</v>
      </c>
      <c r="D691" s="5" t="s">
        <v>18</v>
      </c>
      <c r="E691" s="5" t="s">
        <v>91</v>
      </c>
      <c r="F691" s="9">
        <v>28</v>
      </c>
      <c r="G691" s="9">
        <v>297</v>
      </c>
      <c r="H691" s="5" t="s">
        <v>20</v>
      </c>
      <c r="I691" s="5" t="s">
        <v>1790</v>
      </c>
      <c r="J691" s="12" t="str">
        <f>HYPERLINK("https://www.boe.es/gazeta/dias/1805/04/05/pdfs/GMD-1805-28.pdf#page=5","Abrir facsímil")</f>
        <v>Abrir facsímil</v>
      </c>
      <c r="K691" s="15" t="s">
        <v>22</v>
      </c>
    </row>
    <row r="692" spans="1:11" ht="42" customHeight="1">
      <c r="A692" s="4" t="s">
        <v>1787</v>
      </c>
      <c r="B692" s="5" t="s">
        <v>1788</v>
      </c>
      <c r="C692" s="5" t="s">
        <v>35</v>
      </c>
      <c r="D692" s="5" t="s">
        <v>36</v>
      </c>
      <c r="E692" s="5" t="s">
        <v>854</v>
      </c>
      <c r="F692" s="9">
        <v>46</v>
      </c>
      <c r="G692" s="9">
        <v>494</v>
      </c>
      <c r="H692" s="5" t="s">
        <v>20</v>
      </c>
      <c r="I692" s="5" t="s">
        <v>1791</v>
      </c>
      <c r="J692" s="12" t="str">
        <f>HYPERLINK("https://www.boe.es/gazeta/dias/1805/06/07/pdfs/GMD-1805-46.pdf#page=6","Abrir facsímil")</f>
        <v>Abrir facsímil</v>
      </c>
      <c r="K692" s="15" t="s">
        <v>22</v>
      </c>
    </row>
    <row r="693" spans="1:11" ht="42" customHeight="1">
      <c r="A693" s="4" t="s">
        <v>1787</v>
      </c>
      <c r="B693" s="5" t="s">
        <v>1788</v>
      </c>
      <c r="C693" s="5" t="s">
        <v>17</v>
      </c>
      <c r="D693" s="5" t="s">
        <v>18</v>
      </c>
      <c r="E693" s="5" t="s">
        <v>567</v>
      </c>
      <c r="F693" s="9">
        <v>49</v>
      </c>
      <c r="G693" s="9">
        <v>527</v>
      </c>
      <c r="H693" s="5" t="s">
        <v>20</v>
      </c>
      <c r="I693" s="5" t="s">
        <v>1792</v>
      </c>
      <c r="J693" s="12" t="str">
        <f>HYPERLINK("https://www.boe.es/gazeta/dias/1805/06/18/pdfs/GMD-1805-49.pdf#page=3","Abrir facsímil")</f>
        <v>Abrir facsímil</v>
      </c>
      <c r="K693" s="15" t="s">
        <v>22</v>
      </c>
    </row>
    <row r="694" spans="1:11" ht="42" customHeight="1">
      <c r="A694" s="4" t="s">
        <v>1793</v>
      </c>
      <c r="B694" s="5" t="s">
        <v>1794</v>
      </c>
      <c r="C694" s="5" t="s">
        <v>17</v>
      </c>
      <c r="D694" s="5" t="s">
        <v>18</v>
      </c>
      <c r="E694" s="5" t="s">
        <v>733</v>
      </c>
      <c r="F694" s="9">
        <v>45</v>
      </c>
      <c r="G694" s="9">
        <v>484</v>
      </c>
      <c r="H694" s="5" t="s">
        <v>20</v>
      </c>
      <c r="I694" s="5" t="s">
        <v>1795</v>
      </c>
      <c r="J694" s="12" t="str">
        <f>HYPERLINK("https://www.boe.es/gazeta/dias/1805/06/04/pdfs/GMD-1805-45.pdf#page=8","Abrir facsímil")</f>
        <v>Abrir facsímil</v>
      </c>
      <c r="K694" s="15" t="s">
        <v>22</v>
      </c>
    </row>
    <row r="695" spans="1:11" ht="42" customHeight="1">
      <c r="A695" s="4" t="s">
        <v>1796</v>
      </c>
      <c r="B695" s="5" t="s">
        <v>1797</v>
      </c>
      <c r="C695" s="5" t="s">
        <v>17</v>
      </c>
      <c r="D695" s="5" t="s">
        <v>18</v>
      </c>
      <c r="E695" s="5" t="s">
        <v>1432</v>
      </c>
      <c r="F695" s="9">
        <v>53</v>
      </c>
      <c r="G695" s="9">
        <v>569</v>
      </c>
      <c r="H695" s="5" t="s">
        <v>20</v>
      </c>
      <c r="I695" s="5" t="s">
        <v>1798</v>
      </c>
      <c r="J695" s="12" t="str">
        <f>HYPERLINK("https://www.boe.es/gazeta/dias/1805/07/02/pdfs/GMD-1805-53.pdf#page=5","Abrir facsímil")</f>
        <v>Abrir facsímil</v>
      </c>
      <c r="K695" s="15" t="s">
        <v>22</v>
      </c>
    </row>
    <row r="696" spans="1:11" ht="42" customHeight="1">
      <c r="A696" s="4" t="s">
        <v>1796</v>
      </c>
      <c r="B696" s="5" t="s">
        <v>1797</v>
      </c>
      <c r="C696" s="5" t="s">
        <v>17</v>
      </c>
      <c r="D696" s="5" t="s">
        <v>18</v>
      </c>
      <c r="E696" s="5" t="s">
        <v>135</v>
      </c>
      <c r="F696" s="9">
        <v>71</v>
      </c>
      <c r="G696" s="9">
        <v>753</v>
      </c>
      <c r="H696" s="5" t="s">
        <v>20</v>
      </c>
      <c r="I696" s="5" t="s">
        <v>1799</v>
      </c>
      <c r="J696" s="12" t="str">
        <f>HYPERLINK("https://www.boe.es/gazeta/dias/1805/09/03/pdfs/GMD-1805-71.pdf#page=5","Abrir facsímil")</f>
        <v>Abrir facsímil</v>
      </c>
      <c r="K696" s="15" t="s">
        <v>22</v>
      </c>
    </row>
    <row r="697" spans="1:11" ht="42" customHeight="1">
      <c r="A697" s="4" t="s">
        <v>1800</v>
      </c>
      <c r="B697" s="5" t="s">
        <v>1801</v>
      </c>
      <c r="C697" s="5" t="s">
        <v>35</v>
      </c>
      <c r="D697" s="5" t="s">
        <v>36</v>
      </c>
      <c r="E697" s="5" t="s">
        <v>303</v>
      </c>
      <c r="F697" s="9">
        <v>57</v>
      </c>
      <c r="G697" s="9">
        <v>611</v>
      </c>
      <c r="H697" s="5" t="s">
        <v>20</v>
      </c>
      <c r="I697" s="5" t="s">
        <v>1802</v>
      </c>
      <c r="J697" s="12" t="str">
        <f>HYPERLINK("https://www.boe.es/gazeta/dias/1805/07/16/pdfs/GMD-1805-57.pdf#page=7","Abrir facsímil")</f>
        <v>Abrir facsímil</v>
      </c>
      <c r="K697" s="15" t="s">
        <v>22</v>
      </c>
    </row>
    <row r="698" spans="1:11" ht="42" customHeight="1">
      <c r="A698" s="4" t="s">
        <v>1803</v>
      </c>
      <c r="B698" s="5" t="s">
        <v>1804</v>
      </c>
      <c r="C698" s="5" t="s">
        <v>184</v>
      </c>
      <c r="D698" s="5" t="s">
        <v>86</v>
      </c>
      <c r="E698" s="5" t="s">
        <v>196</v>
      </c>
      <c r="F698" s="9">
        <v>67</v>
      </c>
      <c r="G698" s="9">
        <v>719</v>
      </c>
      <c r="H698" s="5" t="s">
        <v>20</v>
      </c>
      <c r="I698" s="5" t="s">
        <v>1805</v>
      </c>
      <c r="J698" s="12" t="str">
        <f>HYPERLINK("https://www.boe.es/gazeta/dias/1805/08/20/pdfs/GMD-1805-67.pdf#page=7","Abrir facsímil")</f>
        <v>Abrir facsímil</v>
      </c>
      <c r="K698" s="15" t="s">
        <v>22</v>
      </c>
    </row>
    <row r="699" spans="1:11" ht="42" customHeight="1">
      <c r="A699" s="4" t="s">
        <v>1806</v>
      </c>
      <c r="B699" s="5" t="s">
        <v>1807</v>
      </c>
      <c r="C699" s="5" t="s">
        <v>17</v>
      </c>
      <c r="D699" s="5" t="s">
        <v>18</v>
      </c>
      <c r="E699" s="5" t="s">
        <v>63</v>
      </c>
      <c r="F699" s="9">
        <v>101</v>
      </c>
      <c r="G699" s="9">
        <v>1093</v>
      </c>
      <c r="H699" s="5" t="s">
        <v>20</v>
      </c>
      <c r="I699" s="5" t="s">
        <v>1808</v>
      </c>
      <c r="J699" s="12" t="str">
        <f>HYPERLINK("https://www.boe.es/gazeta/dias/1805/12/17/pdfs/GMD-1805-101.pdf#page=9","Abrir facsímil")</f>
        <v>Abrir facsímil</v>
      </c>
      <c r="K699" s="15" t="s">
        <v>22</v>
      </c>
    </row>
    <row r="700" spans="1:11" ht="42" customHeight="1">
      <c r="A700" s="4" t="s">
        <v>1809</v>
      </c>
      <c r="B700" s="5" t="s">
        <v>1810</v>
      </c>
      <c r="C700" s="5" t="s">
        <v>35</v>
      </c>
      <c r="D700" s="5" t="s">
        <v>36</v>
      </c>
      <c r="E700" s="5" t="s">
        <v>63</v>
      </c>
      <c r="F700" s="9">
        <v>101</v>
      </c>
      <c r="G700" s="9">
        <v>1093</v>
      </c>
      <c r="H700" s="5" t="s">
        <v>20</v>
      </c>
      <c r="I700" s="5" t="s">
        <v>1811</v>
      </c>
      <c r="J700" s="12" t="str">
        <f>HYPERLINK("https://www.boe.es/gazeta/dias/1805/12/17/pdfs/GMD-1805-101.pdf#page=9","Abrir facsímil")</f>
        <v>Abrir facsímil</v>
      </c>
      <c r="K700" s="15" t="s">
        <v>22</v>
      </c>
    </row>
    <row r="701" spans="1:11" ht="42" customHeight="1">
      <c r="A701" s="4" t="s">
        <v>1812</v>
      </c>
      <c r="B701" s="5" t="s">
        <v>1813</v>
      </c>
      <c r="C701" s="5" t="s">
        <v>35</v>
      </c>
      <c r="D701" s="5" t="s">
        <v>36</v>
      </c>
      <c r="E701" s="5" t="s">
        <v>226</v>
      </c>
      <c r="F701" s="9">
        <v>73</v>
      </c>
      <c r="G701" s="9">
        <v>774</v>
      </c>
      <c r="H701" s="5" t="s">
        <v>20</v>
      </c>
      <c r="I701" s="5" t="s">
        <v>1814</v>
      </c>
      <c r="J701" s="12" t="str">
        <f>HYPERLINK("https://www.boe.es/gazeta/dias/1805/09/10/pdfs/GMD-1805-73.pdf#page=6","Abrir facsímil")</f>
        <v>Abrir facsímil</v>
      </c>
      <c r="K701" s="15" t="s">
        <v>22</v>
      </c>
    </row>
    <row r="702" spans="1:11" ht="42" customHeight="1">
      <c r="A702" s="4" t="s">
        <v>1815</v>
      </c>
      <c r="B702" s="5" t="s">
        <v>1816</v>
      </c>
      <c r="C702" s="5" t="s">
        <v>184</v>
      </c>
      <c r="D702" s="5" t="s">
        <v>86</v>
      </c>
      <c r="E702" s="5" t="s">
        <v>393</v>
      </c>
      <c r="F702" s="9">
        <v>44</v>
      </c>
      <c r="G702" s="9">
        <v>473</v>
      </c>
      <c r="H702" s="5" t="s">
        <v>20</v>
      </c>
      <c r="I702" s="5" t="s">
        <v>1817</v>
      </c>
      <c r="J702" s="12" t="str">
        <f>HYPERLINK("https://www.boe.es/gazeta/dias/1805/05/31/pdfs/GMD-1805-44.pdf#page=9","Abrir facsímil")</f>
        <v>Abrir facsímil</v>
      </c>
      <c r="K702" s="15" t="s">
        <v>22</v>
      </c>
    </row>
    <row r="703" spans="1:11" ht="42" customHeight="1">
      <c r="A703" s="4" t="s">
        <v>1818</v>
      </c>
      <c r="B703" s="5" t="s">
        <v>1819</v>
      </c>
      <c r="C703" s="5" t="s">
        <v>35</v>
      </c>
      <c r="D703" s="5" t="s">
        <v>36</v>
      </c>
      <c r="E703" s="5" t="s">
        <v>40</v>
      </c>
      <c r="F703" s="9">
        <v>59</v>
      </c>
      <c r="G703" s="9">
        <v>631</v>
      </c>
      <c r="H703" s="5" t="s">
        <v>20</v>
      </c>
      <c r="I703" s="5" t="s">
        <v>1820</v>
      </c>
      <c r="J703" s="12" t="str">
        <f>HYPERLINK("https://www.boe.es/gazeta/dias/1805/07/23/pdfs/GMD-1805-59.pdf#page=7","Abrir facsímil")</f>
        <v>Abrir facsímil</v>
      </c>
      <c r="K703" s="15" t="s">
        <v>22</v>
      </c>
    </row>
    <row r="704" spans="1:11" ht="42" customHeight="1">
      <c r="A704" s="4" t="s">
        <v>1821</v>
      </c>
      <c r="B704" s="5" t="s">
        <v>1822</v>
      </c>
      <c r="C704" s="5" t="s">
        <v>85</v>
      </c>
      <c r="D704" s="5" t="s">
        <v>86</v>
      </c>
      <c r="E704" s="5" t="s">
        <v>192</v>
      </c>
      <c r="F704" s="9">
        <v>105</v>
      </c>
      <c r="G704" s="9">
        <v>1137</v>
      </c>
      <c r="H704" s="5" t="s">
        <v>20</v>
      </c>
      <c r="I704" s="5" t="s">
        <v>1823</v>
      </c>
      <c r="J704" s="12" t="str">
        <f>HYPERLINK("https://www.boe.es/gazeta/dias/1805/12/31/pdfs/GMD-1805-105.pdf#page=9","Abrir facsímil")</f>
        <v>Abrir facsímil</v>
      </c>
      <c r="K704" s="15" t="s">
        <v>22</v>
      </c>
    </row>
    <row r="705" spans="1:11" ht="42" customHeight="1">
      <c r="A705" s="4" t="s">
        <v>1824</v>
      </c>
      <c r="B705" s="5" t="s">
        <v>1825</v>
      </c>
      <c r="C705" s="5" t="s">
        <v>17</v>
      </c>
      <c r="D705" s="5" t="s">
        <v>18</v>
      </c>
      <c r="E705" s="5" t="s">
        <v>365</v>
      </c>
      <c r="F705" s="9">
        <v>3</v>
      </c>
      <c r="G705" s="9">
        <v>31</v>
      </c>
      <c r="H705" s="5" t="s">
        <v>20</v>
      </c>
      <c r="I705" s="5" t="s">
        <v>1826</v>
      </c>
      <c r="J705" s="12" t="str">
        <f>HYPERLINK("https://www.boe.es/gazeta/dias/1805/01/08/pdfs/GMD-1805-3.pdf#page=7","Abrir facsímil")</f>
        <v>Abrir facsímil</v>
      </c>
      <c r="K705" s="15" t="s">
        <v>22</v>
      </c>
    </row>
    <row r="706" spans="1:11" ht="42" customHeight="1">
      <c r="A706" s="4" t="s">
        <v>1827</v>
      </c>
      <c r="B706" s="5" t="s">
        <v>1828</v>
      </c>
      <c r="C706" s="5" t="s">
        <v>52</v>
      </c>
      <c r="D706" s="5" t="s">
        <v>53</v>
      </c>
      <c r="E706" s="5" t="s">
        <v>54</v>
      </c>
      <c r="F706" s="9">
        <v>99</v>
      </c>
      <c r="G706" s="9" t="s">
        <v>222</v>
      </c>
      <c r="H706" s="5" t="s">
        <v>20</v>
      </c>
      <c r="I706" s="5" t="s">
        <v>1829</v>
      </c>
      <c r="J706" s="12" t="str">
        <f>HYPERLINK("https://www.boe.es/gazeta/dias/1805/12/10/pdfs/GMD-C-1805-99.pdf#page=1","Abrir facsímil")</f>
        <v>Abrir facsímil</v>
      </c>
      <c r="K706" s="15" t="s">
        <v>22</v>
      </c>
    </row>
    <row r="707" spans="1:11" ht="42" customHeight="1">
      <c r="A707" s="4" t="s">
        <v>1830</v>
      </c>
      <c r="B707" s="5" t="s">
        <v>1831</v>
      </c>
      <c r="C707" s="5" t="s">
        <v>35</v>
      </c>
      <c r="D707" s="5" t="s">
        <v>36</v>
      </c>
      <c r="E707" s="5" t="s">
        <v>67</v>
      </c>
      <c r="F707" s="9">
        <v>98</v>
      </c>
      <c r="G707" s="9">
        <v>1059</v>
      </c>
      <c r="H707" s="5" t="s">
        <v>20</v>
      </c>
      <c r="I707" s="5" t="s">
        <v>1832</v>
      </c>
      <c r="J707" s="12" t="str">
        <f>HYPERLINK("https://www.boe.es/gazeta/dias/1805/12/06/pdfs/GMD-1805-98.pdf#page=11","Abrir facsímil")</f>
        <v>Abrir facsímil</v>
      </c>
      <c r="K707" s="15" t="s">
        <v>22</v>
      </c>
    </row>
    <row r="708" spans="1:11" ht="42" customHeight="1">
      <c r="A708" s="4" t="s">
        <v>1833</v>
      </c>
      <c r="B708" s="5" t="s">
        <v>1834</v>
      </c>
      <c r="C708" s="5" t="s">
        <v>35</v>
      </c>
      <c r="D708" s="5" t="s">
        <v>36</v>
      </c>
      <c r="E708" s="5" t="s">
        <v>138</v>
      </c>
      <c r="F708" s="9">
        <v>102</v>
      </c>
      <c r="G708" s="9">
        <v>1103</v>
      </c>
      <c r="H708" s="5" t="s">
        <v>20</v>
      </c>
      <c r="I708" s="5" t="s">
        <v>1835</v>
      </c>
      <c r="J708" s="12" t="str">
        <f>HYPERLINK("https://www.boe.es/gazeta/dias/1805/12/20/pdfs/GMD-1805-102.pdf#page=7","Abrir facsímil")</f>
        <v>Abrir facsímil</v>
      </c>
      <c r="K708" s="15" t="s">
        <v>22</v>
      </c>
    </row>
    <row r="709" spans="1:11" ht="42" customHeight="1">
      <c r="A709" s="4" t="s">
        <v>1836</v>
      </c>
      <c r="B709" s="5" t="s">
        <v>1837</v>
      </c>
      <c r="C709" s="5" t="s">
        <v>35</v>
      </c>
      <c r="D709" s="5" t="s">
        <v>36</v>
      </c>
      <c r="E709" s="5" t="s">
        <v>399</v>
      </c>
      <c r="F709" s="9">
        <v>39</v>
      </c>
      <c r="G709" s="9">
        <v>422</v>
      </c>
      <c r="H709" s="5" t="s">
        <v>20</v>
      </c>
      <c r="I709" s="5" t="s">
        <v>1838</v>
      </c>
      <c r="J709" s="12" t="str">
        <f>HYPERLINK("https://www.boe.es/gazeta/dias/1805/05/14/pdfs/GMD-1805-39.pdf#page=10","Abrir facsímil")</f>
        <v>Abrir facsímil</v>
      </c>
      <c r="K709" s="15" t="s">
        <v>22</v>
      </c>
    </row>
    <row r="710" spans="1:11" ht="42" customHeight="1">
      <c r="A710" s="4" t="s">
        <v>1839</v>
      </c>
      <c r="B710" s="5" t="s">
        <v>1840</v>
      </c>
      <c r="C710" s="5" t="s">
        <v>85</v>
      </c>
      <c r="D710" s="5" t="s">
        <v>86</v>
      </c>
      <c r="E710" s="5" t="s">
        <v>196</v>
      </c>
      <c r="F710" s="9">
        <v>67</v>
      </c>
      <c r="G710" s="9">
        <v>717</v>
      </c>
      <c r="H710" s="5" t="s">
        <v>20</v>
      </c>
      <c r="I710" s="5" t="s">
        <v>1841</v>
      </c>
      <c r="J710" s="12" t="str">
        <f>HYPERLINK("https://www.boe.es/gazeta/dias/1805/08/20/pdfs/GMD-1805-67.pdf#page=5","Abrir facsímil")</f>
        <v>Abrir facsímil</v>
      </c>
      <c r="K710" s="15" t="s">
        <v>22</v>
      </c>
    </row>
    <row r="711" spans="1:11" ht="42" customHeight="1">
      <c r="A711" s="4" t="s">
        <v>1842</v>
      </c>
      <c r="B711" s="5" t="s">
        <v>1843</v>
      </c>
      <c r="C711" s="5" t="s">
        <v>35</v>
      </c>
      <c r="D711" s="5" t="s">
        <v>36</v>
      </c>
      <c r="E711" s="5" t="s">
        <v>335</v>
      </c>
      <c r="F711" s="9">
        <v>79</v>
      </c>
      <c r="G711" s="9">
        <v>838</v>
      </c>
      <c r="H711" s="5" t="s">
        <v>20</v>
      </c>
      <c r="I711" s="5" t="s">
        <v>1844</v>
      </c>
      <c r="J711" s="12" t="str">
        <f>HYPERLINK("https://www.boe.es/gazeta/dias/1805/10/01/pdfs/GMD-1805-79.pdf#page=10","Abrir facsímil")</f>
        <v>Abrir facsímil</v>
      </c>
      <c r="K711" s="15" t="s">
        <v>22</v>
      </c>
    </row>
    <row r="712" spans="1:11" ht="42" customHeight="1">
      <c r="A712" s="4" t="s">
        <v>1845</v>
      </c>
      <c r="B712" s="5" t="s">
        <v>1846</v>
      </c>
      <c r="C712" s="5" t="s">
        <v>85</v>
      </c>
      <c r="D712" s="5" t="s">
        <v>86</v>
      </c>
      <c r="E712" s="5" t="s">
        <v>440</v>
      </c>
      <c r="F712" s="9">
        <v>27</v>
      </c>
      <c r="G712" s="9">
        <v>288</v>
      </c>
      <c r="H712" s="5" t="s">
        <v>20</v>
      </c>
      <c r="I712" s="5" t="s">
        <v>1847</v>
      </c>
      <c r="J712" s="12" t="str">
        <f>HYPERLINK("https://www.boe.es/gazeta/dias/1805/04/02/pdfs/GMD-1805-27.pdf#page=8","Abrir facsímil")</f>
        <v>Abrir facsímil</v>
      </c>
      <c r="K712" s="15" t="s">
        <v>22</v>
      </c>
    </row>
    <row r="713" spans="1:11" ht="42" customHeight="1">
      <c r="A713" s="4" t="s">
        <v>1848</v>
      </c>
      <c r="B713" s="5" t="s">
        <v>1848</v>
      </c>
      <c r="C713" s="5" t="s">
        <v>80</v>
      </c>
      <c r="D713" s="5" t="s">
        <v>81</v>
      </c>
      <c r="E713" s="5" t="s">
        <v>135</v>
      </c>
      <c r="F713" s="9">
        <v>71</v>
      </c>
      <c r="G713" s="9">
        <v>749</v>
      </c>
      <c r="H713" s="5" t="s">
        <v>20</v>
      </c>
      <c r="I713" s="5" t="s">
        <v>1849</v>
      </c>
      <c r="J713" s="12" t="str">
        <f>HYPERLINK("https://www.boe.es/gazeta/dias/1805/09/03/pdfs/GMD-1805-71.pdf#page=1","Abrir facsímil")</f>
        <v>Abrir facsímil</v>
      </c>
      <c r="K713" s="15" t="s">
        <v>22</v>
      </c>
    </row>
    <row r="714" spans="1:11" ht="42" customHeight="1">
      <c r="A714" s="4" t="s">
        <v>1850</v>
      </c>
      <c r="B714" s="5" t="s">
        <v>1851</v>
      </c>
      <c r="C714" s="5" t="s">
        <v>52</v>
      </c>
      <c r="D714" s="5" t="s">
        <v>53</v>
      </c>
      <c r="E714" s="5" t="s">
        <v>82</v>
      </c>
      <c r="F714" s="9">
        <v>25</v>
      </c>
      <c r="G714" s="9" t="s">
        <v>145</v>
      </c>
      <c r="H714" s="5" t="s">
        <v>20</v>
      </c>
      <c r="I714" s="5" t="s">
        <v>1852</v>
      </c>
      <c r="J714" s="12" t="str">
        <f>HYPERLINK("https://www.boe.es/gazeta/dias/1805/03/26/pdfs/GMD-C-1805-25.pdf#page=2","Abrir facsímil")</f>
        <v>Abrir facsímil</v>
      </c>
      <c r="K714" s="15" t="s">
        <v>22</v>
      </c>
    </row>
    <row r="715" spans="1:11" ht="42" customHeight="1">
      <c r="A715" s="4" t="s">
        <v>1853</v>
      </c>
      <c r="B715" s="5" t="s">
        <v>1854</v>
      </c>
      <c r="C715" s="5" t="s">
        <v>17</v>
      </c>
      <c r="D715" s="5" t="s">
        <v>18</v>
      </c>
      <c r="E715" s="5" t="s">
        <v>196</v>
      </c>
      <c r="F715" s="9">
        <v>67</v>
      </c>
      <c r="G715" s="9">
        <v>717</v>
      </c>
      <c r="H715" s="5" t="s">
        <v>20</v>
      </c>
      <c r="I715" s="5" t="s">
        <v>1855</v>
      </c>
      <c r="J715" s="12" t="str">
        <f>HYPERLINK("https://www.boe.es/gazeta/dias/1805/08/20/pdfs/GMD-1805-67.pdf#page=5","Abrir facsímil")</f>
        <v>Abrir facsímil</v>
      </c>
      <c r="K715" s="15" t="s">
        <v>22</v>
      </c>
    </row>
    <row r="716" spans="1:11" ht="42" customHeight="1">
      <c r="A716" s="4" t="s">
        <v>1856</v>
      </c>
      <c r="B716" s="5" t="s">
        <v>1857</v>
      </c>
      <c r="C716" s="5" t="s">
        <v>80</v>
      </c>
      <c r="D716" s="5" t="s">
        <v>81</v>
      </c>
      <c r="E716" s="5" t="s">
        <v>886</v>
      </c>
      <c r="F716" s="9">
        <v>93</v>
      </c>
      <c r="G716" s="9">
        <v>995</v>
      </c>
      <c r="H716" s="5" t="s">
        <v>20</v>
      </c>
      <c r="I716" s="5" t="s">
        <v>1858</v>
      </c>
      <c r="J716" s="12" t="str">
        <f>HYPERLINK("https://www.boe.es/gazeta/dias/1805/11/19/pdfs/GMD-1805-93.pdf#page=7","Abrir facsímil")</f>
        <v>Abrir facsímil</v>
      </c>
      <c r="K716" s="15" t="s">
        <v>22</v>
      </c>
    </row>
    <row r="717" spans="1:11" ht="42" customHeight="1">
      <c r="A717" s="4" t="s">
        <v>1859</v>
      </c>
      <c r="B717" s="5" t="s">
        <v>1860</v>
      </c>
      <c r="C717" s="5" t="s">
        <v>17</v>
      </c>
      <c r="D717" s="5" t="s">
        <v>18</v>
      </c>
      <c r="E717" s="5" t="s">
        <v>59</v>
      </c>
      <c r="F717" s="9">
        <v>21</v>
      </c>
      <c r="G717" s="9">
        <v>216</v>
      </c>
      <c r="H717" s="5" t="s">
        <v>20</v>
      </c>
      <c r="I717" s="5" t="s">
        <v>1861</v>
      </c>
      <c r="J717" s="12" t="str">
        <f>HYPERLINK("https://www.boe.es/gazeta/dias/1805/03/12/pdfs/GMD-1805-21.pdf#page=4","Abrir facsímil")</f>
        <v>Abrir facsímil</v>
      </c>
      <c r="K717" s="15" t="s">
        <v>22</v>
      </c>
    </row>
    <row r="718" spans="1:11" ht="42" customHeight="1">
      <c r="A718" s="4" t="s">
        <v>1859</v>
      </c>
      <c r="B718" s="5" t="s">
        <v>1860</v>
      </c>
      <c r="C718" s="5" t="s">
        <v>80</v>
      </c>
      <c r="D718" s="5" t="s">
        <v>81</v>
      </c>
      <c r="E718" s="5" t="s">
        <v>1494</v>
      </c>
      <c r="F718" s="9">
        <v>31</v>
      </c>
      <c r="G718" s="9">
        <v>329</v>
      </c>
      <c r="H718" s="5" t="s">
        <v>20</v>
      </c>
      <c r="I718" s="5" t="s">
        <v>1862</v>
      </c>
      <c r="J718" s="12" t="str">
        <f>HYPERLINK("https://www.boe.es/gazeta/dias/1805/04/16/pdfs/GMD-1805-31.pdf#page=5","Abrir facsímil")</f>
        <v>Abrir facsímil</v>
      </c>
      <c r="K718" s="15" t="s">
        <v>22</v>
      </c>
    </row>
    <row r="719" spans="1:11" ht="42" customHeight="1">
      <c r="A719" s="4" t="s">
        <v>1863</v>
      </c>
      <c r="B719" s="5" t="s">
        <v>1864</v>
      </c>
      <c r="C719" s="5" t="s">
        <v>17</v>
      </c>
      <c r="D719" s="5" t="s">
        <v>18</v>
      </c>
      <c r="E719" s="5" t="s">
        <v>59</v>
      </c>
      <c r="F719" s="9">
        <v>21</v>
      </c>
      <c r="G719" s="9">
        <v>215</v>
      </c>
      <c r="H719" s="5" t="s">
        <v>20</v>
      </c>
      <c r="I719" s="5" t="s">
        <v>1865</v>
      </c>
      <c r="J719" s="12" t="str">
        <f>HYPERLINK("https://www.boe.es/gazeta/dias/1805/03/12/pdfs/GMD-1805-21.pdf#page=3","Abrir facsímil")</f>
        <v>Abrir facsímil</v>
      </c>
      <c r="K719" s="15" t="s">
        <v>22</v>
      </c>
    </row>
    <row r="720" spans="1:11" ht="42" customHeight="1">
      <c r="A720" s="4" t="s">
        <v>1866</v>
      </c>
      <c r="B720" s="5" t="s">
        <v>1866</v>
      </c>
      <c r="C720" s="5" t="s">
        <v>35</v>
      </c>
      <c r="D720" s="5" t="s">
        <v>36</v>
      </c>
      <c r="E720" s="5" t="s">
        <v>495</v>
      </c>
      <c r="F720" s="9">
        <v>103</v>
      </c>
      <c r="G720" s="9">
        <v>1113</v>
      </c>
      <c r="H720" s="5" t="s">
        <v>20</v>
      </c>
      <c r="I720" s="5" t="s">
        <v>1867</v>
      </c>
      <c r="J720" s="12" t="str">
        <f>HYPERLINK("https://www.boe.es/gazeta/dias/1805/12/24/pdfs/GMD-1805-103.pdf#page=5","Abrir facsímil")</f>
        <v>Abrir facsímil</v>
      </c>
      <c r="K720" s="15" t="s">
        <v>22</v>
      </c>
    </row>
    <row r="721" spans="1:11" ht="42" customHeight="1">
      <c r="A721" s="4" t="s">
        <v>1868</v>
      </c>
      <c r="B721" s="5" t="s">
        <v>1868</v>
      </c>
      <c r="C721" s="5" t="s">
        <v>17</v>
      </c>
      <c r="D721" s="5" t="s">
        <v>18</v>
      </c>
      <c r="E721" s="5" t="s">
        <v>209</v>
      </c>
      <c r="F721" s="9">
        <v>89</v>
      </c>
      <c r="G721" s="9">
        <v>953</v>
      </c>
      <c r="H721" s="5" t="s">
        <v>20</v>
      </c>
      <c r="I721" s="5" t="s">
        <v>1869</v>
      </c>
      <c r="J721" s="12" t="str">
        <f>HYPERLINK("https://www.boe.es/gazeta/dias/1805/11/05/pdfs/GMD-1805-89.pdf#page=13","Abrir facsímil")</f>
        <v>Abrir facsímil</v>
      </c>
      <c r="K721" s="15" t="s">
        <v>22</v>
      </c>
    </row>
    <row r="722" spans="1:11" ht="42" customHeight="1">
      <c r="A722" s="4" t="s">
        <v>1868</v>
      </c>
      <c r="B722" s="5" t="s">
        <v>1868</v>
      </c>
      <c r="C722" s="5" t="s">
        <v>17</v>
      </c>
      <c r="D722" s="5" t="s">
        <v>18</v>
      </c>
      <c r="E722" s="5" t="s">
        <v>138</v>
      </c>
      <c r="F722" s="9">
        <v>102</v>
      </c>
      <c r="G722" s="9">
        <v>1102</v>
      </c>
      <c r="H722" s="5" t="s">
        <v>20</v>
      </c>
      <c r="I722" s="5" t="s">
        <v>1870</v>
      </c>
      <c r="J722" s="12" t="str">
        <f>HYPERLINK("https://www.boe.es/gazeta/dias/1805/12/20/pdfs/GMD-1805-102.pdf#page=6","Abrir facsímil")</f>
        <v>Abrir facsímil</v>
      </c>
      <c r="K722" s="15" t="s">
        <v>22</v>
      </c>
    </row>
    <row r="723" spans="1:11" ht="42" customHeight="1">
      <c r="A723" s="4" t="s">
        <v>1871</v>
      </c>
      <c r="B723" s="5" t="s">
        <v>1872</v>
      </c>
      <c r="C723" s="5" t="s">
        <v>35</v>
      </c>
      <c r="D723" s="5" t="s">
        <v>36</v>
      </c>
      <c r="E723" s="5" t="s">
        <v>649</v>
      </c>
      <c r="F723" s="9">
        <v>7</v>
      </c>
      <c r="G723" s="9">
        <v>70</v>
      </c>
      <c r="H723" s="5" t="s">
        <v>20</v>
      </c>
      <c r="I723" s="5" t="s">
        <v>1873</v>
      </c>
      <c r="J723" s="12" t="str">
        <f>HYPERLINK("https://www.boe.es/gazeta/dias/1805/01/22/pdfs/GMD-1805-7.pdf#page=2","Abrir facsímil")</f>
        <v>Abrir facsímil</v>
      </c>
      <c r="K723" s="15" t="s">
        <v>22</v>
      </c>
    </row>
    <row r="724" spans="1:11" ht="42" customHeight="1">
      <c r="A724" s="4" t="s">
        <v>1871</v>
      </c>
      <c r="B724" s="5" t="s">
        <v>1872</v>
      </c>
      <c r="C724" s="5" t="s">
        <v>35</v>
      </c>
      <c r="D724" s="5" t="s">
        <v>36</v>
      </c>
      <c r="E724" s="5" t="s">
        <v>273</v>
      </c>
      <c r="F724" s="9">
        <v>8</v>
      </c>
      <c r="G724" s="9">
        <v>83</v>
      </c>
      <c r="H724" s="5" t="s">
        <v>20</v>
      </c>
      <c r="I724" s="5" t="s">
        <v>1874</v>
      </c>
      <c r="J724" s="12" t="str">
        <f>HYPERLINK("https://www.boe.es/gazeta/dias/1805/01/25/pdfs/GMD-1805-8.pdf#page=3","Abrir facsímil")</f>
        <v>Abrir facsímil</v>
      </c>
      <c r="K724" s="15" t="s">
        <v>22</v>
      </c>
    </row>
    <row r="725" spans="1:11" ht="42" customHeight="1">
      <c r="A725" s="4" t="s">
        <v>1871</v>
      </c>
      <c r="B725" s="5" t="s">
        <v>1872</v>
      </c>
      <c r="C725" s="5" t="s">
        <v>80</v>
      </c>
      <c r="D725" s="5" t="s">
        <v>81</v>
      </c>
      <c r="E725" s="5" t="s">
        <v>356</v>
      </c>
      <c r="F725" s="9">
        <v>12</v>
      </c>
      <c r="G725" s="9">
        <v>127</v>
      </c>
      <c r="H725" s="5" t="s">
        <v>20</v>
      </c>
      <c r="I725" s="5" t="s">
        <v>1875</v>
      </c>
      <c r="J725" s="12" t="str">
        <f>HYPERLINK("https://www.boe.es/gazeta/dias/1805/02/08/pdfs/GMD-1805-12.pdf#page=3","Abrir facsímil")</f>
        <v>Abrir facsímil</v>
      </c>
      <c r="K725" s="15" t="s">
        <v>22</v>
      </c>
    </row>
    <row r="726" spans="1:11" ht="42" customHeight="1">
      <c r="A726" s="4" t="s">
        <v>1871</v>
      </c>
      <c r="B726" s="5" t="s">
        <v>1872</v>
      </c>
      <c r="C726" s="5" t="s">
        <v>35</v>
      </c>
      <c r="D726" s="5" t="s">
        <v>36</v>
      </c>
      <c r="E726" s="5" t="s">
        <v>471</v>
      </c>
      <c r="F726" s="9">
        <v>22</v>
      </c>
      <c r="G726" s="9">
        <v>225</v>
      </c>
      <c r="H726" s="5" t="s">
        <v>20</v>
      </c>
      <c r="I726" s="5" t="s">
        <v>1876</v>
      </c>
      <c r="J726" s="12" t="str">
        <f>HYPERLINK("https://www.boe.es/gazeta/dias/1805/03/15/pdfs/GMD-1805-22.pdf#page=1","Abrir facsímil")</f>
        <v>Abrir facsímil</v>
      </c>
      <c r="K726" s="15" t="s">
        <v>22</v>
      </c>
    </row>
    <row r="727" spans="1:11" ht="42" customHeight="1">
      <c r="A727" s="4" t="s">
        <v>1871</v>
      </c>
      <c r="B727" s="5" t="s">
        <v>1872</v>
      </c>
      <c r="C727" s="5" t="s">
        <v>80</v>
      </c>
      <c r="D727" s="5" t="s">
        <v>81</v>
      </c>
      <c r="E727" s="5" t="s">
        <v>44</v>
      </c>
      <c r="F727" s="9">
        <v>29</v>
      </c>
      <c r="G727" s="9">
        <v>305</v>
      </c>
      <c r="H727" s="5" t="s">
        <v>20</v>
      </c>
      <c r="I727" s="5" t="s">
        <v>1877</v>
      </c>
      <c r="J727" s="12" t="str">
        <f>HYPERLINK("https://www.boe.es/gazeta/dias/1805/04/09/pdfs/GMD-1805-29.pdf#page=1","Abrir facsímil")</f>
        <v>Abrir facsímil</v>
      </c>
      <c r="K727" s="15" t="s">
        <v>22</v>
      </c>
    </row>
    <row r="728" spans="1:11" ht="42" customHeight="1">
      <c r="A728" s="4" t="s">
        <v>1871</v>
      </c>
      <c r="B728" s="5" t="s">
        <v>1872</v>
      </c>
      <c r="C728" s="5" t="s">
        <v>80</v>
      </c>
      <c r="D728" s="5" t="s">
        <v>81</v>
      </c>
      <c r="E728" s="5" t="s">
        <v>71</v>
      </c>
      <c r="F728" s="9">
        <v>33</v>
      </c>
      <c r="G728" s="9">
        <v>347</v>
      </c>
      <c r="H728" s="5" t="s">
        <v>20</v>
      </c>
      <c r="I728" s="5" t="s">
        <v>1878</v>
      </c>
      <c r="J728" s="12" t="str">
        <f>HYPERLINK("https://www.boe.es/gazeta/dias/1805/04/23/pdfs/GMD-1805-33.pdf#page=3","Abrir facsímil")</f>
        <v>Abrir facsímil</v>
      </c>
      <c r="K728" s="15" t="s">
        <v>22</v>
      </c>
    </row>
    <row r="729" spans="1:11" ht="42" customHeight="1">
      <c r="A729" s="4" t="s">
        <v>1871</v>
      </c>
      <c r="B729" s="5" t="s">
        <v>1872</v>
      </c>
      <c r="C729" s="5" t="s">
        <v>35</v>
      </c>
      <c r="D729" s="5" t="s">
        <v>36</v>
      </c>
      <c r="E729" s="5" t="s">
        <v>48</v>
      </c>
      <c r="F729" s="9">
        <v>35</v>
      </c>
      <c r="G729" s="9">
        <v>371</v>
      </c>
      <c r="H729" s="5" t="s">
        <v>20</v>
      </c>
      <c r="I729" s="5" t="s">
        <v>1879</v>
      </c>
      <c r="J729" s="12" t="str">
        <f>HYPERLINK("https://www.boe.es/gazeta/dias/1805/04/30/pdfs/GMD-1805-35.pdf#page=3","Abrir facsímil")</f>
        <v>Abrir facsímil</v>
      </c>
      <c r="K729" s="15" t="s">
        <v>22</v>
      </c>
    </row>
    <row r="730" spans="1:11" ht="42" customHeight="1">
      <c r="A730" s="4" t="s">
        <v>1871</v>
      </c>
      <c r="B730" s="5" t="s">
        <v>1872</v>
      </c>
      <c r="C730" s="5" t="s">
        <v>17</v>
      </c>
      <c r="D730" s="5" t="s">
        <v>18</v>
      </c>
      <c r="E730" s="5" t="s">
        <v>1292</v>
      </c>
      <c r="F730" s="9">
        <v>43</v>
      </c>
      <c r="G730" s="9">
        <v>462</v>
      </c>
      <c r="H730" s="5" t="s">
        <v>20</v>
      </c>
      <c r="I730" s="5" t="s">
        <v>1880</v>
      </c>
      <c r="J730" s="12" t="str">
        <f>HYPERLINK("https://www.boe.es/gazeta/dias/1805/05/28/pdfs/GMD-1805-43.pdf#page=6","Abrir facsímil")</f>
        <v>Abrir facsímil</v>
      </c>
      <c r="K730" s="15" t="s">
        <v>22</v>
      </c>
    </row>
    <row r="731" spans="1:11" ht="42" customHeight="1">
      <c r="A731" s="4" t="s">
        <v>1871</v>
      </c>
      <c r="B731" s="5" t="s">
        <v>1872</v>
      </c>
      <c r="C731" s="5" t="s">
        <v>80</v>
      </c>
      <c r="D731" s="5" t="s">
        <v>81</v>
      </c>
      <c r="E731" s="5" t="s">
        <v>213</v>
      </c>
      <c r="F731" s="9">
        <v>56</v>
      </c>
      <c r="G731" s="9">
        <v>594</v>
      </c>
      <c r="H731" s="5" t="s">
        <v>20</v>
      </c>
      <c r="I731" s="5" t="s">
        <v>1881</v>
      </c>
      <c r="J731" s="12" t="str">
        <f>HYPERLINK("https://www.boe.es/gazeta/dias/1805/07/12/pdfs/GMD-1805-56.pdf#page=2","Abrir facsímil")</f>
        <v>Abrir facsímil</v>
      </c>
      <c r="K731" s="15" t="s">
        <v>22</v>
      </c>
    </row>
    <row r="732" spans="1:11" ht="42" customHeight="1">
      <c r="A732" s="4" t="s">
        <v>1871</v>
      </c>
      <c r="B732" s="5" t="s">
        <v>1872</v>
      </c>
      <c r="C732" s="5" t="s">
        <v>80</v>
      </c>
      <c r="D732" s="5" t="s">
        <v>81</v>
      </c>
      <c r="E732" s="5" t="s">
        <v>711</v>
      </c>
      <c r="F732" s="9">
        <v>63</v>
      </c>
      <c r="G732" s="9">
        <v>667</v>
      </c>
      <c r="H732" s="5" t="s">
        <v>20</v>
      </c>
      <c r="I732" s="5" t="s">
        <v>1882</v>
      </c>
      <c r="J732" s="12" t="str">
        <f>HYPERLINK("https://www.boe.es/gazeta/dias/1805/08/06/pdfs/GMD-1805-63.pdf#page=3","Abrir facsímil")</f>
        <v>Abrir facsímil</v>
      </c>
      <c r="K732" s="15" t="s">
        <v>22</v>
      </c>
    </row>
    <row r="733" spans="1:11" ht="42" customHeight="1">
      <c r="A733" s="4" t="s">
        <v>1871</v>
      </c>
      <c r="B733" s="5" t="s">
        <v>1872</v>
      </c>
      <c r="C733" s="5" t="s">
        <v>80</v>
      </c>
      <c r="D733" s="5" t="s">
        <v>81</v>
      </c>
      <c r="E733" s="5" t="s">
        <v>456</v>
      </c>
      <c r="F733" s="9">
        <v>70</v>
      </c>
      <c r="G733" s="9">
        <v>742</v>
      </c>
      <c r="H733" s="5" t="s">
        <v>20</v>
      </c>
      <c r="I733" s="5" t="s">
        <v>1883</v>
      </c>
      <c r="J733" s="12" t="str">
        <f>HYPERLINK("https://www.boe.es/gazeta/dias/1805/08/30/pdfs/GMD-1805-70.pdf#page=2","Abrir facsímil")</f>
        <v>Abrir facsímil</v>
      </c>
      <c r="K733" s="15" t="s">
        <v>22</v>
      </c>
    </row>
    <row r="734" spans="1:11" ht="42" customHeight="1">
      <c r="A734" s="4" t="s">
        <v>1871</v>
      </c>
      <c r="B734" s="5" t="s">
        <v>1872</v>
      </c>
      <c r="C734" s="5" t="s">
        <v>80</v>
      </c>
      <c r="D734" s="5" t="s">
        <v>81</v>
      </c>
      <c r="E734" s="5" t="s">
        <v>1132</v>
      </c>
      <c r="F734" s="9">
        <v>72</v>
      </c>
      <c r="G734" s="9">
        <v>761</v>
      </c>
      <c r="H734" s="5" t="s">
        <v>20</v>
      </c>
      <c r="I734" s="5" t="s">
        <v>1884</v>
      </c>
      <c r="J734" s="12" t="str">
        <f>HYPERLINK("https://www.boe.es/gazeta/dias/1805/09/06/pdfs/GMD-1805-72.pdf#page=1","Abrir facsímil")</f>
        <v>Abrir facsímil</v>
      </c>
      <c r="K734" s="15" t="s">
        <v>22</v>
      </c>
    </row>
    <row r="735" spans="1:11" ht="42" customHeight="1">
      <c r="A735" s="4" t="s">
        <v>1871</v>
      </c>
      <c r="B735" s="5" t="s">
        <v>1872</v>
      </c>
      <c r="C735" s="5" t="s">
        <v>80</v>
      </c>
      <c r="D735" s="5" t="s">
        <v>81</v>
      </c>
      <c r="E735" s="5" t="s">
        <v>207</v>
      </c>
      <c r="F735" s="9">
        <v>76</v>
      </c>
      <c r="G735" s="9">
        <v>802</v>
      </c>
      <c r="H735" s="5" t="s">
        <v>20</v>
      </c>
      <c r="I735" s="5" t="s">
        <v>1885</v>
      </c>
      <c r="J735" s="12" t="str">
        <f>HYPERLINK("https://www.boe.es/gazeta/dias/1805/09/20/pdfs/GMD-1805-76.pdf#page=2","Abrir facsímil")</f>
        <v>Abrir facsímil</v>
      </c>
      <c r="K735" s="15" t="s">
        <v>22</v>
      </c>
    </row>
    <row r="736" spans="1:11" ht="42" customHeight="1">
      <c r="A736" s="4" t="s">
        <v>1871</v>
      </c>
      <c r="B736" s="5" t="s">
        <v>1872</v>
      </c>
      <c r="C736" s="5" t="s">
        <v>80</v>
      </c>
      <c r="D736" s="5" t="s">
        <v>81</v>
      </c>
      <c r="E736" s="5" t="s">
        <v>335</v>
      </c>
      <c r="F736" s="9">
        <v>79</v>
      </c>
      <c r="G736" s="9">
        <v>835</v>
      </c>
      <c r="H736" s="5" t="s">
        <v>20</v>
      </c>
      <c r="I736" s="5" t="s">
        <v>1886</v>
      </c>
      <c r="J736" s="12" t="str">
        <f>HYPERLINK("https://www.boe.es/gazeta/dias/1805/10/01/pdfs/GMD-1805-79.pdf#page=7","Abrir facsímil")</f>
        <v>Abrir facsímil</v>
      </c>
      <c r="K736" s="15" t="s">
        <v>22</v>
      </c>
    </row>
    <row r="737" spans="1:11" ht="42" customHeight="1">
      <c r="A737" s="4" t="s">
        <v>1871</v>
      </c>
      <c r="B737" s="5" t="s">
        <v>1872</v>
      </c>
      <c r="C737" s="5" t="s">
        <v>35</v>
      </c>
      <c r="D737" s="5" t="s">
        <v>36</v>
      </c>
      <c r="E737" s="5" t="s">
        <v>669</v>
      </c>
      <c r="F737" s="9">
        <v>84</v>
      </c>
      <c r="G737" s="9">
        <v>887</v>
      </c>
      <c r="H737" s="5" t="s">
        <v>20</v>
      </c>
      <c r="I737" s="5" t="s">
        <v>1887</v>
      </c>
      <c r="J737" s="12" t="str">
        <f>HYPERLINK("https://www.boe.es/gazeta/dias/1805/10/18/pdfs/GMD-1805-84.pdf#page=3","Abrir facsímil")</f>
        <v>Abrir facsímil</v>
      </c>
      <c r="K737" s="15" t="s">
        <v>22</v>
      </c>
    </row>
    <row r="738" spans="1:11" ht="42" customHeight="1">
      <c r="A738" s="4" t="s">
        <v>1871</v>
      </c>
      <c r="B738" s="5" t="s">
        <v>1872</v>
      </c>
      <c r="C738" s="5" t="s">
        <v>80</v>
      </c>
      <c r="D738" s="5" t="s">
        <v>81</v>
      </c>
      <c r="E738" s="5" t="s">
        <v>144</v>
      </c>
      <c r="F738" s="9">
        <v>85</v>
      </c>
      <c r="G738" s="9">
        <v>895</v>
      </c>
      <c r="H738" s="5" t="s">
        <v>20</v>
      </c>
      <c r="I738" s="5" t="s">
        <v>1888</v>
      </c>
      <c r="J738" s="12" t="str">
        <f>HYPERLINK("https://www.boe.es/gazeta/dias/1805/10/22/pdfs/GMD-1805-85.pdf#page=3","Abrir facsímil")</f>
        <v>Abrir facsímil</v>
      </c>
      <c r="K738" s="15" t="s">
        <v>22</v>
      </c>
    </row>
    <row r="739" spans="1:11" ht="42" customHeight="1">
      <c r="A739" s="4" t="s">
        <v>1871</v>
      </c>
      <c r="B739" s="5" t="s">
        <v>1872</v>
      </c>
      <c r="C739" s="5" t="s">
        <v>80</v>
      </c>
      <c r="D739" s="5" t="s">
        <v>81</v>
      </c>
      <c r="E739" s="5" t="s">
        <v>19</v>
      </c>
      <c r="F739" s="9">
        <v>86</v>
      </c>
      <c r="G739" s="9">
        <v>908</v>
      </c>
      <c r="H739" s="5" t="s">
        <v>20</v>
      </c>
      <c r="I739" s="5" t="s">
        <v>1889</v>
      </c>
      <c r="J739" s="12" t="str">
        <f>HYPERLINK("https://www.boe.es/gazeta/dias/1805/10/25/pdfs/GMD-1805-86.pdf#page=4","Abrir facsímil")</f>
        <v>Abrir facsímil</v>
      </c>
      <c r="K739" s="15" t="s">
        <v>22</v>
      </c>
    </row>
    <row r="740" spans="1:11" ht="42" customHeight="1">
      <c r="A740" s="4" t="s">
        <v>1871</v>
      </c>
      <c r="B740" s="5" t="s">
        <v>1872</v>
      </c>
      <c r="C740" s="5" t="s">
        <v>80</v>
      </c>
      <c r="D740" s="5" t="s">
        <v>81</v>
      </c>
      <c r="E740" s="5" t="s">
        <v>209</v>
      </c>
      <c r="F740" s="9">
        <v>89</v>
      </c>
      <c r="G740" s="9">
        <v>950</v>
      </c>
      <c r="H740" s="5" t="s">
        <v>20</v>
      </c>
      <c r="I740" s="5" t="s">
        <v>1890</v>
      </c>
      <c r="J740" s="12" t="str">
        <f>HYPERLINK("https://www.boe.es/gazeta/dias/1805/11/05/pdfs/GMD-1805-89.pdf#page=10","Abrir facsímil")</f>
        <v>Abrir facsímil</v>
      </c>
      <c r="K740" s="15" t="s">
        <v>22</v>
      </c>
    </row>
    <row r="741" spans="1:11" ht="42" customHeight="1">
      <c r="A741" s="4" t="s">
        <v>1871</v>
      </c>
      <c r="B741" s="5" t="s">
        <v>1872</v>
      </c>
      <c r="C741" s="5" t="s">
        <v>80</v>
      </c>
      <c r="D741" s="5" t="s">
        <v>81</v>
      </c>
      <c r="E741" s="5" t="s">
        <v>552</v>
      </c>
      <c r="F741" s="9">
        <v>94</v>
      </c>
      <c r="G741" s="9">
        <v>1003</v>
      </c>
      <c r="H741" s="5" t="s">
        <v>20</v>
      </c>
      <c r="I741" s="5" t="s">
        <v>1891</v>
      </c>
      <c r="J741" s="12" t="str">
        <f>HYPERLINK("https://www.boe.es/gazeta/dias/1805/11/22/pdfs/GMD-1805-94.pdf#page=3","Abrir facsímil")</f>
        <v>Abrir facsímil</v>
      </c>
      <c r="K741" s="15" t="s">
        <v>22</v>
      </c>
    </row>
    <row r="742" spans="1:11" ht="42" customHeight="1">
      <c r="A742" s="4" t="s">
        <v>1871</v>
      </c>
      <c r="B742" s="5" t="s">
        <v>1872</v>
      </c>
      <c r="C742" s="5" t="s">
        <v>80</v>
      </c>
      <c r="D742" s="5" t="s">
        <v>81</v>
      </c>
      <c r="E742" s="5" t="s">
        <v>787</v>
      </c>
      <c r="F742" s="9">
        <v>95</v>
      </c>
      <c r="G742" s="9">
        <v>1015</v>
      </c>
      <c r="H742" s="5" t="s">
        <v>20</v>
      </c>
      <c r="I742" s="5" t="s">
        <v>1892</v>
      </c>
      <c r="J742" s="12" t="str">
        <f>HYPERLINK("https://www.boe.es/gazeta/dias/1805/11/26/pdfs/GMD-1805-95.pdf#page=3","Abrir facsímil")</f>
        <v>Abrir facsímil</v>
      </c>
      <c r="K742" s="15" t="s">
        <v>22</v>
      </c>
    </row>
    <row r="743" spans="1:11" ht="42" customHeight="1">
      <c r="A743" s="4" t="s">
        <v>1871</v>
      </c>
      <c r="B743" s="5" t="s">
        <v>1872</v>
      </c>
      <c r="C743" s="5" t="s">
        <v>80</v>
      </c>
      <c r="D743" s="5" t="s">
        <v>81</v>
      </c>
      <c r="E743" s="5" t="s">
        <v>54</v>
      </c>
      <c r="F743" s="9">
        <v>99</v>
      </c>
      <c r="G743" s="9">
        <v>1063</v>
      </c>
      <c r="H743" s="5" t="s">
        <v>20</v>
      </c>
      <c r="I743" s="5" t="s">
        <v>1893</v>
      </c>
      <c r="J743" s="12" t="str">
        <f>HYPERLINK("https://www.boe.es/gazeta/dias/1805/12/10/pdfs/GMD-1805-99.pdf#page=3","Abrir facsímil")</f>
        <v>Abrir facsímil</v>
      </c>
      <c r="K743" s="15" t="s">
        <v>22</v>
      </c>
    </row>
    <row r="744" spans="1:11" ht="42" customHeight="1">
      <c r="A744" s="4" t="s">
        <v>1894</v>
      </c>
      <c r="B744" s="5" t="s">
        <v>1895</v>
      </c>
      <c r="C744" s="5" t="s">
        <v>29</v>
      </c>
      <c r="D744" s="5" t="s">
        <v>30</v>
      </c>
      <c r="E744" s="5" t="s">
        <v>711</v>
      </c>
      <c r="F744" s="9">
        <v>63</v>
      </c>
      <c r="G744" s="9">
        <v>676</v>
      </c>
      <c r="H744" s="5" t="s">
        <v>20</v>
      </c>
      <c r="I744" s="5" t="s">
        <v>1896</v>
      </c>
      <c r="J744" s="12" t="str">
        <f>HYPERLINK("https://www.boe.es/gazeta/dias/1805/08/06/pdfs/GMD-1805-63.pdf#page=12","Abrir facsímil")</f>
        <v>Abrir facsímil</v>
      </c>
      <c r="K744" s="15" t="s">
        <v>22</v>
      </c>
    </row>
    <row r="745" spans="1:11" ht="42" customHeight="1">
      <c r="A745" s="4" t="s">
        <v>1894</v>
      </c>
      <c r="B745" s="5" t="s">
        <v>1895</v>
      </c>
      <c r="C745" s="5" t="s">
        <v>80</v>
      </c>
      <c r="D745" s="5" t="s">
        <v>81</v>
      </c>
      <c r="E745" s="5" t="s">
        <v>207</v>
      </c>
      <c r="F745" s="9">
        <v>76</v>
      </c>
      <c r="G745" s="9">
        <v>802</v>
      </c>
      <c r="H745" s="5" t="s">
        <v>20</v>
      </c>
      <c r="I745" s="5" t="s">
        <v>1897</v>
      </c>
      <c r="J745" s="12" t="str">
        <f>HYPERLINK("https://www.boe.es/gazeta/dias/1805/09/20/pdfs/GMD-1805-76.pdf#page=2","Abrir facsímil")</f>
        <v>Abrir facsímil</v>
      </c>
      <c r="K745" s="15" t="s">
        <v>22</v>
      </c>
    </row>
    <row r="746" spans="1:11" ht="42" customHeight="1">
      <c r="A746" s="4" t="s">
        <v>1894</v>
      </c>
      <c r="B746" s="5" t="s">
        <v>1895</v>
      </c>
      <c r="C746" s="5" t="s">
        <v>80</v>
      </c>
      <c r="D746" s="5" t="s">
        <v>81</v>
      </c>
      <c r="E746" s="5" t="s">
        <v>163</v>
      </c>
      <c r="F746" s="9">
        <v>77</v>
      </c>
      <c r="G746" s="9">
        <v>810</v>
      </c>
      <c r="H746" s="5" t="s">
        <v>20</v>
      </c>
      <c r="I746" s="5" t="s">
        <v>1898</v>
      </c>
      <c r="J746" s="12" t="str">
        <f>HYPERLINK("https://www.boe.es/gazeta/dias/1805/09/24/pdfs/GMD-1805-77.pdf#page=2","Abrir facsímil")</f>
        <v>Abrir facsímil</v>
      </c>
      <c r="K746" s="15" t="s">
        <v>22</v>
      </c>
    </row>
    <row r="747" spans="1:11" ht="42" customHeight="1">
      <c r="A747" s="4" t="s">
        <v>1894</v>
      </c>
      <c r="B747" s="5" t="s">
        <v>1895</v>
      </c>
      <c r="C747" s="5" t="s">
        <v>80</v>
      </c>
      <c r="D747" s="5" t="s">
        <v>81</v>
      </c>
      <c r="E747" s="5" t="s">
        <v>215</v>
      </c>
      <c r="F747" s="9">
        <v>87</v>
      </c>
      <c r="G747" s="9">
        <v>921</v>
      </c>
      <c r="H747" s="5" t="s">
        <v>20</v>
      </c>
      <c r="I747" s="5" t="s">
        <v>1899</v>
      </c>
      <c r="J747" s="12" t="str">
        <f>HYPERLINK("https://www.boe.es/gazeta/dias/1805/10/29/pdfs/GMD-1805-87.pdf#page=5","Abrir facsímil")</f>
        <v>Abrir facsímil</v>
      </c>
      <c r="K747" s="15" t="s">
        <v>22</v>
      </c>
    </row>
    <row r="748" spans="1:11" ht="42" customHeight="1">
      <c r="A748" s="4" t="s">
        <v>1894</v>
      </c>
      <c r="B748" s="5" t="s">
        <v>1895</v>
      </c>
      <c r="C748" s="5" t="s">
        <v>80</v>
      </c>
      <c r="D748" s="5" t="s">
        <v>81</v>
      </c>
      <c r="E748" s="5" t="s">
        <v>181</v>
      </c>
      <c r="F748" s="9">
        <v>90</v>
      </c>
      <c r="G748" s="9">
        <v>958</v>
      </c>
      <c r="H748" s="5" t="s">
        <v>20</v>
      </c>
      <c r="I748" s="5" t="s">
        <v>1900</v>
      </c>
      <c r="J748" s="12" t="str">
        <f>HYPERLINK("https://www.boe.es/gazeta/dias/1805/11/08/pdfs/GMD-1805-90.pdf#page=2","Abrir facsímil")</f>
        <v>Abrir facsímil</v>
      </c>
      <c r="K748" s="15" t="s">
        <v>22</v>
      </c>
    </row>
    <row r="749" spans="1:11" ht="42" customHeight="1">
      <c r="A749" s="4" t="s">
        <v>1894</v>
      </c>
      <c r="B749" s="5" t="s">
        <v>1895</v>
      </c>
      <c r="C749" s="5" t="s">
        <v>80</v>
      </c>
      <c r="D749" s="5" t="s">
        <v>81</v>
      </c>
      <c r="E749" s="5" t="s">
        <v>886</v>
      </c>
      <c r="F749" s="9">
        <v>93</v>
      </c>
      <c r="G749" s="9">
        <v>996</v>
      </c>
      <c r="H749" s="5" t="s">
        <v>20</v>
      </c>
      <c r="I749" s="5" t="s">
        <v>1901</v>
      </c>
      <c r="J749" s="12" t="str">
        <f>HYPERLINK("https://www.boe.es/gazeta/dias/1805/11/19/pdfs/GMD-1805-93.pdf#page=8","Abrir facsímil")</f>
        <v>Abrir facsímil</v>
      </c>
      <c r="K749" s="15" t="s">
        <v>22</v>
      </c>
    </row>
    <row r="750" spans="1:11" ht="42" customHeight="1">
      <c r="A750" s="4" t="s">
        <v>1894</v>
      </c>
      <c r="B750" s="5" t="s">
        <v>1895</v>
      </c>
      <c r="C750" s="5" t="s">
        <v>80</v>
      </c>
      <c r="D750" s="5" t="s">
        <v>81</v>
      </c>
      <c r="E750" s="5" t="s">
        <v>552</v>
      </c>
      <c r="F750" s="9">
        <v>94</v>
      </c>
      <c r="G750" s="9">
        <v>1007</v>
      </c>
      <c r="H750" s="5" t="s">
        <v>20</v>
      </c>
      <c r="I750" s="5" t="s">
        <v>1902</v>
      </c>
      <c r="J750" s="12" t="str">
        <f>HYPERLINK("https://www.boe.es/gazeta/dias/1805/11/22/pdfs/GMD-1805-94.pdf#page=7","Abrir facsímil")</f>
        <v>Abrir facsímil</v>
      </c>
      <c r="K750" s="15" t="s">
        <v>22</v>
      </c>
    </row>
    <row r="751" spans="1:11" ht="42" customHeight="1">
      <c r="A751" s="4" t="s">
        <v>1894</v>
      </c>
      <c r="B751" s="5" t="s">
        <v>1895</v>
      </c>
      <c r="C751" s="5" t="s">
        <v>17</v>
      </c>
      <c r="D751" s="5" t="s">
        <v>18</v>
      </c>
      <c r="E751" s="5" t="s">
        <v>787</v>
      </c>
      <c r="F751" s="9">
        <v>95</v>
      </c>
      <c r="G751" s="9">
        <v>1020</v>
      </c>
      <c r="H751" s="5" t="s">
        <v>20</v>
      </c>
      <c r="I751" s="5" t="s">
        <v>1903</v>
      </c>
      <c r="J751" s="12" t="str">
        <f>HYPERLINK("https://www.boe.es/gazeta/dias/1805/11/26/pdfs/GMD-1805-95.pdf#page=8","Abrir facsímil")</f>
        <v>Abrir facsímil</v>
      </c>
      <c r="K751" s="15" t="s">
        <v>22</v>
      </c>
    </row>
    <row r="752" spans="1:11" ht="42" customHeight="1">
      <c r="A752" s="4" t="s">
        <v>1894</v>
      </c>
      <c r="B752" s="5" t="s">
        <v>1895</v>
      </c>
      <c r="C752" s="5" t="s">
        <v>17</v>
      </c>
      <c r="D752" s="5" t="s">
        <v>18</v>
      </c>
      <c r="E752" s="5" t="s">
        <v>67</v>
      </c>
      <c r="F752" s="9">
        <v>98</v>
      </c>
      <c r="G752" s="9">
        <v>1058</v>
      </c>
      <c r="H752" s="5" t="s">
        <v>20</v>
      </c>
      <c r="I752" s="5" t="s">
        <v>1904</v>
      </c>
      <c r="J752" s="12" t="str">
        <f>HYPERLINK("https://www.boe.es/gazeta/dias/1805/12/06/pdfs/GMD-1805-98.pdf#page=10","Abrir facsímil")</f>
        <v>Abrir facsímil</v>
      </c>
      <c r="K752" s="15" t="s">
        <v>22</v>
      </c>
    </row>
    <row r="753" spans="1:11" ht="42" customHeight="1">
      <c r="A753" s="4" t="s">
        <v>1894</v>
      </c>
      <c r="B753" s="5" t="s">
        <v>1895</v>
      </c>
      <c r="C753" s="5" t="s">
        <v>35</v>
      </c>
      <c r="D753" s="5" t="s">
        <v>36</v>
      </c>
      <c r="E753" s="5" t="s">
        <v>138</v>
      </c>
      <c r="F753" s="9">
        <v>102</v>
      </c>
      <c r="G753" s="9">
        <v>1099</v>
      </c>
      <c r="H753" s="5" t="s">
        <v>20</v>
      </c>
      <c r="I753" s="5" t="s">
        <v>1905</v>
      </c>
      <c r="J753" s="12" t="str">
        <f>HYPERLINK("https://www.boe.es/gazeta/dias/1805/12/20/pdfs/GMD-1805-102.pdf#page=3","Abrir facsímil")</f>
        <v>Abrir facsímil</v>
      </c>
      <c r="K753" s="15" t="s">
        <v>22</v>
      </c>
    </row>
    <row r="754" spans="1:11" ht="42" customHeight="1">
      <c r="A754" s="4" t="s">
        <v>1906</v>
      </c>
      <c r="B754" s="5" t="s">
        <v>1907</v>
      </c>
      <c r="C754" s="5" t="s">
        <v>35</v>
      </c>
      <c r="D754" s="5" t="s">
        <v>36</v>
      </c>
      <c r="E754" s="5" t="s">
        <v>387</v>
      </c>
      <c r="F754" s="9">
        <v>4</v>
      </c>
      <c r="G754" s="9">
        <v>36</v>
      </c>
      <c r="H754" s="5" t="s">
        <v>20</v>
      </c>
      <c r="I754" s="5" t="s">
        <v>1908</v>
      </c>
      <c r="J754" s="12" t="str">
        <f>HYPERLINK("https://www.boe.es/gazeta/dias/1805/01/11/pdfs/GMD-1805-4.pdf#page=4","Abrir facsímil")</f>
        <v>Abrir facsímil</v>
      </c>
      <c r="K754" s="15" t="s">
        <v>22</v>
      </c>
    </row>
    <row r="755" spans="1:11" ht="42" customHeight="1">
      <c r="A755" s="4" t="s">
        <v>1906</v>
      </c>
      <c r="B755" s="5" t="s">
        <v>1907</v>
      </c>
      <c r="C755" s="5" t="s">
        <v>17</v>
      </c>
      <c r="D755" s="5" t="s">
        <v>18</v>
      </c>
      <c r="E755" s="5" t="s">
        <v>24</v>
      </c>
      <c r="F755" s="9">
        <v>11</v>
      </c>
      <c r="G755" s="9">
        <v>117</v>
      </c>
      <c r="H755" s="5" t="s">
        <v>20</v>
      </c>
      <c r="I755" s="5" t="s">
        <v>1909</v>
      </c>
      <c r="J755" s="12" t="str">
        <f>HYPERLINK("https://www.boe.es/gazeta/dias/1805/02/05/pdfs/GMD-1805-11.pdf#page=5","Abrir facsímil")</f>
        <v>Abrir facsímil</v>
      </c>
      <c r="K755" s="15" t="s">
        <v>22</v>
      </c>
    </row>
    <row r="756" spans="1:11" ht="42" customHeight="1">
      <c r="A756" s="4" t="s">
        <v>1906</v>
      </c>
      <c r="B756" s="5" t="s">
        <v>1907</v>
      </c>
      <c r="C756" s="5" t="s">
        <v>17</v>
      </c>
      <c r="D756" s="5" t="s">
        <v>18</v>
      </c>
      <c r="E756" s="5" t="s">
        <v>281</v>
      </c>
      <c r="F756" s="9">
        <v>15</v>
      </c>
      <c r="G756" s="9">
        <v>154</v>
      </c>
      <c r="H756" s="5" t="s">
        <v>20</v>
      </c>
      <c r="I756" s="5" t="s">
        <v>1910</v>
      </c>
      <c r="J756" s="12" t="str">
        <f>HYPERLINK("https://www.boe.es/gazeta/dias/1805/02/19/pdfs/GMD-1805-15.pdf#page=6","Abrir facsímil")</f>
        <v>Abrir facsímil</v>
      </c>
      <c r="K756" s="15" t="s">
        <v>22</v>
      </c>
    </row>
    <row r="757" spans="1:11" ht="42" customHeight="1">
      <c r="A757" s="4" t="s">
        <v>1911</v>
      </c>
      <c r="B757" s="5" t="s">
        <v>1912</v>
      </c>
      <c r="C757" s="5" t="s">
        <v>80</v>
      </c>
      <c r="D757" s="5" t="s">
        <v>81</v>
      </c>
      <c r="E757" s="5" t="s">
        <v>1494</v>
      </c>
      <c r="F757" s="9">
        <v>31</v>
      </c>
      <c r="G757" s="9">
        <v>329</v>
      </c>
      <c r="H757" s="5" t="s">
        <v>20</v>
      </c>
      <c r="I757" s="5" t="s">
        <v>1913</v>
      </c>
      <c r="J757" s="12" t="str">
        <f>HYPERLINK("https://www.boe.es/gazeta/dias/1805/04/16/pdfs/GMD-1805-31.pdf#page=5","Abrir facsímil")</f>
        <v>Abrir facsímil</v>
      </c>
      <c r="K757" s="15" t="s">
        <v>22</v>
      </c>
    </row>
    <row r="758" spans="1:11" ht="42" customHeight="1">
      <c r="A758" s="4" t="s">
        <v>1914</v>
      </c>
      <c r="B758" s="5" t="s">
        <v>1915</v>
      </c>
      <c r="C758" s="5" t="s">
        <v>35</v>
      </c>
      <c r="D758" s="5" t="s">
        <v>36</v>
      </c>
      <c r="E758" s="5" t="s">
        <v>226</v>
      </c>
      <c r="F758" s="9">
        <v>73</v>
      </c>
      <c r="G758" s="9">
        <v>773</v>
      </c>
      <c r="H758" s="5" t="s">
        <v>20</v>
      </c>
      <c r="I758" s="5" t="s">
        <v>1916</v>
      </c>
      <c r="J758" s="12" t="str">
        <f>HYPERLINK("https://www.boe.es/gazeta/dias/1805/09/10/pdfs/GMD-1805-73.pdf#page=5","Abrir facsímil")</f>
        <v>Abrir facsímil</v>
      </c>
      <c r="K758" s="15" t="s">
        <v>22</v>
      </c>
    </row>
    <row r="759" spans="1:11" ht="42" customHeight="1">
      <c r="A759" s="4" t="s">
        <v>1917</v>
      </c>
      <c r="B759" s="5" t="s">
        <v>1918</v>
      </c>
      <c r="C759" s="5" t="s">
        <v>35</v>
      </c>
      <c r="D759" s="5" t="s">
        <v>36</v>
      </c>
      <c r="E759" s="5" t="s">
        <v>506</v>
      </c>
      <c r="F759" s="9">
        <v>80</v>
      </c>
      <c r="G759" s="9">
        <v>849</v>
      </c>
      <c r="H759" s="5" t="s">
        <v>20</v>
      </c>
      <c r="I759" s="5" t="s">
        <v>1919</v>
      </c>
      <c r="J759" s="12" t="str">
        <f>HYPERLINK("https://www.boe.es/gazeta/dias/1805/10/04/pdfs/GMD-1805-80.pdf#page=9","Abrir facsímil")</f>
        <v>Abrir facsímil</v>
      </c>
      <c r="K759" s="15" t="s">
        <v>22</v>
      </c>
    </row>
    <row r="760" spans="1:11" ht="42" customHeight="1">
      <c r="A760" s="4" t="s">
        <v>1917</v>
      </c>
      <c r="B760" s="5" t="s">
        <v>1918</v>
      </c>
      <c r="C760" s="5" t="s">
        <v>85</v>
      </c>
      <c r="D760" s="5" t="s">
        <v>86</v>
      </c>
      <c r="E760" s="5" t="s">
        <v>19</v>
      </c>
      <c r="F760" s="9">
        <v>86</v>
      </c>
      <c r="G760" s="9">
        <v>913</v>
      </c>
      <c r="H760" s="5" t="s">
        <v>20</v>
      </c>
      <c r="I760" s="5" t="s">
        <v>1920</v>
      </c>
      <c r="J760" s="12" t="str">
        <f>HYPERLINK("https://www.boe.es/gazeta/dias/1805/10/25/pdfs/GMD-1805-86.pdf#page=9","Abrir facsímil")</f>
        <v>Abrir facsímil</v>
      </c>
      <c r="K760" s="15" t="s">
        <v>22</v>
      </c>
    </row>
    <row r="761" spans="1:11" ht="42" customHeight="1">
      <c r="A761" s="4" t="s">
        <v>1917</v>
      </c>
      <c r="B761" s="5" t="s">
        <v>1918</v>
      </c>
      <c r="C761" s="5" t="s">
        <v>17</v>
      </c>
      <c r="D761" s="5" t="s">
        <v>18</v>
      </c>
      <c r="E761" s="5" t="s">
        <v>495</v>
      </c>
      <c r="F761" s="9">
        <v>103</v>
      </c>
      <c r="G761" s="9">
        <v>1114</v>
      </c>
      <c r="H761" s="5" t="s">
        <v>20</v>
      </c>
      <c r="I761" s="5" t="s">
        <v>1921</v>
      </c>
      <c r="J761" s="12" t="str">
        <f>HYPERLINK("https://www.boe.es/gazeta/dias/1805/12/24/pdfs/GMD-1805-103.pdf#page=6","Abrir facsímil")</f>
        <v>Abrir facsímil</v>
      </c>
      <c r="K761" s="15" t="s">
        <v>22</v>
      </c>
    </row>
    <row r="762" spans="1:11" ht="42" customHeight="1">
      <c r="A762" s="4" t="s">
        <v>1922</v>
      </c>
      <c r="B762" s="5" t="s">
        <v>1923</v>
      </c>
      <c r="C762" s="5" t="s">
        <v>29</v>
      </c>
      <c r="D762" s="5" t="s">
        <v>30</v>
      </c>
      <c r="E762" s="5" t="s">
        <v>440</v>
      </c>
      <c r="F762" s="9">
        <v>27</v>
      </c>
      <c r="G762" s="9">
        <v>292</v>
      </c>
      <c r="H762" s="5" t="s">
        <v>20</v>
      </c>
      <c r="I762" s="5" t="s">
        <v>1924</v>
      </c>
      <c r="J762" s="12" t="str">
        <f>HYPERLINK("https://www.boe.es/gazeta/dias/1805/04/02/pdfs/GMD-1805-27.pdf#page=12","Abrir facsímil")</f>
        <v>Abrir facsímil</v>
      </c>
      <c r="K762" s="15" t="s">
        <v>22</v>
      </c>
    </row>
    <row r="763" spans="1:11" ht="42" customHeight="1">
      <c r="A763" s="4" t="s">
        <v>1922</v>
      </c>
      <c r="B763" s="5" t="s">
        <v>1923</v>
      </c>
      <c r="C763" s="5" t="s">
        <v>35</v>
      </c>
      <c r="D763" s="5" t="s">
        <v>36</v>
      </c>
      <c r="E763" s="5" t="s">
        <v>669</v>
      </c>
      <c r="F763" s="9">
        <v>84</v>
      </c>
      <c r="G763" s="9">
        <v>892</v>
      </c>
      <c r="H763" s="5" t="s">
        <v>20</v>
      </c>
      <c r="I763" s="5" t="s">
        <v>1925</v>
      </c>
      <c r="J763" s="12" t="str">
        <f>HYPERLINK("https://www.boe.es/gazeta/dias/1805/10/18/pdfs/GMD-1805-84.pdf#page=8","Abrir facsímil")</f>
        <v>Abrir facsímil</v>
      </c>
      <c r="K763" s="15" t="s">
        <v>22</v>
      </c>
    </row>
    <row r="764" spans="1:11" ht="42" customHeight="1">
      <c r="A764" s="4" t="s">
        <v>1926</v>
      </c>
      <c r="B764" s="5" t="s">
        <v>1927</v>
      </c>
      <c r="C764" s="5" t="s">
        <v>29</v>
      </c>
      <c r="D764" s="5" t="s">
        <v>30</v>
      </c>
      <c r="E764" s="5" t="s">
        <v>95</v>
      </c>
      <c r="F764" s="9">
        <v>13</v>
      </c>
      <c r="G764" s="9">
        <v>139</v>
      </c>
      <c r="H764" s="5" t="s">
        <v>20</v>
      </c>
      <c r="I764" s="5" t="s">
        <v>1928</v>
      </c>
      <c r="J764" s="12" t="str">
        <f>HYPERLINK("https://www.boe.es/gazeta/dias/1805/02/12/pdfs/GMD-1805-13.pdf#page=7","Abrir facsímil")</f>
        <v>Abrir facsímil</v>
      </c>
      <c r="K764" s="15" t="s">
        <v>22</v>
      </c>
    </row>
    <row r="765" spans="1:11" ht="42" customHeight="1">
      <c r="A765" s="4" t="s">
        <v>1929</v>
      </c>
      <c r="B765" s="5" t="s">
        <v>1930</v>
      </c>
      <c r="C765" s="5" t="s">
        <v>35</v>
      </c>
      <c r="D765" s="5" t="s">
        <v>36</v>
      </c>
      <c r="E765" s="5" t="s">
        <v>170</v>
      </c>
      <c r="F765" s="9">
        <v>9</v>
      </c>
      <c r="G765" s="9">
        <v>99</v>
      </c>
      <c r="H765" s="5" t="s">
        <v>20</v>
      </c>
      <c r="I765" s="5" t="s">
        <v>1931</v>
      </c>
      <c r="J765" s="12" t="str">
        <f>HYPERLINK("https://www.boe.es/gazeta/dias/1805/01/29/pdfs/GMD-1805-9.pdf#page=7","Abrir facsímil")</f>
        <v>Abrir facsímil</v>
      </c>
      <c r="K765" s="15" t="s">
        <v>22</v>
      </c>
    </row>
    <row r="766" spans="1:11" ht="42" customHeight="1">
      <c r="A766" s="4" t="s">
        <v>1932</v>
      </c>
      <c r="B766" s="5" t="s">
        <v>1933</v>
      </c>
      <c r="C766" s="5" t="s">
        <v>17</v>
      </c>
      <c r="D766" s="5" t="s">
        <v>18</v>
      </c>
      <c r="E766" s="5" t="s">
        <v>63</v>
      </c>
      <c r="F766" s="9">
        <v>101</v>
      </c>
      <c r="G766" s="9">
        <v>1092</v>
      </c>
      <c r="H766" s="5" t="s">
        <v>20</v>
      </c>
      <c r="I766" s="5" t="s">
        <v>1934</v>
      </c>
      <c r="J766" s="12" t="str">
        <f>HYPERLINK("https://www.boe.es/gazeta/dias/1805/12/17/pdfs/GMD-1805-101.pdf#page=8","Abrir facsímil")</f>
        <v>Abrir facsímil</v>
      </c>
      <c r="K766" s="15" t="s">
        <v>22</v>
      </c>
    </row>
    <row r="767" spans="1:11" ht="42" customHeight="1">
      <c r="A767" s="4" t="s">
        <v>1935</v>
      </c>
      <c r="B767" s="5" t="s">
        <v>1936</v>
      </c>
      <c r="C767" s="5" t="s">
        <v>85</v>
      </c>
      <c r="D767" s="5" t="s">
        <v>86</v>
      </c>
      <c r="E767" s="5" t="s">
        <v>1292</v>
      </c>
      <c r="F767" s="9">
        <v>43</v>
      </c>
      <c r="G767" s="9">
        <v>462</v>
      </c>
      <c r="H767" s="5" t="s">
        <v>20</v>
      </c>
      <c r="I767" s="5" t="s">
        <v>1937</v>
      </c>
      <c r="J767" s="12" t="str">
        <f>HYPERLINK("https://www.boe.es/gazeta/dias/1805/05/28/pdfs/GMD-1805-43.pdf#page=6","Abrir facsímil")</f>
        <v>Abrir facsímil</v>
      </c>
      <c r="K767" s="15" t="s">
        <v>22</v>
      </c>
    </row>
    <row r="768" spans="1:11" ht="42" customHeight="1">
      <c r="A768" s="4" t="s">
        <v>1938</v>
      </c>
      <c r="B768" s="5" t="s">
        <v>1939</v>
      </c>
      <c r="C768" s="5" t="s">
        <v>184</v>
      </c>
      <c r="D768" s="5" t="s">
        <v>86</v>
      </c>
      <c r="E768" s="5" t="s">
        <v>1445</v>
      </c>
      <c r="F768" s="9">
        <v>6</v>
      </c>
      <c r="G768" s="9">
        <v>67</v>
      </c>
      <c r="H768" s="5" t="s">
        <v>20</v>
      </c>
      <c r="I768" s="5" t="s">
        <v>1940</v>
      </c>
      <c r="J768" s="12" t="str">
        <f>HYPERLINK("https://www.boe.es/gazeta/dias/1805/01/18/pdfs/GMD-1805-6.pdf#page=11","Abrir facsímil")</f>
        <v>Abrir facsímil</v>
      </c>
      <c r="K768" s="15" t="s">
        <v>22</v>
      </c>
    </row>
    <row r="769" spans="1:11" ht="42" customHeight="1">
      <c r="A769" s="4" t="s">
        <v>1941</v>
      </c>
      <c r="B769" s="5" t="s">
        <v>1942</v>
      </c>
      <c r="C769" s="5" t="s">
        <v>35</v>
      </c>
      <c r="D769" s="5" t="s">
        <v>36</v>
      </c>
      <c r="E769" s="5" t="s">
        <v>281</v>
      </c>
      <c r="F769" s="9">
        <v>15</v>
      </c>
      <c r="G769" s="9">
        <v>156</v>
      </c>
      <c r="H769" s="5" t="s">
        <v>20</v>
      </c>
      <c r="I769" s="5" t="s">
        <v>1943</v>
      </c>
      <c r="J769" s="12" t="str">
        <f>HYPERLINK("https://www.boe.es/gazeta/dias/1805/02/19/pdfs/GMD-1805-15.pdf#page=8","Abrir facsímil")</f>
        <v>Abrir facsímil</v>
      </c>
      <c r="K769" s="15" t="s">
        <v>22</v>
      </c>
    </row>
    <row r="770" spans="1:11" ht="42" customHeight="1">
      <c r="A770" s="4" t="s">
        <v>1944</v>
      </c>
      <c r="B770" s="5" t="s">
        <v>1945</v>
      </c>
      <c r="C770" s="5" t="s">
        <v>35</v>
      </c>
      <c r="D770" s="5" t="s">
        <v>36</v>
      </c>
      <c r="E770" s="5" t="s">
        <v>144</v>
      </c>
      <c r="F770" s="9">
        <v>85</v>
      </c>
      <c r="G770" s="9">
        <v>902</v>
      </c>
      <c r="H770" s="5" t="s">
        <v>20</v>
      </c>
      <c r="I770" s="5" t="s">
        <v>1946</v>
      </c>
      <c r="J770" s="12" t="str">
        <f>HYPERLINK("https://www.boe.es/gazeta/dias/1805/10/22/pdfs/GMD-1805-85.pdf#page=10","Abrir facsímil")</f>
        <v>Abrir facsímil</v>
      </c>
      <c r="K770" s="15" t="s">
        <v>22</v>
      </c>
    </row>
    <row r="771" spans="1:11" ht="42" customHeight="1">
      <c r="A771" s="4" t="s">
        <v>1947</v>
      </c>
      <c r="B771" s="5" t="s">
        <v>1948</v>
      </c>
      <c r="C771" s="5" t="s">
        <v>17</v>
      </c>
      <c r="D771" s="5" t="s">
        <v>18</v>
      </c>
      <c r="E771" s="5" t="s">
        <v>91</v>
      </c>
      <c r="F771" s="9">
        <v>28</v>
      </c>
      <c r="G771" s="9">
        <v>304</v>
      </c>
      <c r="H771" s="5" t="s">
        <v>20</v>
      </c>
      <c r="I771" s="5" t="s">
        <v>1949</v>
      </c>
      <c r="J771" s="12" t="str">
        <f>HYPERLINK("https://www.boe.es/gazeta/dias/1805/04/05/pdfs/GMD-1805-28.pdf#page=12","Abrir facsímil")</f>
        <v>Abrir facsímil</v>
      </c>
      <c r="K771" s="15" t="s">
        <v>22</v>
      </c>
    </row>
    <row r="772" spans="1:11" ht="42" customHeight="1">
      <c r="A772" s="4" t="s">
        <v>1950</v>
      </c>
      <c r="B772" s="5" t="s">
        <v>1951</v>
      </c>
      <c r="C772" s="5" t="s">
        <v>17</v>
      </c>
      <c r="D772" s="5" t="s">
        <v>18</v>
      </c>
      <c r="E772" s="5" t="s">
        <v>63</v>
      </c>
      <c r="F772" s="9">
        <v>101</v>
      </c>
      <c r="G772" s="9">
        <v>1093</v>
      </c>
      <c r="H772" s="5" t="s">
        <v>20</v>
      </c>
      <c r="I772" s="5" t="s">
        <v>1952</v>
      </c>
      <c r="J772" s="12" t="str">
        <f>HYPERLINK("https://www.boe.es/gazeta/dias/1805/12/17/pdfs/GMD-1805-101.pdf#page=9","Abrir facsímil")</f>
        <v>Abrir facsímil</v>
      </c>
      <c r="K772" s="15" t="s">
        <v>22</v>
      </c>
    </row>
    <row r="773" spans="1:11" ht="42" customHeight="1">
      <c r="A773" s="4" t="s">
        <v>1953</v>
      </c>
      <c r="B773" s="5" t="s">
        <v>1954</v>
      </c>
      <c r="C773" s="5" t="s">
        <v>85</v>
      </c>
      <c r="D773" s="5" t="s">
        <v>86</v>
      </c>
      <c r="E773" s="5" t="s">
        <v>48</v>
      </c>
      <c r="F773" s="9">
        <v>35</v>
      </c>
      <c r="G773" s="9">
        <v>379</v>
      </c>
      <c r="H773" s="5" t="s">
        <v>20</v>
      </c>
      <c r="I773" s="5" t="s">
        <v>1955</v>
      </c>
      <c r="J773" s="12" t="str">
        <f>HYPERLINK("https://www.boe.es/gazeta/dias/1805/04/30/pdfs/GMD-1805-35.pdf#page=11","Abrir facsímil")</f>
        <v>Abrir facsímil</v>
      </c>
      <c r="K773" s="15" t="s">
        <v>22</v>
      </c>
    </row>
    <row r="774" spans="1:11" ht="42" customHeight="1">
      <c r="A774" s="4" t="s">
        <v>1956</v>
      </c>
      <c r="B774" s="5" t="s">
        <v>1957</v>
      </c>
      <c r="C774" s="5" t="s">
        <v>35</v>
      </c>
      <c r="D774" s="5" t="s">
        <v>36</v>
      </c>
      <c r="E774" s="5" t="s">
        <v>539</v>
      </c>
      <c r="F774" s="9">
        <v>97</v>
      </c>
      <c r="G774" s="9">
        <v>1045</v>
      </c>
      <c r="H774" s="5" t="s">
        <v>20</v>
      </c>
      <c r="I774" s="5" t="s">
        <v>1958</v>
      </c>
      <c r="J774" s="12" t="str">
        <f>HYPERLINK("https://www.boe.es/gazeta/dias/1805/12/03/pdfs/GMD-1805-97.pdf#page=9","Abrir facsímil")</f>
        <v>Abrir facsímil</v>
      </c>
      <c r="K774" s="15" t="s">
        <v>22</v>
      </c>
    </row>
    <row r="775" spans="1:11" ht="42" customHeight="1">
      <c r="A775" s="4" t="s">
        <v>1959</v>
      </c>
      <c r="B775" s="5" t="s">
        <v>1960</v>
      </c>
      <c r="C775" s="5" t="s">
        <v>17</v>
      </c>
      <c r="D775" s="5" t="s">
        <v>18</v>
      </c>
      <c r="E775" s="5" t="s">
        <v>63</v>
      </c>
      <c r="F775" s="9">
        <v>101</v>
      </c>
      <c r="G775" s="9">
        <v>1092</v>
      </c>
      <c r="H775" s="5" t="s">
        <v>20</v>
      </c>
      <c r="I775" s="5" t="s">
        <v>1961</v>
      </c>
      <c r="J775" s="12" t="str">
        <f>HYPERLINK("https://www.boe.es/gazeta/dias/1805/12/17/pdfs/GMD-1805-101.pdf#page=8","Abrir facsímil")</f>
        <v>Abrir facsímil</v>
      </c>
      <c r="K775" s="15" t="s">
        <v>22</v>
      </c>
    </row>
    <row r="776" spans="1:11" ht="42" customHeight="1">
      <c r="A776" s="4" t="s">
        <v>1962</v>
      </c>
      <c r="B776" s="5" t="s">
        <v>1963</v>
      </c>
      <c r="C776" s="5" t="s">
        <v>35</v>
      </c>
      <c r="D776" s="5" t="s">
        <v>36</v>
      </c>
      <c r="E776" s="5" t="s">
        <v>163</v>
      </c>
      <c r="F776" s="9">
        <v>77</v>
      </c>
      <c r="G776" s="9">
        <v>817</v>
      </c>
      <c r="H776" s="5" t="s">
        <v>20</v>
      </c>
      <c r="I776" s="5" t="s">
        <v>1964</v>
      </c>
      <c r="J776" s="12" t="str">
        <f>HYPERLINK("https://www.boe.es/gazeta/dias/1805/09/24/pdfs/GMD-1805-77.pdf#page=9","Abrir facsímil")</f>
        <v>Abrir facsímil</v>
      </c>
      <c r="K776" s="15" t="s">
        <v>22</v>
      </c>
    </row>
    <row r="777" spans="1:11" ht="42" customHeight="1">
      <c r="A777" s="4" t="s">
        <v>1965</v>
      </c>
      <c r="B777" s="5" t="s">
        <v>1966</v>
      </c>
      <c r="C777" s="5" t="s">
        <v>17</v>
      </c>
      <c r="D777" s="5" t="s">
        <v>18</v>
      </c>
      <c r="E777" s="5" t="s">
        <v>1132</v>
      </c>
      <c r="F777" s="9">
        <v>72</v>
      </c>
      <c r="G777" s="9">
        <v>766</v>
      </c>
      <c r="H777" s="5" t="s">
        <v>20</v>
      </c>
      <c r="I777" s="5" t="s">
        <v>1967</v>
      </c>
      <c r="J777" s="12" t="str">
        <f>HYPERLINK("https://www.boe.es/gazeta/dias/1805/09/06/pdfs/GMD-1805-72.pdf#page=6","Abrir facsímil")</f>
        <v>Abrir facsímil</v>
      </c>
      <c r="K777" s="15" t="s">
        <v>22</v>
      </c>
    </row>
    <row r="778" spans="1:11" ht="42" customHeight="1">
      <c r="A778" s="4" t="s">
        <v>1968</v>
      </c>
      <c r="B778" s="5" t="s">
        <v>1969</v>
      </c>
      <c r="C778" s="5" t="s">
        <v>35</v>
      </c>
      <c r="D778" s="5" t="s">
        <v>36</v>
      </c>
      <c r="E778" s="5" t="s">
        <v>506</v>
      </c>
      <c r="F778" s="9">
        <v>80</v>
      </c>
      <c r="G778" s="9">
        <v>850</v>
      </c>
      <c r="H778" s="5" t="s">
        <v>20</v>
      </c>
      <c r="I778" s="5" t="s">
        <v>1970</v>
      </c>
      <c r="J778" s="12" t="str">
        <f>HYPERLINK("https://www.boe.es/gazeta/dias/1805/10/04/pdfs/GMD-1805-80.pdf#page=10","Abrir facsímil")</f>
        <v>Abrir facsímil</v>
      </c>
      <c r="K778" s="15" t="s">
        <v>22</v>
      </c>
    </row>
    <row r="779" spans="1:11" ht="42" customHeight="1">
      <c r="A779" s="4" t="s">
        <v>1971</v>
      </c>
      <c r="B779" s="5" t="s">
        <v>1972</v>
      </c>
      <c r="C779" s="5" t="s">
        <v>17</v>
      </c>
      <c r="D779" s="5" t="s">
        <v>18</v>
      </c>
      <c r="E779" s="5" t="s">
        <v>63</v>
      </c>
      <c r="F779" s="9">
        <v>101</v>
      </c>
      <c r="G779" s="9">
        <v>1091</v>
      </c>
      <c r="H779" s="5" t="s">
        <v>20</v>
      </c>
      <c r="I779" s="5" t="s">
        <v>1973</v>
      </c>
      <c r="J779" s="12" t="str">
        <f>HYPERLINK("https://www.boe.es/gazeta/dias/1805/12/17/pdfs/GMD-1805-101.pdf#page=7","Abrir facsímil")</f>
        <v>Abrir facsímil</v>
      </c>
      <c r="K779" s="15" t="s">
        <v>22</v>
      </c>
    </row>
    <row r="780" spans="1:11" ht="42" customHeight="1">
      <c r="A780" s="4" t="s">
        <v>1974</v>
      </c>
      <c r="B780" s="5" t="s">
        <v>1974</v>
      </c>
      <c r="C780" s="5" t="s">
        <v>184</v>
      </c>
      <c r="D780" s="5" t="s">
        <v>86</v>
      </c>
      <c r="E780" s="5" t="s">
        <v>135</v>
      </c>
      <c r="F780" s="9">
        <v>71</v>
      </c>
      <c r="G780" s="9">
        <v>751</v>
      </c>
      <c r="H780" s="5" t="s">
        <v>20</v>
      </c>
      <c r="I780" s="5" t="s">
        <v>1975</v>
      </c>
      <c r="J780" s="12" t="str">
        <f>HYPERLINK("https://www.boe.es/gazeta/dias/1805/09/03/pdfs/GMD-1805-71.pdf#page=3","Abrir facsímil")</f>
        <v>Abrir facsímil</v>
      </c>
      <c r="K780" s="15" t="s">
        <v>22</v>
      </c>
    </row>
    <row r="781" spans="1:11" ht="42" customHeight="1">
      <c r="A781" s="4" t="s">
        <v>1976</v>
      </c>
      <c r="B781" s="5" t="s">
        <v>1976</v>
      </c>
      <c r="C781" s="5" t="s">
        <v>80</v>
      </c>
      <c r="D781" s="5" t="s">
        <v>81</v>
      </c>
      <c r="E781" s="5" t="s">
        <v>27</v>
      </c>
      <c r="F781" s="9">
        <v>37</v>
      </c>
      <c r="G781" s="9">
        <v>398</v>
      </c>
      <c r="H781" s="5" t="s">
        <v>20</v>
      </c>
      <c r="I781" s="5" t="s">
        <v>1977</v>
      </c>
      <c r="J781" s="12" t="str">
        <f>HYPERLINK("https://www.boe.es/gazeta/dias/1805/05/07/pdfs/GMD-1805-37.pdf#page=6","Abrir facsímil")</f>
        <v>Abrir facsímil</v>
      </c>
      <c r="K781" s="15" t="s">
        <v>22</v>
      </c>
    </row>
    <row r="782" spans="1:11" ht="42" customHeight="1">
      <c r="A782" s="4" t="s">
        <v>1978</v>
      </c>
      <c r="B782" s="5" t="s">
        <v>1979</v>
      </c>
      <c r="C782" s="5" t="s">
        <v>35</v>
      </c>
      <c r="D782" s="5" t="s">
        <v>36</v>
      </c>
      <c r="E782" s="5" t="s">
        <v>122</v>
      </c>
      <c r="F782" s="9">
        <v>38</v>
      </c>
      <c r="G782" s="9">
        <v>411</v>
      </c>
      <c r="H782" s="5" t="s">
        <v>20</v>
      </c>
      <c r="I782" s="5" t="s">
        <v>1980</v>
      </c>
      <c r="J782" s="12" t="str">
        <f>HYPERLINK("https://www.boe.es/gazeta/dias/1805/05/10/pdfs/GMD-1805-38.pdf#page=7","Abrir facsímil")</f>
        <v>Abrir facsímil</v>
      </c>
      <c r="K782" s="15" t="s">
        <v>22</v>
      </c>
    </row>
    <row r="783" spans="1:11" ht="42" customHeight="1">
      <c r="A783" s="4" t="s">
        <v>1981</v>
      </c>
      <c r="B783" s="5" t="s">
        <v>1982</v>
      </c>
      <c r="C783" s="5" t="s">
        <v>35</v>
      </c>
      <c r="D783" s="5" t="s">
        <v>36</v>
      </c>
      <c r="E783" s="5" t="s">
        <v>63</v>
      </c>
      <c r="F783" s="9">
        <v>101</v>
      </c>
      <c r="G783" s="9">
        <v>1092</v>
      </c>
      <c r="H783" s="5" t="s">
        <v>20</v>
      </c>
      <c r="I783" s="5" t="s">
        <v>1983</v>
      </c>
      <c r="J783" s="12" t="str">
        <f>HYPERLINK("https://www.boe.es/gazeta/dias/1805/12/17/pdfs/GMD-1805-101.pdf#page=8","Abrir facsímil")</f>
        <v>Abrir facsímil</v>
      </c>
      <c r="K783" s="15" t="s">
        <v>22</v>
      </c>
    </row>
    <row r="784" spans="1:11" ht="42" customHeight="1">
      <c r="A784" s="4" t="s">
        <v>1984</v>
      </c>
      <c r="B784" s="5" t="s">
        <v>1985</v>
      </c>
      <c r="C784" s="5" t="s">
        <v>35</v>
      </c>
      <c r="D784" s="5" t="s">
        <v>36</v>
      </c>
      <c r="E784" s="5" t="s">
        <v>673</v>
      </c>
      <c r="F784" s="9">
        <v>32</v>
      </c>
      <c r="G784" s="9">
        <v>342</v>
      </c>
      <c r="H784" s="5" t="s">
        <v>20</v>
      </c>
      <c r="I784" s="5" t="s">
        <v>1986</v>
      </c>
      <c r="J784" s="12" t="str">
        <f>HYPERLINK("https://www.boe.es/gazeta/dias/1805/04/19/pdfs/GMD-1805-32.pdf#page=6","Abrir facsímil")</f>
        <v>Abrir facsímil</v>
      </c>
      <c r="K784" s="15" t="s">
        <v>22</v>
      </c>
    </row>
    <row r="785" spans="1:11" ht="42" customHeight="1">
      <c r="A785" s="4" t="s">
        <v>1987</v>
      </c>
      <c r="B785" s="5" t="s">
        <v>1988</v>
      </c>
      <c r="C785" s="5" t="s">
        <v>35</v>
      </c>
      <c r="D785" s="5" t="s">
        <v>36</v>
      </c>
      <c r="E785" s="5" t="s">
        <v>904</v>
      </c>
      <c r="F785" s="9">
        <v>47</v>
      </c>
      <c r="G785" s="9">
        <v>509</v>
      </c>
      <c r="H785" s="5" t="s">
        <v>20</v>
      </c>
      <c r="I785" s="5" t="s">
        <v>1989</v>
      </c>
      <c r="J785" s="12" t="str">
        <f>HYPERLINK("https://www.boe.es/gazeta/dias/1805/06/11/pdfs/GMD-1805-47.pdf#page=9","Abrir facsímil")</f>
        <v>Abrir facsímil</v>
      </c>
      <c r="K785" s="15" t="s">
        <v>22</v>
      </c>
    </row>
    <row r="786" spans="1:11" ht="42" customHeight="1">
      <c r="A786" s="4" t="s">
        <v>1990</v>
      </c>
      <c r="B786" s="5" t="s">
        <v>1990</v>
      </c>
      <c r="C786" s="5" t="s">
        <v>35</v>
      </c>
      <c r="D786" s="5" t="s">
        <v>36</v>
      </c>
      <c r="E786" s="5" t="s">
        <v>170</v>
      </c>
      <c r="F786" s="9">
        <v>9</v>
      </c>
      <c r="G786" s="9">
        <v>100</v>
      </c>
      <c r="H786" s="5" t="s">
        <v>20</v>
      </c>
      <c r="I786" s="5" t="s">
        <v>1991</v>
      </c>
      <c r="J786" s="12" t="str">
        <f>HYPERLINK("https://www.boe.es/gazeta/dias/1805/01/29/pdfs/GMD-1805-9.pdf#page=8","Abrir facsímil")</f>
        <v>Abrir facsímil</v>
      </c>
      <c r="K786" s="15" t="s">
        <v>22</v>
      </c>
    </row>
    <row r="787" spans="1:11" ht="42" customHeight="1">
      <c r="A787" s="4" t="s">
        <v>1992</v>
      </c>
      <c r="B787" s="5" t="s">
        <v>1993</v>
      </c>
      <c r="C787" s="5" t="s">
        <v>35</v>
      </c>
      <c r="D787" s="5" t="s">
        <v>36</v>
      </c>
      <c r="E787" s="5" t="s">
        <v>103</v>
      </c>
      <c r="F787" s="9">
        <v>30</v>
      </c>
      <c r="G787" s="9">
        <v>323</v>
      </c>
      <c r="H787" s="5" t="s">
        <v>20</v>
      </c>
      <c r="I787" s="5" t="s">
        <v>1994</v>
      </c>
      <c r="J787" s="12" t="str">
        <f>HYPERLINK("https://www.boe.es/gazeta/dias/1805/04/12/pdfs/GMD-1805-30.pdf#page=7","Abrir facsímil")</f>
        <v>Abrir facsímil</v>
      </c>
      <c r="K787" s="15" t="s">
        <v>22</v>
      </c>
    </row>
    <row r="788" spans="1:11" ht="42" customHeight="1">
      <c r="A788" s="4" t="s">
        <v>1995</v>
      </c>
      <c r="B788" s="5" t="s">
        <v>1996</v>
      </c>
      <c r="C788" s="5" t="s">
        <v>85</v>
      </c>
      <c r="D788" s="5" t="s">
        <v>86</v>
      </c>
      <c r="E788" s="5" t="s">
        <v>76</v>
      </c>
      <c r="F788" s="9">
        <v>66</v>
      </c>
      <c r="G788" s="9">
        <v>708</v>
      </c>
      <c r="H788" s="5" t="s">
        <v>20</v>
      </c>
      <c r="I788" s="5" t="s">
        <v>1997</v>
      </c>
      <c r="J788" s="12" t="str">
        <f>HYPERLINK("https://www.boe.es/gazeta/dias/1805/08/16/pdfs/GMD-1805-66.pdf#page=8","Abrir facsímil")</f>
        <v>Abrir facsímil</v>
      </c>
      <c r="K788" s="15" t="s">
        <v>22</v>
      </c>
    </row>
    <row r="789" spans="1:11" ht="42" customHeight="1">
      <c r="A789" s="4" t="s">
        <v>1998</v>
      </c>
      <c r="B789" s="5" t="s">
        <v>1999</v>
      </c>
      <c r="C789" s="5" t="s">
        <v>17</v>
      </c>
      <c r="D789" s="5" t="s">
        <v>18</v>
      </c>
      <c r="E789" s="5" t="s">
        <v>138</v>
      </c>
      <c r="F789" s="9">
        <v>102</v>
      </c>
      <c r="G789" s="9">
        <v>1104</v>
      </c>
      <c r="H789" s="5" t="s">
        <v>20</v>
      </c>
      <c r="I789" s="5" t="s">
        <v>2000</v>
      </c>
      <c r="J789" s="12" t="str">
        <f>HYPERLINK("https://www.boe.es/gazeta/dias/1805/12/20/pdfs/GMD-1805-102.pdf#page=8","Abrir facsímil")</f>
        <v>Abrir facsímil</v>
      </c>
      <c r="K789" s="15" t="s">
        <v>22</v>
      </c>
    </row>
    <row r="790" spans="1:11" ht="42" customHeight="1">
      <c r="A790" s="4" t="s">
        <v>2001</v>
      </c>
      <c r="B790" s="5" t="s">
        <v>2002</v>
      </c>
      <c r="C790" s="5" t="s">
        <v>52</v>
      </c>
      <c r="D790" s="5" t="s">
        <v>53</v>
      </c>
      <c r="E790" s="5" t="s">
        <v>144</v>
      </c>
      <c r="F790" s="9">
        <v>85</v>
      </c>
      <c r="G790" s="9" t="s">
        <v>1002</v>
      </c>
      <c r="H790" s="5" t="s">
        <v>20</v>
      </c>
      <c r="I790" s="5" t="s">
        <v>2003</v>
      </c>
      <c r="J790" s="12" t="str">
        <f>HYPERLINK("https://www.boe.es/gazeta/dias/1805/10/22/pdfs/GMD-C-1805-85.pdf#page=7","Abrir facsímil")</f>
        <v>Abrir facsímil</v>
      </c>
      <c r="K790" s="15" t="s">
        <v>22</v>
      </c>
    </row>
    <row r="791" spans="1:11" ht="42" customHeight="1">
      <c r="A791" s="4" t="s">
        <v>2004</v>
      </c>
      <c r="B791" s="5" t="s">
        <v>2005</v>
      </c>
      <c r="C791" s="5" t="s">
        <v>85</v>
      </c>
      <c r="D791" s="5" t="s">
        <v>86</v>
      </c>
      <c r="E791" s="5" t="s">
        <v>144</v>
      </c>
      <c r="F791" s="9">
        <v>85</v>
      </c>
      <c r="G791" s="9">
        <v>902</v>
      </c>
      <c r="H791" s="5" t="s">
        <v>20</v>
      </c>
      <c r="I791" s="5" t="s">
        <v>2006</v>
      </c>
      <c r="J791" s="12" t="str">
        <f>HYPERLINK("https://www.boe.es/gazeta/dias/1805/10/22/pdfs/GMD-1805-85.pdf#page=10","Abrir facsímil")</f>
        <v>Abrir facsímil</v>
      </c>
      <c r="K791" s="15" t="s">
        <v>22</v>
      </c>
    </row>
    <row r="792" spans="1:11" ht="42" customHeight="1">
      <c r="A792" s="4" t="s">
        <v>2007</v>
      </c>
      <c r="B792" s="5" t="s">
        <v>2008</v>
      </c>
      <c r="C792" s="5" t="s">
        <v>35</v>
      </c>
      <c r="D792" s="5" t="s">
        <v>36</v>
      </c>
      <c r="E792" s="5" t="s">
        <v>669</v>
      </c>
      <c r="F792" s="9">
        <v>84</v>
      </c>
      <c r="G792" s="9">
        <v>890</v>
      </c>
      <c r="H792" s="5" t="s">
        <v>20</v>
      </c>
      <c r="I792" s="5" t="s">
        <v>2009</v>
      </c>
      <c r="J792" s="12" t="str">
        <f>HYPERLINK("https://www.boe.es/gazeta/dias/1805/10/18/pdfs/GMD-1805-84.pdf#page=6","Abrir facsímil")</f>
        <v>Abrir facsímil</v>
      </c>
      <c r="K792" s="15" t="s">
        <v>22</v>
      </c>
    </row>
    <row r="793" spans="1:11" ht="42" customHeight="1">
      <c r="A793" s="4" t="s">
        <v>2010</v>
      </c>
      <c r="B793" s="5" t="s">
        <v>2011</v>
      </c>
      <c r="C793" s="5" t="s">
        <v>52</v>
      </c>
      <c r="D793" s="5" t="s">
        <v>53</v>
      </c>
      <c r="E793" s="5" t="s">
        <v>54</v>
      </c>
      <c r="F793" s="9">
        <v>99</v>
      </c>
      <c r="G793" s="9" t="s">
        <v>55</v>
      </c>
      <c r="H793" s="5" t="s">
        <v>20</v>
      </c>
      <c r="I793" s="5" t="s">
        <v>2012</v>
      </c>
      <c r="J793" s="12" t="str">
        <f>HYPERLINK("https://www.boe.es/gazeta/dias/1805/12/10/pdfs/GMD-C-1805-99.pdf#page=4","Abrir facsímil")</f>
        <v>Abrir facsímil</v>
      </c>
      <c r="K793" s="15" t="s">
        <v>22</v>
      </c>
    </row>
    <row r="794" spans="1:11" ht="42" customHeight="1">
      <c r="A794" s="4" t="s">
        <v>2013</v>
      </c>
      <c r="B794" s="5" t="s">
        <v>2014</v>
      </c>
      <c r="C794" s="5" t="s">
        <v>35</v>
      </c>
      <c r="D794" s="5" t="s">
        <v>36</v>
      </c>
      <c r="E794" s="5" t="s">
        <v>24</v>
      </c>
      <c r="F794" s="9">
        <v>11</v>
      </c>
      <c r="G794" s="9">
        <v>121</v>
      </c>
      <c r="H794" s="5" t="s">
        <v>20</v>
      </c>
      <c r="I794" s="5" t="s">
        <v>2015</v>
      </c>
      <c r="J794" s="12" t="str">
        <f>HYPERLINK("https://www.boe.es/gazeta/dias/1805/02/05/pdfs/GMD-1805-11.pdf#page=9","Abrir facsímil")</f>
        <v>Abrir facsímil</v>
      </c>
      <c r="K794" s="15" t="s">
        <v>22</v>
      </c>
    </row>
    <row r="795" spans="1:11" ht="42" customHeight="1">
      <c r="A795" s="4" t="s">
        <v>2016</v>
      </c>
      <c r="B795" s="5" t="s">
        <v>2017</v>
      </c>
      <c r="C795" s="5" t="s">
        <v>35</v>
      </c>
      <c r="D795" s="5" t="s">
        <v>36</v>
      </c>
      <c r="E795" s="5" t="s">
        <v>393</v>
      </c>
      <c r="F795" s="9">
        <v>44</v>
      </c>
      <c r="G795" s="9">
        <v>474</v>
      </c>
      <c r="H795" s="5" t="s">
        <v>20</v>
      </c>
      <c r="I795" s="5" t="s">
        <v>2018</v>
      </c>
      <c r="J795" s="12" t="str">
        <f>HYPERLINK("https://www.boe.es/gazeta/dias/1805/05/31/pdfs/GMD-1805-44.pdf#page=10","Abrir facsímil")</f>
        <v>Abrir facsímil</v>
      </c>
      <c r="K795" s="15" t="s">
        <v>22</v>
      </c>
    </row>
    <row r="796" spans="1:11" ht="42" customHeight="1">
      <c r="A796" s="4" t="s">
        <v>2019</v>
      </c>
      <c r="B796" s="5" t="s">
        <v>2020</v>
      </c>
      <c r="C796" s="5" t="s">
        <v>52</v>
      </c>
      <c r="D796" s="5" t="s">
        <v>53</v>
      </c>
      <c r="E796" s="5" t="s">
        <v>82</v>
      </c>
      <c r="F796" s="9">
        <v>25</v>
      </c>
      <c r="G796" s="9" t="s">
        <v>145</v>
      </c>
      <c r="H796" s="5" t="s">
        <v>20</v>
      </c>
      <c r="I796" s="5" t="s">
        <v>2021</v>
      </c>
      <c r="J796" s="12" t="str">
        <f>HYPERLINK("https://www.boe.es/gazeta/dias/1805/03/26/pdfs/GMD-C-1805-25.pdf#page=2","Abrir facsímil")</f>
        <v>Abrir facsímil</v>
      </c>
      <c r="K796" s="15" t="s">
        <v>22</v>
      </c>
    </row>
    <row r="797" spans="1:11" ht="42" customHeight="1">
      <c r="A797" s="4" t="s">
        <v>2022</v>
      </c>
      <c r="B797" s="5" t="s">
        <v>2022</v>
      </c>
      <c r="C797" s="5" t="s">
        <v>184</v>
      </c>
      <c r="D797" s="5" t="s">
        <v>86</v>
      </c>
      <c r="E797" s="5" t="s">
        <v>567</v>
      </c>
      <c r="F797" s="9">
        <v>49</v>
      </c>
      <c r="G797" s="9">
        <v>531</v>
      </c>
      <c r="H797" s="5" t="s">
        <v>20</v>
      </c>
      <c r="I797" s="5" t="s">
        <v>2023</v>
      </c>
      <c r="J797" s="12" t="str">
        <f>HYPERLINK("https://www.boe.es/gazeta/dias/1805/06/18/pdfs/GMD-1805-49.pdf#page=7","Abrir facsímil")</f>
        <v>Abrir facsímil</v>
      </c>
      <c r="K797" s="15" t="s">
        <v>22</v>
      </c>
    </row>
    <row r="798" spans="1:11" ht="42" customHeight="1">
      <c r="A798" s="4" t="s">
        <v>2024</v>
      </c>
      <c r="B798" s="5" t="s">
        <v>2024</v>
      </c>
      <c r="C798" s="5" t="s">
        <v>35</v>
      </c>
      <c r="D798" s="5" t="s">
        <v>36</v>
      </c>
      <c r="E798" s="5" t="s">
        <v>148</v>
      </c>
      <c r="F798" s="9">
        <v>50</v>
      </c>
      <c r="G798" s="9">
        <v>542</v>
      </c>
      <c r="H798" s="5" t="s">
        <v>20</v>
      </c>
      <c r="I798" s="5" t="s">
        <v>2025</v>
      </c>
      <c r="J798" s="12" t="str">
        <f>HYPERLINK("https://www.boe.es/gazeta/dias/1805/06/21/pdfs/GMD-1805-50.pdf#page=10","Abrir facsímil")</f>
        <v>Abrir facsímil</v>
      </c>
      <c r="K798" s="15" t="s">
        <v>22</v>
      </c>
    </row>
    <row r="799" spans="1:11" ht="42" customHeight="1">
      <c r="A799" s="4" t="s">
        <v>2024</v>
      </c>
      <c r="B799" s="5" t="s">
        <v>2024</v>
      </c>
      <c r="C799" s="5" t="s">
        <v>35</v>
      </c>
      <c r="D799" s="5" t="s">
        <v>36</v>
      </c>
      <c r="E799" s="5" t="s">
        <v>76</v>
      </c>
      <c r="F799" s="9">
        <v>66</v>
      </c>
      <c r="G799" s="9">
        <v>711</v>
      </c>
      <c r="H799" s="5" t="s">
        <v>20</v>
      </c>
      <c r="I799" s="5" t="s">
        <v>2026</v>
      </c>
      <c r="J799" s="12" t="str">
        <f>HYPERLINK("https://www.boe.es/gazeta/dias/1805/08/16/pdfs/GMD-1805-66.pdf#page=11","Abrir facsímil")</f>
        <v>Abrir facsímil</v>
      </c>
      <c r="K799" s="15" t="s">
        <v>22</v>
      </c>
    </row>
    <row r="800" spans="1:11" ht="42" customHeight="1">
      <c r="A800" s="4" t="s">
        <v>2027</v>
      </c>
      <c r="B800" s="5" t="s">
        <v>2027</v>
      </c>
      <c r="C800" s="5" t="s">
        <v>35</v>
      </c>
      <c r="D800" s="5" t="s">
        <v>36</v>
      </c>
      <c r="E800" s="5" t="s">
        <v>63</v>
      </c>
      <c r="F800" s="9">
        <v>101</v>
      </c>
      <c r="G800" s="9">
        <v>1093</v>
      </c>
      <c r="H800" s="5" t="s">
        <v>20</v>
      </c>
      <c r="I800" s="5" t="s">
        <v>2028</v>
      </c>
      <c r="J800" s="12" t="str">
        <f>HYPERLINK("https://www.boe.es/gazeta/dias/1805/12/17/pdfs/GMD-1805-101.pdf#page=9","Abrir facsímil")</f>
        <v>Abrir facsímil</v>
      </c>
      <c r="K800" s="15" t="s">
        <v>22</v>
      </c>
    </row>
    <row r="801" spans="1:11" ht="42" customHeight="1">
      <c r="A801" s="4" t="s">
        <v>2029</v>
      </c>
      <c r="B801" s="5" t="s">
        <v>2029</v>
      </c>
      <c r="C801" s="5" t="s">
        <v>29</v>
      </c>
      <c r="D801" s="5" t="s">
        <v>30</v>
      </c>
      <c r="E801" s="5" t="s">
        <v>1494</v>
      </c>
      <c r="F801" s="9">
        <v>31</v>
      </c>
      <c r="G801" s="9">
        <v>335</v>
      </c>
      <c r="H801" s="5" t="s">
        <v>20</v>
      </c>
      <c r="I801" s="5" t="s">
        <v>2030</v>
      </c>
      <c r="J801" s="12" t="str">
        <f>HYPERLINK("https://www.boe.es/gazeta/dias/1805/04/16/pdfs/GMD-1805-31.pdf#page=11","Abrir facsímil")</f>
        <v>Abrir facsímil</v>
      </c>
      <c r="K801" s="15" t="s">
        <v>22</v>
      </c>
    </row>
    <row r="802" spans="1:11" ht="42" customHeight="1">
      <c r="A802" s="4" t="s">
        <v>2029</v>
      </c>
      <c r="B802" s="5" t="s">
        <v>2029</v>
      </c>
      <c r="C802" s="5" t="s">
        <v>35</v>
      </c>
      <c r="D802" s="5" t="s">
        <v>36</v>
      </c>
      <c r="E802" s="5" t="s">
        <v>303</v>
      </c>
      <c r="F802" s="9">
        <v>57</v>
      </c>
      <c r="G802" s="9">
        <v>616</v>
      </c>
      <c r="H802" s="5" t="s">
        <v>20</v>
      </c>
      <c r="I802" s="5" t="s">
        <v>2031</v>
      </c>
      <c r="J802" s="12" t="str">
        <f>HYPERLINK("https://www.boe.es/gazeta/dias/1805/07/16/pdfs/GMD-1805-57.pdf#page=12","Abrir facsímil")</f>
        <v>Abrir facsímil</v>
      </c>
      <c r="K802" s="15" t="s">
        <v>22</v>
      </c>
    </row>
    <row r="803" spans="1:11" ht="42" customHeight="1">
      <c r="A803" s="4" t="s">
        <v>2032</v>
      </c>
      <c r="B803" s="5" t="s">
        <v>2033</v>
      </c>
      <c r="C803" s="5" t="s">
        <v>35</v>
      </c>
      <c r="D803" s="5" t="s">
        <v>36</v>
      </c>
      <c r="E803" s="5" t="s">
        <v>67</v>
      </c>
      <c r="F803" s="9">
        <v>98</v>
      </c>
      <c r="G803" s="9">
        <v>1059</v>
      </c>
      <c r="H803" s="5" t="s">
        <v>20</v>
      </c>
      <c r="I803" s="5" t="s">
        <v>2034</v>
      </c>
      <c r="J803" s="12" t="str">
        <f>HYPERLINK("https://www.boe.es/gazeta/dias/1805/12/06/pdfs/GMD-1805-98.pdf#page=11","Abrir facsímil")</f>
        <v>Abrir facsímil</v>
      </c>
      <c r="K803" s="15" t="s">
        <v>22</v>
      </c>
    </row>
    <row r="804" spans="1:11" ht="42" customHeight="1">
      <c r="A804" s="4" t="s">
        <v>2035</v>
      </c>
      <c r="B804" s="5" t="s">
        <v>2035</v>
      </c>
      <c r="C804" s="5" t="s">
        <v>85</v>
      </c>
      <c r="D804" s="5" t="s">
        <v>86</v>
      </c>
      <c r="E804" s="5" t="s">
        <v>426</v>
      </c>
      <c r="F804" s="9">
        <v>75</v>
      </c>
      <c r="G804" s="9">
        <v>798</v>
      </c>
      <c r="H804" s="5" t="s">
        <v>20</v>
      </c>
      <c r="I804" s="5" t="s">
        <v>2036</v>
      </c>
      <c r="J804" s="12" t="str">
        <f>HYPERLINK("https://www.boe.es/gazeta/dias/1805/09/17/pdfs/GMD-1805-75.pdf#page=10","Abrir facsímil")</f>
        <v>Abrir facsímil</v>
      </c>
      <c r="K804" s="15" t="s">
        <v>22</v>
      </c>
    </row>
    <row r="805" spans="1:11" ht="42" customHeight="1">
      <c r="A805" s="4" t="s">
        <v>2037</v>
      </c>
      <c r="B805" s="5" t="s">
        <v>2037</v>
      </c>
      <c r="C805" s="5" t="s">
        <v>35</v>
      </c>
      <c r="D805" s="5" t="s">
        <v>36</v>
      </c>
      <c r="E805" s="5" t="s">
        <v>48</v>
      </c>
      <c r="F805" s="9">
        <v>35</v>
      </c>
      <c r="G805" s="9">
        <v>379</v>
      </c>
      <c r="H805" s="5" t="s">
        <v>20</v>
      </c>
      <c r="I805" s="5" t="s">
        <v>2038</v>
      </c>
      <c r="J805" s="12" t="str">
        <f>HYPERLINK("https://www.boe.es/gazeta/dias/1805/04/30/pdfs/GMD-1805-35.pdf#page=11","Abrir facsímil")</f>
        <v>Abrir facsímil</v>
      </c>
      <c r="K805" s="15" t="s">
        <v>22</v>
      </c>
    </row>
    <row r="806" spans="1:11" ht="42" customHeight="1">
      <c r="A806" s="4" t="s">
        <v>2039</v>
      </c>
      <c r="B806" s="5" t="s">
        <v>2039</v>
      </c>
      <c r="C806" s="5" t="s">
        <v>17</v>
      </c>
      <c r="D806" s="5" t="s">
        <v>18</v>
      </c>
      <c r="E806" s="5" t="s">
        <v>539</v>
      </c>
      <c r="F806" s="9">
        <v>97</v>
      </c>
      <c r="G806" s="9">
        <v>1043</v>
      </c>
      <c r="H806" s="5" t="s">
        <v>20</v>
      </c>
      <c r="I806" s="5" t="s">
        <v>2040</v>
      </c>
      <c r="J806" s="12" t="str">
        <f>HYPERLINK("https://www.boe.es/gazeta/dias/1805/12/03/pdfs/GMD-1805-97.pdf#page=7","Abrir facsímil")</f>
        <v>Abrir facsímil</v>
      </c>
      <c r="K806" s="15" t="s">
        <v>22</v>
      </c>
    </row>
    <row r="807" spans="1:11" ht="42" customHeight="1">
      <c r="A807" s="4" t="s">
        <v>2041</v>
      </c>
      <c r="B807" s="5" t="s">
        <v>2042</v>
      </c>
      <c r="C807" s="5" t="s">
        <v>17</v>
      </c>
      <c r="D807" s="5" t="s">
        <v>18</v>
      </c>
      <c r="E807" s="5" t="s">
        <v>120</v>
      </c>
      <c r="F807" s="9">
        <v>24</v>
      </c>
      <c r="G807" s="9">
        <v>258</v>
      </c>
      <c r="H807" s="5" t="s">
        <v>20</v>
      </c>
      <c r="I807" s="5" t="s">
        <v>2043</v>
      </c>
      <c r="J807" s="12" t="str">
        <f>HYPERLINK("https://www.boe.es/gazeta/dias/1805/03/22/pdfs/GMD-1805-24.pdf#page=10","Abrir facsímil")</f>
        <v>Abrir facsímil</v>
      </c>
      <c r="K807" s="15" t="s">
        <v>22</v>
      </c>
    </row>
    <row r="808" spans="1:11" ht="42" customHeight="1">
      <c r="A808" s="4" t="s">
        <v>2041</v>
      </c>
      <c r="B808" s="5" t="s">
        <v>2042</v>
      </c>
      <c r="C808" s="5" t="s">
        <v>17</v>
      </c>
      <c r="D808" s="5" t="s">
        <v>18</v>
      </c>
      <c r="E808" s="5" t="s">
        <v>958</v>
      </c>
      <c r="F808" s="9">
        <v>58</v>
      </c>
      <c r="G808" s="9">
        <v>621</v>
      </c>
      <c r="H808" s="5" t="s">
        <v>20</v>
      </c>
      <c r="I808" s="5" t="s">
        <v>2044</v>
      </c>
      <c r="J808" s="12" t="str">
        <f>HYPERLINK("https://www.boe.es/gazeta/dias/1805/07/19/pdfs/GMD-1805-58.pdf#page=5","Abrir facsímil")</f>
        <v>Abrir facsímil</v>
      </c>
      <c r="K808" s="15" t="s">
        <v>22</v>
      </c>
    </row>
    <row r="809" spans="1:11" ht="42" customHeight="1">
      <c r="A809" s="4" t="s">
        <v>2045</v>
      </c>
      <c r="B809" s="5" t="s">
        <v>2046</v>
      </c>
      <c r="C809" s="5" t="s">
        <v>35</v>
      </c>
      <c r="D809" s="5" t="s">
        <v>36</v>
      </c>
      <c r="E809" s="5" t="s">
        <v>91</v>
      </c>
      <c r="F809" s="9">
        <v>28</v>
      </c>
      <c r="G809" s="9">
        <v>299</v>
      </c>
      <c r="H809" s="5" t="s">
        <v>20</v>
      </c>
      <c r="I809" s="5" t="s">
        <v>2047</v>
      </c>
      <c r="J809" s="12" t="str">
        <f>HYPERLINK("https://www.boe.es/gazeta/dias/1805/04/05/pdfs/GMD-1805-28.pdf#page=7","Abrir facsímil")</f>
        <v>Abrir facsímil</v>
      </c>
      <c r="K809" s="15" t="s">
        <v>22</v>
      </c>
    </row>
    <row r="810" spans="1:11" ht="42" customHeight="1">
      <c r="A810" s="4" t="s">
        <v>2048</v>
      </c>
      <c r="B810" s="5" t="s">
        <v>2049</v>
      </c>
      <c r="C810" s="5" t="s">
        <v>17</v>
      </c>
      <c r="D810" s="5" t="s">
        <v>18</v>
      </c>
      <c r="E810" s="5" t="s">
        <v>87</v>
      </c>
      <c r="F810" s="9">
        <v>14</v>
      </c>
      <c r="G810" s="9">
        <v>148</v>
      </c>
      <c r="H810" s="5" t="s">
        <v>20</v>
      </c>
      <c r="I810" s="5" t="s">
        <v>2050</v>
      </c>
      <c r="J810" s="12" t="str">
        <f>HYPERLINK("https://www.boe.es/gazeta/dias/1805/02/15/pdfs/GMD-1805-14.pdf#page=8","Abrir facsímil")</f>
        <v>Abrir facsímil</v>
      </c>
      <c r="K810" s="15" t="s">
        <v>22</v>
      </c>
    </row>
    <row r="811" spans="1:11" ht="42" customHeight="1">
      <c r="A811" s="4" t="s">
        <v>2051</v>
      </c>
      <c r="B811" s="5" t="s">
        <v>2052</v>
      </c>
      <c r="C811" s="5" t="s">
        <v>17</v>
      </c>
      <c r="D811" s="5" t="s">
        <v>18</v>
      </c>
      <c r="E811" s="5" t="s">
        <v>209</v>
      </c>
      <c r="F811" s="9">
        <v>89</v>
      </c>
      <c r="G811" s="9">
        <v>956</v>
      </c>
      <c r="H811" s="5" t="s">
        <v>20</v>
      </c>
      <c r="I811" s="5" t="s">
        <v>2053</v>
      </c>
      <c r="J811" s="12" t="str">
        <f>HYPERLINK("https://www.boe.es/gazeta/dias/1805/11/05/pdfs/GMD-1805-89.pdf#page=16","Abrir facsímil")</f>
        <v>Abrir facsímil</v>
      </c>
      <c r="K811" s="15" t="s">
        <v>22</v>
      </c>
    </row>
    <row r="812" spans="1:11" ht="42" customHeight="1">
      <c r="A812" s="4" t="s">
        <v>2051</v>
      </c>
      <c r="B812" s="5" t="s">
        <v>2052</v>
      </c>
      <c r="C812" s="5" t="s">
        <v>17</v>
      </c>
      <c r="D812" s="5" t="s">
        <v>18</v>
      </c>
      <c r="E812" s="5" t="s">
        <v>200</v>
      </c>
      <c r="F812" s="9">
        <v>91</v>
      </c>
      <c r="G812" s="9">
        <v>977</v>
      </c>
      <c r="H812" s="5" t="s">
        <v>20</v>
      </c>
      <c r="I812" s="5" t="s">
        <v>2054</v>
      </c>
      <c r="J812" s="12" t="str">
        <f>HYPERLINK("https://www.boe.es/gazeta/dias/1805/11/12/pdfs/GMD-1805-91.pdf#page=9","Abrir facsímil")</f>
        <v>Abrir facsímil</v>
      </c>
      <c r="K812" s="15" t="s">
        <v>22</v>
      </c>
    </row>
    <row r="813" spans="1:11" ht="42" customHeight="1">
      <c r="A813" s="4" t="s">
        <v>2055</v>
      </c>
      <c r="B813" s="5" t="s">
        <v>2055</v>
      </c>
      <c r="C813" s="5" t="s">
        <v>80</v>
      </c>
      <c r="D813" s="5" t="s">
        <v>81</v>
      </c>
      <c r="E813" s="5" t="s">
        <v>356</v>
      </c>
      <c r="F813" s="9">
        <v>12</v>
      </c>
      <c r="G813" s="9">
        <v>126</v>
      </c>
      <c r="H813" s="5" t="s">
        <v>20</v>
      </c>
      <c r="I813" s="5" t="s">
        <v>2056</v>
      </c>
      <c r="J813" s="12" t="str">
        <f>HYPERLINK("https://www.boe.es/gazeta/dias/1805/02/08/pdfs/GMD-1805-12.pdf#page=2","Abrir facsímil")</f>
        <v>Abrir facsímil</v>
      </c>
      <c r="K813" s="15" t="s">
        <v>22</v>
      </c>
    </row>
    <row r="814" spans="1:11" ht="42" customHeight="1">
      <c r="A814" s="4" t="s">
        <v>2057</v>
      </c>
      <c r="B814" s="5" t="s">
        <v>2058</v>
      </c>
      <c r="C814" s="5" t="s">
        <v>85</v>
      </c>
      <c r="D814" s="5" t="s">
        <v>86</v>
      </c>
      <c r="E814" s="5" t="s">
        <v>276</v>
      </c>
      <c r="F814" s="9">
        <v>51</v>
      </c>
      <c r="G814" s="9">
        <v>550</v>
      </c>
      <c r="H814" s="5" t="s">
        <v>20</v>
      </c>
      <c r="I814" s="5" t="s">
        <v>2059</v>
      </c>
      <c r="J814" s="12" t="str">
        <f>HYPERLINK("https://www.boe.es/gazeta/dias/1805/06/25/pdfs/GMD-1805-51.pdf#page=6","Abrir facsímil")</f>
        <v>Abrir facsímil</v>
      </c>
      <c r="K814" s="15" t="s">
        <v>22</v>
      </c>
    </row>
    <row r="815" spans="1:11" ht="42" customHeight="1">
      <c r="A815" s="4" t="s">
        <v>2057</v>
      </c>
      <c r="B815" s="5" t="s">
        <v>2058</v>
      </c>
      <c r="C815" s="5" t="s">
        <v>35</v>
      </c>
      <c r="D815" s="5" t="s">
        <v>36</v>
      </c>
      <c r="E815" s="5" t="s">
        <v>303</v>
      </c>
      <c r="F815" s="9">
        <v>57</v>
      </c>
      <c r="G815" s="9">
        <v>610</v>
      </c>
      <c r="H815" s="5" t="s">
        <v>20</v>
      </c>
      <c r="I815" s="5" t="s">
        <v>2060</v>
      </c>
      <c r="J815" s="12" t="str">
        <f>HYPERLINK("https://www.boe.es/gazeta/dias/1805/07/16/pdfs/GMD-1805-57.pdf#page=6","Abrir facsímil")</f>
        <v>Abrir facsímil</v>
      </c>
      <c r="K815" s="15" t="s">
        <v>22</v>
      </c>
    </row>
    <row r="816" spans="1:11" ht="42" customHeight="1">
      <c r="A816" s="4" t="s">
        <v>2057</v>
      </c>
      <c r="B816" s="5" t="s">
        <v>2058</v>
      </c>
      <c r="C816" s="5" t="s">
        <v>35</v>
      </c>
      <c r="D816" s="5" t="s">
        <v>36</v>
      </c>
      <c r="E816" s="5" t="s">
        <v>552</v>
      </c>
      <c r="F816" s="9">
        <v>94</v>
      </c>
      <c r="G816" s="9">
        <v>1008</v>
      </c>
      <c r="H816" s="5" t="s">
        <v>20</v>
      </c>
      <c r="I816" s="5" t="s">
        <v>2061</v>
      </c>
      <c r="J816" s="12" t="str">
        <f>HYPERLINK("https://www.boe.es/gazeta/dias/1805/11/22/pdfs/GMD-1805-94.pdf#page=8","Abrir facsímil")</f>
        <v>Abrir facsímil</v>
      </c>
      <c r="K816" s="15" t="s">
        <v>22</v>
      </c>
    </row>
    <row r="817" spans="1:11" ht="42" customHeight="1">
      <c r="A817" s="4" t="s">
        <v>2062</v>
      </c>
      <c r="B817" s="5" t="s">
        <v>2063</v>
      </c>
      <c r="C817" s="5" t="s">
        <v>52</v>
      </c>
      <c r="D817" s="5" t="s">
        <v>53</v>
      </c>
      <c r="E817" s="5" t="s">
        <v>54</v>
      </c>
      <c r="F817" s="9">
        <v>99</v>
      </c>
      <c r="G817" s="9" t="s">
        <v>145</v>
      </c>
      <c r="H817" s="5" t="s">
        <v>20</v>
      </c>
      <c r="I817" s="5" t="s">
        <v>2064</v>
      </c>
      <c r="J817" s="12" t="str">
        <f>HYPERLINK("https://www.boe.es/gazeta/dias/1805/12/10/pdfs/GMD-C-1805-99.pdf#page=2","Abrir facsímil")</f>
        <v>Abrir facsímil</v>
      </c>
      <c r="K817" s="15" t="s">
        <v>22</v>
      </c>
    </row>
    <row r="818" spans="1:11" ht="42" customHeight="1">
      <c r="A818" s="4" t="s">
        <v>2065</v>
      </c>
      <c r="B818" s="5" t="s">
        <v>2066</v>
      </c>
      <c r="C818" s="5" t="s">
        <v>35</v>
      </c>
      <c r="D818" s="5" t="s">
        <v>36</v>
      </c>
      <c r="E818" s="5" t="s">
        <v>95</v>
      </c>
      <c r="F818" s="9">
        <v>13</v>
      </c>
      <c r="G818" s="9">
        <v>139</v>
      </c>
      <c r="H818" s="5" t="s">
        <v>20</v>
      </c>
      <c r="I818" s="5" t="s">
        <v>2067</v>
      </c>
      <c r="J818" s="12" t="str">
        <f>HYPERLINK("https://www.boe.es/gazeta/dias/1805/02/12/pdfs/GMD-1805-13.pdf#page=7","Abrir facsímil")</f>
        <v>Abrir facsímil</v>
      </c>
      <c r="K818" s="15" t="s">
        <v>22</v>
      </c>
    </row>
    <row r="819" spans="1:11" ht="42" customHeight="1">
      <c r="A819" s="4" t="s">
        <v>2068</v>
      </c>
      <c r="B819" s="5" t="s">
        <v>2069</v>
      </c>
      <c r="C819" s="5" t="s">
        <v>35</v>
      </c>
      <c r="D819" s="5" t="s">
        <v>36</v>
      </c>
      <c r="E819" s="5" t="s">
        <v>539</v>
      </c>
      <c r="F819" s="9">
        <v>97</v>
      </c>
      <c r="G819" s="9">
        <v>1043</v>
      </c>
      <c r="H819" s="5" t="s">
        <v>20</v>
      </c>
      <c r="I819" s="5" t="s">
        <v>2070</v>
      </c>
      <c r="J819" s="12" t="str">
        <f>HYPERLINK("https://www.boe.es/gazeta/dias/1805/12/03/pdfs/GMD-1805-97.pdf#page=7","Abrir facsímil")</f>
        <v>Abrir facsímil</v>
      </c>
      <c r="K819" s="15" t="s">
        <v>22</v>
      </c>
    </row>
    <row r="820" spans="1:11" ht="42" customHeight="1">
      <c r="A820" s="4" t="s">
        <v>2071</v>
      </c>
      <c r="B820" s="5" t="s">
        <v>2072</v>
      </c>
      <c r="C820" s="5" t="s">
        <v>80</v>
      </c>
      <c r="D820" s="5" t="s">
        <v>81</v>
      </c>
      <c r="E820" s="5" t="s">
        <v>103</v>
      </c>
      <c r="F820" s="9">
        <v>30</v>
      </c>
      <c r="G820" s="9">
        <v>321</v>
      </c>
      <c r="H820" s="5" t="s">
        <v>20</v>
      </c>
      <c r="I820" s="5" t="s">
        <v>2073</v>
      </c>
      <c r="J820" s="12" t="str">
        <f>HYPERLINK("https://www.boe.es/gazeta/dias/1805/04/12/pdfs/GMD-1805-30.pdf#page=5","Abrir facsímil")</f>
        <v>Abrir facsímil</v>
      </c>
      <c r="K820" s="15" t="s">
        <v>22</v>
      </c>
    </row>
    <row r="821" spans="1:11" ht="42" customHeight="1">
      <c r="A821" s="4" t="s">
        <v>2071</v>
      </c>
      <c r="B821" s="5" t="s">
        <v>2072</v>
      </c>
      <c r="C821" s="5" t="s">
        <v>80</v>
      </c>
      <c r="D821" s="5" t="s">
        <v>81</v>
      </c>
      <c r="E821" s="5" t="s">
        <v>1221</v>
      </c>
      <c r="F821" s="9">
        <v>41</v>
      </c>
      <c r="G821" s="9">
        <v>437</v>
      </c>
      <c r="H821" s="5" t="s">
        <v>20</v>
      </c>
      <c r="I821" s="5" t="s">
        <v>2074</v>
      </c>
      <c r="J821" s="12" t="str">
        <f>HYPERLINK("https://www.boe.es/gazeta/dias/1805/05/21/pdfs/GMD-1805-41.pdf#page=5","Abrir facsímil")</f>
        <v>Abrir facsímil</v>
      </c>
      <c r="K821" s="15" t="s">
        <v>22</v>
      </c>
    </row>
    <row r="822" spans="1:11" ht="42" customHeight="1">
      <c r="A822" s="4" t="s">
        <v>2071</v>
      </c>
      <c r="B822" s="5" t="s">
        <v>2072</v>
      </c>
      <c r="C822" s="5" t="s">
        <v>17</v>
      </c>
      <c r="D822" s="5" t="s">
        <v>18</v>
      </c>
      <c r="E822" s="5" t="s">
        <v>352</v>
      </c>
      <c r="F822" s="9">
        <v>60</v>
      </c>
      <c r="G822" s="9">
        <v>642</v>
      </c>
      <c r="H822" s="5" t="s">
        <v>20</v>
      </c>
      <c r="I822" s="5" t="s">
        <v>2075</v>
      </c>
      <c r="J822" s="12" t="str">
        <f>HYPERLINK("https://www.boe.es/gazeta/dias/1805/07/26/pdfs/GMD-1805-60.pdf#page=6","Abrir facsímil")</f>
        <v>Abrir facsímil</v>
      </c>
      <c r="K822" s="15" t="s">
        <v>22</v>
      </c>
    </row>
    <row r="823" spans="1:11" ht="42" customHeight="1">
      <c r="A823" s="4" t="s">
        <v>2071</v>
      </c>
      <c r="B823" s="5" t="s">
        <v>2072</v>
      </c>
      <c r="C823" s="5" t="s">
        <v>80</v>
      </c>
      <c r="D823" s="5" t="s">
        <v>81</v>
      </c>
      <c r="E823" s="5" t="s">
        <v>585</v>
      </c>
      <c r="F823" s="9">
        <v>64</v>
      </c>
      <c r="G823" s="9">
        <v>680</v>
      </c>
      <c r="H823" s="5" t="s">
        <v>20</v>
      </c>
      <c r="I823" s="5" t="s">
        <v>2076</v>
      </c>
      <c r="J823" s="12" t="str">
        <f>HYPERLINK("https://www.boe.es/gazeta/dias/1805/08/09/pdfs/GMD-1805-64.pdf#page=4","Abrir facsímil")</f>
        <v>Abrir facsímil</v>
      </c>
      <c r="K823" s="15" t="s">
        <v>22</v>
      </c>
    </row>
    <row r="824" spans="1:11" ht="42" customHeight="1">
      <c r="A824" s="4" t="s">
        <v>2071</v>
      </c>
      <c r="B824" s="5" t="s">
        <v>2072</v>
      </c>
      <c r="C824" s="5" t="s">
        <v>80</v>
      </c>
      <c r="D824" s="5" t="s">
        <v>81</v>
      </c>
      <c r="E824" s="5" t="s">
        <v>335</v>
      </c>
      <c r="F824" s="9">
        <v>79</v>
      </c>
      <c r="G824" s="9">
        <v>833</v>
      </c>
      <c r="H824" s="5" t="s">
        <v>20</v>
      </c>
      <c r="I824" s="5" t="s">
        <v>2077</v>
      </c>
      <c r="J824" s="12" t="str">
        <f>HYPERLINK("https://www.boe.es/gazeta/dias/1805/10/01/pdfs/GMD-1805-79.pdf#page=5","Abrir facsímil")</f>
        <v>Abrir facsímil</v>
      </c>
      <c r="K824" s="15" t="s">
        <v>22</v>
      </c>
    </row>
    <row r="825" spans="1:11" ht="42" customHeight="1">
      <c r="A825" s="4" t="s">
        <v>2078</v>
      </c>
      <c r="B825" s="5" t="s">
        <v>2079</v>
      </c>
      <c r="C825" s="5" t="s">
        <v>29</v>
      </c>
      <c r="D825" s="5" t="s">
        <v>30</v>
      </c>
      <c r="E825" s="5" t="s">
        <v>300</v>
      </c>
      <c r="F825" s="9">
        <v>81</v>
      </c>
      <c r="G825" s="9">
        <v>860</v>
      </c>
      <c r="H825" s="5" t="s">
        <v>20</v>
      </c>
      <c r="I825" s="5" t="s">
        <v>2080</v>
      </c>
      <c r="J825" s="12" t="str">
        <f>HYPERLINK("https://www.boe.es/gazeta/dias/1805/10/08/pdfs/GMD-1805-81.pdf#page=8","Abrir facsímil")</f>
        <v>Abrir facsímil</v>
      </c>
      <c r="K825" s="15" t="s">
        <v>22</v>
      </c>
    </row>
    <row r="826" spans="1:11" ht="42" customHeight="1">
      <c r="A826" s="4" t="s">
        <v>2081</v>
      </c>
      <c r="B826" s="5" t="s">
        <v>2081</v>
      </c>
      <c r="C826" s="5" t="s">
        <v>17</v>
      </c>
      <c r="D826" s="5" t="s">
        <v>18</v>
      </c>
      <c r="E826" s="5" t="s">
        <v>296</v>
      </c>
      <c r="F826" s="9">
        <v>26</v>
      </c>
      <c r="G826" s="9">
        <v>279</v>
      </c>
      <c r="H826" s="5" t="s">
        <v>20</v>
      </c>
      <c r="I826" s="5" t="s">
        <v>2082</v>
      </c>
      <c r="J826" s="12" t="str">
        <f>HYPERLINK("https://www.boe.es/gazeta/dias/1805/03/29/pdfs/GMD-1805-26.pdf#page=11","Abrir facsímil")</f>
        <v>Abrir facsímil</v>
      </c>
      <c r="K826" s="15" t="s">
        <v>22</v>
      </c>
    </row>
    <row r="827" spans="1:11" ht="42" customHeight="1">
      <c r="A827" s="4" t="s">
        <v>2083</v>
      </c>
      <c r="B827" s="5" t="s">
        <v>2084</v>
      </c>
      <c r="C827" s="5" t="s">
        <v>17</v>
      </c>
      <c r="D827" s="5" t="s">
        <v>18</v>
      </c>
      <c r="E827" s="5" t="s">
        <v>669</v>
      </c>
      <c r="F827" s="9">
        <v>84</v>
      </c>
      <c r="G827" s="9">
        <v>890</v>
      </c>
      <c r="H827" s="5" t="s">
        <v>20</v>
      </c>
      <c r="I827" s="5" t="s">
        <v>2085</v>
      </c>
      <c r="J827" s="12" t="str">
        <f>HYPERLINK("https://www.boe.es/gazeta/dias/1805/10/18/pdfs/GMD-1805-84.pdf#page=6","Abrir facsímil")</f>
        <v>Abrir facsímil</v>
      </c>
      <c r="K827" s="15" t="s">
        <v>22</v>
      </c>
    </row>
    <row r="828" spans="1:11" ht="42" customHeight="1">
      <c r="A828" s="4" t="s">
        <v>2086</v>
      </c>
      <c r="B828" s="5" t="s">
        <v>2087</v>
      </c>
      <c r="C828" s="5" t="s">
        <v>17</v>
      </c>
      <c r="D828" s="5" t="s">
        <v>18</v>
      </c>
      <c r="E828" s="5" t="s">
        <v>138</v>
      </c>
      <c r="F828" s="9">
        <v>102</v>
      </c>
      <c r="G828" s="9">
        <v>1104</v>
      </c>
      <c r="H828" s="5" t="s">
        <v>20</v>
      </c>
      <c r="I828" s="5" t="s">
        <v>2088</v>
      </c>
      <c r="J828" s="12" t="str">
        <f>HYPERLINK("https://www.boe.es/gazeta/dias/1805/12/20/pdfs/GMD-1805-102.pdf#page=8","Abrir facsímil")</f>
        <v>Abrir facsímil</v>
      </c>
      <c r="K828" s="15" t="s">
        <v>22</v>
      </c>
    </row>
    <row r="829" spans="1:11" ht="42" customHeight="1">
      <c r="A829" s="4" t="s">
        <v>2089</v>
      </c>
      <c r="B829" s="5" t="s">
        <v>2090</v>
      </c>
      <c r="C829" s="5" t="s">
        <v>52</v>
      </c>
      <c r="D829" s="5" t="s">
        <v>53</v>
      </c>
      <c r="E829" s="5" t="s">
        <v>54</v>
      </c>
      <c r="F829" s="9">
        <v>99</v>
      </c>
      <c r="G829" s="9" t="s">
        <v>145</v>
      </c>
      <c r="H829" s="5" t="s">
        <v>20</v>
      </c>
      <c r="I829" s="5" t="s">
        <v>2091</v>
      </c>
      <c r="J829" s="12" t="str">
        <f>HYPERLINK("https://www.boe.es/gazeta/dias/1805/12/10/pdfs/GMD-C-1805-99.pdf#page=2","Abrir facsímil")</f>
        <v>Abrir facsímil</v>
      </c>
      <c r="K829" s="15" t="s">
        <v>22</v>
      </c>
    </row>
    <row r="830" spans="1:11" ht="42" customHeight="1">
      <c r="A830" s="4" t="s">
        <v>2092</v>
      </c>
      <c r="B830" s="5" t="s">
        <v>2093</v>
      </c>
      <c r="C830" s="5" t="s">
        <v>17</v>
      </c>
      <c r="D830" s="5" t="s">
        <v>18</v>
      </c>
      <c r="E830" s="5" t="s">
        <v>539</v>
      </c>
      <c r="F830" s="9">
        <v>97</v>
      </c>
      <c r="G830" s="9">
        <v>1044</v>
      </c>
      <c r="H830" s="5" t="s">
        <v>20</v>
      </c>
      <c r="I830" s="5" t="s">
        <v>2094</v>
      </c>
      <c r="J830" s="12" t="str">
        <f>HYPERLINK("https://www.boe.es/gazeta/dias/1805/12/03/pdfs/GMD-1805-97.pdf#page=8","Abrir facsímil")</f>
        <v>Abrir facsímil</v>
      </c>
      <c r="K830" s="15" t="s">
        <v>22</v>
      </c>
    </row>
    <row r="831" spans="1:11" ht="42" customHeight="1">
      <c r="A831" s="4" t="s">
        <v>2095</v>
      </c>
      <c r="B831" s="5" t="s">
        <v>2095</v>
      </c>
      <c r="C831" s="5" t="s">
        <v>17</v>
      </c>
      <c r="D831" s="5" t="s">
        <v>18</v>
      </c>
      <c r="E831" s="5" t="s">
        <v>120</v>
      </c>
      <c r="F831" s="9">
        <v>24</v>
      </c>
      <c r="G831" s="9">
        <v>258</v>
      </c>
      <c r="H831" s="5" t="s">
        <v>20</v>
      </c>
      <c r="I831" s="5" t="s">
        <v>2096</v>
      </c>
      <c r="J831" s="12" t="str">
        <f>HYPERLINK("https://www.boe.es/gazeta/dias/1805/03/22/pdfs/GMD-1805-24.pdf#page=10","Abrir facsímil")</f>
        <v>Abrir facsímil</v>
      </c>
      <c r="K831" s="15" t="s">
        <v>22</v>
      </c>
    </row>
    <row r="832" spans="1:11" ht="42" customHeight="1">
      <c r="A832" s="4" t="s">
        <v>2097</v>
      </c>
      <c r="B832" s="5" t="s">
        <v>2097</v>
      </c>
      <c r="C832" s="5" t="s">
        <v>17</v>
      </c>
      <c r="D832" s="5" t="s">
        <v>18</v>
      </c>
      <c r="E832" s="5" t="s">
        <v>886</v>
      </c>
      <c r="F832" s="9">
        <v>93</v>
      </c>
      <c r="G832" s="9">
        <v>1000</v>
      </c>
      <c r="H832" s="5" t="s">
        <v>20</v>
      </c>
      <c r="I832" s="5" t="s">
        <v>2098</v>
      </c>
      <c r="J832" s="12" t="str">
        <f>HYPERLINK("https://www.boe.es/gazeta/dias/1805/11/19/pdfs/GMD-1805-93.pdf#page=12","Abrir facsímil")</f>
        <v>Abrir facsímil</v>
      </c>
      <c r="K832" s="15" t="s">
        <v>22</v>
      </c>
    </row>
    <row r="833" spans="1:11" ht="42" customHeight="1">
      <c r="A833" s="4" t="s">
        <v>2099</v>
      </c>
      <c r="B833" s="5" t="s">
        <v>2099</v>
      </c>
      <c r="C833" s="5" t="s">
        <v>17</v>
      </c>
      <c r="D833" s="5" t="s">
        <v>18</v>
      </c>
      <c r="E833" s="5" t="s">
        <v>76</v>
      </c>
      <c r="F833" s="9">
        <v>66</v>
      </c>
      <c r="G833" s="9">
        <v>709</v>
      </c>
      <c r="H833" s="5" t="s">
        <v>20</v>
      </c>
      <c r="I833" s="5" t="s">
        <v>2100</v>
      </c>
      <c r="J833" s="12" t="str">
        <f>HYPERLINK("https://www.boe.es/gazeta/dias/1805/08/16/pdfs/GMD-1805-66.pdf#page=9","Abrir facsímil")</f>
        <v>Abrir facsímil</v>
      </c>
      <c r="K833" s="15" t="s">
        <v>22</v>
      </c>
    </row>
    <row r="834" spans="1:11" ht="42" customHeight="1">
      <c r="A834" s="4" t="s">
        <v>2101</v>
      </c>
      <c r="B834" s="5" t="s">
        <v>2102</v>
      </c>
      <c r="C834" s="5" t="s">
        <v>80</v>
      </c>
      <c r="D834" s="5" t="s">
        <v>81</v>
      </c>
      <c r="E834" s="5" t="s">
        <v>669</v>
      </c>
      <c r="F834" s="9">
        <v>84</v>
      </c>
      <c r="G834" s="9">
        <v>889</v>
      </c>
      <c r="H834" s="5" t="s">
        <v>20</v>
      </c>
      <c r="I834" s="5" t="s">
        <v>2103</v>
      </c>
      <c r="J834" s="12" t="str">
        <f>HYPERLINK("https://www.boe.es/gazeta/dias/1805/10/18/pdfs/GMD-1805-84.pdf#page=5","Abrir facsímil")</f>
        <v>Abrir facsímil</v>
      </c>
      <c r="K834" s="15" t="s">
        <v>22</v>
      </c>
    </row>
    <row r="835" spans="1:11" ht="42" customHeight="1">
      <c r="A835" s="4" t="s">
        <v>2104</v>
      </c>
      <c r="B835" s="5" t="s">
        <v>2105</v>
      </c>
      <c r="C835" s="5" t="s">
        <v>80</v>
      </c>
      <c r="D835" s="5" t="s">
        <v>81</v>
      </c>
      <c r="E835" s="5" t="s">
        <v>512</v>
      </c>
      <c r="F835" s="9">
        <v>100</v>
      </c>
      <c r="G835" s="9">
        <v>1076</v>
      </c>
      <c r="H835" s="5" t="s">
        <v>20</v>
      </c>
      <c r="I835" s="5" t="s">
        <v>2106</v>
      </c>
      <c r="J835" s="12" t="str">
        <f>HYPERLINK("https://www.boe.es/gazeta/dias/1805/12/13/pdfs/GMD-1805-100.pdf#page=4","Abrir facsímil")</f>
        <v>Abrir facsímil</v>
      </c>
      <c r="K835" s="15" t="s">
        <v>22</v>
      </c>
    </row>
    <row r="836" spans="1:11" ht="42" customHeight="1">
      <c r="A836" s="4" t="s">
        <v>2107</v>
      </c>
      <c r="B836" s="5" t="s">
        <v>2108</v>
      </c>
      <c r="C836" s="5" t="s">
        <v>35</v>
      </c>
      <c r="D836" s="5" t="s">
        <v>36</v>
      </c>
      <c r="E836" s="5" t="s">
        <v>148</v>
      </c>
      <c r="F836" s="9">
        <v>50</v>
      </c>
      <c r="G836" s="9">
        <v>536</v>
      </c>
      <c r="H836" s="5" t="s">
        <v>20</v>
      </c>
      <c r="I836" s="5" t="s">
        <v>2109</v>
      </c>
      <c r="J836" s="12" t="str">
        <f>HYPERLINK("https://www.boe.es/gazeta/dias/1805/06/21/pdfs/GMD-1805-50.pdf#page=4","Abrir facsímil")</f>
        <v>Abrir facsímil</v>
      </c>
      <c r="K836" s="15" t="s">
        <v>22</v>
      </c>
    </row>
    <row r="837" spans="1:11" ht="42" customHeight="1">
      <c r="A837" s="4" t="s">
        <v>2110</v>
      </c>
      <c r="B837" s="5" t="s">
        <v>2110</v>
      </c>
      <c r="C837" s="5" t="s">
        <v>80</v>
      </c>
      <c r="D837" s="5" t="s">
        <v>81</v>
      </c>
      <c r="E837" s="5" t="s">
        <v>286</v>
      </c>
      <c r="F837" s="9">
        <v>48</v>
      </c>
      <c r="G837" s="9">
        <v>519</v>
      </c>
      <c r="H837" s="5" t="s">
        <v>20</v>
      </c>
      <c r="I837" s="5" t="s">
        <v>2111</v>
      </c>
      <c r="J837" s="12" t="str">
        <f>HYPERLINK("https://www.boe.es/gazeta/dias/1805/06/14/pdfs/GMD-1805-48.pdf#page=7","Abrir facsímil")</f>
        <v>Abrir facsímil</v>
      </c>
      <c r="K837" s="15" t="s">
        <v>22</v>
      </c>
    </row>
    <row r="838" spans="1:11" ht="42" customHeight="1">
      <c r="A838" s="4" t="s">
        <v>2112</v>
      </c>
      <c r="B838" s="5" t="s">
        <v>2113</v>
      </c>
      <c r="C838" s="5" t="s">
        <v>80</v>
      </c>
      <c r="D838" s="5" t="s">
        <v>81</v>
      </c>
      <c r="E838" s="5" t="s">
        <v>200</v>
      </c>
      <c r="F838" s="9">
        <v>91</v>
      </c>
      <c r="G838" s="9">
        <v>975</v>
      </c>
      <c r="H838" s="5" t="s">
        <v>20</v>
      </c>
      <c r="I838" s="5" t="s">
        <v>2114</v>
      </c>
      <c r="J838" s="12" t="str">
        <f>HYPERLINK("https://www.boe.es/gazeta/dias/1805/11/12/pdfs/GMD-1805-91.pdf#page=7","Abrir facsímil")</f>
        <v>Abrir facsímil</v>
      </c>
      <c r="K838" s="15" t="s">
        <v>22</v>
      </c>
    </row>
    <row r="839" spans="1:11" ht="42" customHeight="1">
      <c r="A839" s="4" t="s">
        <v>2115</v>
      </c>
      <c r="B839" s="5" t="s">
        <v>2115</v>
      </c>
      <c r="C839" s="5" t="s">
        <v>80</v>
      </c>
      <c r="D839" s="5" t="s">
        <v>81</v>
      </c>
      <c r="E839" s="5" t="s">
        <v>673</v>
      </c>
      <c r="F839" s="9">
        <v>32</v>
      </c>
      <c r="G839" s="9">
        <v>337</v>
      </c>
      <c r="H839" s="5" t="s">
        <v>20</v>
      </c>
      <c r="I839" s="5" t="s">
        <v>2116</v>
      </c>
      <c r="J839" s="12" t="str">
        <f>HYPERLINK("https://www.boe.es/gazeta/dias/1805/04/19/pdfs/GMD-1805-32.pdf#page=1","Abrir facsímil")</f>
        <v>Abrir facsímil</v>
      </c>
      <c r="K839" s="15" t="s">
        <v>22</v>
      </c>
    </row>
    <row r="840" spans="1:11" ht="42" customHeight="1">
      <c r="A840" s="4" t="s">
        <v>2117</v>
      </c>
      <c r="B840" s="5" t="s">
        <v>2117</v>
      </c>
      <c r="C840" s="5" t="s">
        <v>80</v>
      </c>
      <c r="D840" s="5" t="s">
        <v>81</v>
      </c>
      <c r="E840" s="5" t="s">
        <v>422</v>
      </c>
      <c r="F840" s="9">
        <v>74</v>
      </c>
      <c r="G840" s="9">
        <v>779</v>
      </c>
      <c r="H840" s="5" t="s">
        <v>20</v>
      </c>
      <c r="I840" s="5" t="s">
        <v>2118</v>
      </c>
      <c r="J840" s="12" t="str">
        <f>HYPERLINK("https://www.boe.es/gazeta/dias/1805/09/13/pdfs/GMD-1805-74.pdf#page=3","Abrir facsímil")</f>
        <v>Abrir facsímil</v>
      </c>
      <c r="K840" s="15" t="s">
        <v>22</v>
      </c>
    </row>
    <row r="841" spans="1:11" ht="42" customHeight="1">
      <c r="A841" s="4" t="s">
        <v>2119</v>
      </c>
      <c r="B841" s="5" t="s">
        <v>2119</v>
      </c>
      <c r="C841" s="5" t="s">
        <v>29</v>
      </c>
      <c r="D841" s="5" t="s">
        <v>30</v>
      </c>
      <c r="E841" s="5" t="s">
        <v>196</v>
      </c>
      <c r="F841" s="9">
        <v>67</v>
      </c>
      <c r="G841" s="9">
        <v>714</v>
      </c>
      <c r="H841" s="5" t="s">
        <v>20</v>
      </c>
      <c r="I841" s="5" t="s">
        <v>2120</v>
      </c>
      <c r="J841" s="12" t="str">
        <f>HYPERLINK("https://www.boe.es/gazeta/dias/1805/08/20/pdfs/GMD-1805-67.pdf#page=2","Abrir facsímil")</f>
        <v>Abrir facsímil</v>
      </c>
      <c r="K841" s="15" t="s">
        <v>22</v>
      </c>
    </row>
    <row r="842" spans="1:11" ht="42" customHeight="1">
      <c r="A842" s="4" t="s">
        <v>2121</v>
      </c>
      <c r="B842" s="5" t="s">
        <v>2121</v>
      </c>
      <c r="C842" s="5" t="s">
        <v>80</v>
      </c>
      <c r="D842" s="5" t="s">
        <v>81</v>
      </c>
      <c r="E842" s="5" t="s">
        <v>649</v>
      </c>
      <c r="F842" s="9">
        <v>7</v>
      </c>
      <c r="G842" s="9">
        <v>69</v>
      </c>
      <c r="H842" s="5" t="s">
        <v>20</v>
      </c>
      <c r="I842" s="5" t="s">
        <v>2122</v>
      </c>
      <c r="J842" s="12" t="str">
        <f>HYPERLINK("https://www.boe.es/gazeta/dias/1805/01/22/pdfs/GMD-1805-7.pdf#page=1","Abrir facsímil")</f>
        <v>Abrir facsímil</v>
      </c>
      <c r="K842" s="15" t="s">
        <v>22</v>
      </c>
    </row>
    <row r="843" spans="1:11" ht="42" customHeight="1">
      <c r="A843" s="4" t="s">
        <v>2123</v>
      </c>
      <c r="B843" s="5" t="s">
        <v>2123</v>
      </c>
      <c r="C843" s="5" t="s">
        <v>35</v>
      </c>
      <c r="D843" s="5" t="s">
        <v>36</v>
      </c>
      <c r="E843" s="5" t="s">
        <v>163</v>
      </c>
      <c r="F843" s="9">
        <v>77</v>
      </c>
      <c r="G843" s="9">
        <v>809</v>
      </c>
      <c r="H843" s="5" t="s">
        <v>20</v>
      </c>
      <c r="I843" s="5" t="s">
        <v>2124</v>
      </c>
      <c r="J843" s="12" t="str">
        <f>HYPERLINK("https://www.boe.es/gazeta/dias/1805/09/24/pdfs/GMD-1805-77.pdf#page=1","Abrir facsímil")</f>
        <v>Abrir facsímil</v>
      </c>
      <c r="K843" s="15" t="s">
        <v>22</v>
      </c>
    </row>
    <row r="844" spans="1:11" ht="42" customHeight="1">
      <c r="A844" s="4" t="s">
        <v>2125</v>
      </c>
      <c r="B844" s="5" t="s">
        <v>2125</v>
      </c>
      <c r="C844" s="5" t="s">
        <v>80</v>
      </c>
      <c r="D844" s="5" t="s">
        <v>81</v>
      </c>
      <c r="E844" s="5" t="s">
        <v>356</v>
      </c>
      <c r="F844" s="9">
        <v>12</v>
      </c>
      <c r="G844" s="9">
        <v>125</v>
      </c>
      <c r="H844" s="5" t="s">
        <v>20</v>
      </c>
      <c r="I844" s="5" t="s">
        <v>2126</v>
      </c>
      <c r="J844" s="12" t="str">
        <f>HYPERLINK("https://www.boe.es/gazeta/dias/1805/02/08/pdfs/GMD-1805-12.pdf#page=1","Abrir facsímil")</f>
        <v>Abrir facsímil</v>
      </c>
      <c r="K844" s="15" t="s">
        <v>22</v>
      </c>
    </row>
    <row r="845" spans="1:11" ht="42" customHeight="1">
      <c r="A845" s="4" t="s">
        <v>2127</v>
      </c>
      <c r="B845" s="5" t="s">
        <v>2127</v>
      </c>
      <c r="C845" s="5" t="s">
        <v>80</v>
      </c>
      <c r="D845" s="5" t="s">
        <v>81</v>
      </c>
      <c r="E845" s="5" t="s">
        <v>422</v>
      </c>
      <c r="F845" s="9">
        <v>74</v>
      </c>
      <c r="G845" s="9">
        <v>779</v>
      </c>
      <c r="H845" s="5" t="s">
        <v>20</v>
      </c>
      <c r="I845" s="5" t="s">
        <v>2118</v>
      </c>
      <c r="J845" s="12" t="str">
        <f>HYPERLINK("https://www.boe.es/gazeta/dias/1805/09/13/pdfs/GMD-1805-74.pdf#page=3","Abrir facsímil")</f>
        <v>Abrir facsímil</v>
      </c>
      <c r="K845" s="15" t="s">
        <v>22</v>
      </c>
    </row>
    <row r="846" spans="1:11" ht="42" customHeight="1">
      <c r="A846" s="4" t="s">
        <v>2128</v>
      </c>
      <c r="B846" s="5" t="s">
        <v>2128</v>
      </c>
      <c r="C846" s="5" t="s">
        <v>80</v>
      </c>
      <c r="D846" s="5" t="s">
        <v>81</v>
      </c>
      <c r="E846" s="5" t="s">
        <v>512</v>
      </c>
      <c r="F846" s="9">
        <v>100</v>
      </c>
      <c r="G846" s="9">
        <v>1074</v>
      </c>
      <c r="H846" s="5" t="s">
        <v>20</v>
      </c>
      <c r="I846" s="5" t="s">
        <v>2129</v>
      </c>
      <c r="J846" s="12" t="str">
        <f>HYPERLINK("https://www.boe.es/gazeta/dias/1805/12/13/pdfs/GMD-1805-100.pdf#page=2","Abrir facsímil")</f>
        <v>Abrir facsímil</v>
      </c>
      <c r="K846" s="15" t="s">
        <v>22</v>
      </c>
    </row>
    <row r="847" spans="1:11" ht="42" customHeight="1">
      <c r="A847" s="4" t="s">
        <v>2130</v>
      </c>
      <c r="B847" s="5" t="s">
        <v>2130</v>
      </c>
      <c r="C847" s="5" t="s">
        <v>80</v>
      </c>
      <c r="D847" s="5" t="s">
        <v>81</v>
      </c>
      <c r="E847" s="5" t="s">
        <v>422</v>
      </c>
      <c r="F847" s="9">
        <v>74</v>
      </c>
      <c r="G847" s="9">
        <v>782</v>
      </c>
      <c r="H847" s="5" t="s">
        <v>20</v>
      </c>
      <c r="I847" s="5" t="s">
        <v>2131</v>
      </c>
      <c r="J847" s="12" t="str">
        <f>HYPERLINK("https://www.boe.es/gazeta/dias/1805/09/13/pdfs/GMD-1805-74.pdf#page=6","Abrir facsímil")</f>
        <v>Abrir facsímil</v>
      </c>
      <c r="K847" s="15" t="s">
        <v>22</v>
      </c>
    </row>
    <row r="848" spans="1:11" ht="42" customHeight="1">
      <c r="A848" s="4" t="s">
        <v>2132</v>
      </c>
      <c r="B848" s="5" t="s">
        <v>2132</v>
      </c>
      <c r="C848" s="5" t="s">
        <v>80</v>
      </c>
      <c r="D848" s="5" t="s">
        <v>81</v>
      </c>
      <c r="E848" s="5" t="s">
        <v>356</v>
      </c>
      <c r="F848" s="9">
        <v>12</v>
      </c>
      <c r="G848" s="9">
        <v>125</v>
      </c>
      <c r="H848" s="5" t="s">
        <v>20</v>
      </c>
      <c r="I848" s="5" t="s">
        <v>2126</v>
      </c>
      <c r="J848" s="12" t="str">
        <f>HYPERLINK("https://www.boe.es/gazeta/dias/1805/02/08/pdfs/GMD-1805-12.pdf#page=1","Abrir facsímil")</f>
        <v>Abrir facsímil</v>
      </c>
      <c r="K848" s="15" t="s">
        <v>22</v>
      </c>
    </row>
    <row r="849" spans="1:11" ht="42" customHeight="1">
      <c r="A849" s="4" t="s">
        <v>2132</v>
      </c>
      <c r="B849" s="5" t="s">
        <v>2132</v>
      </c>
      <c r="C849" s="5" t="s">
        <v>80</v>
      </c>
      <c r="D849" s="5" t="s">
        <v>81</v>
      </c>
      <c r="E849" s="5" t="s">
        <v>91</v>
      </c>
      <c r="F849" s="9">
        <v>28</v>
      </c>
      <c r="G849" s="9">
        <v>295</v>
      </c>
      <c r="H849" s="5" t="s">
        <v>20</v>
      </c>
      <c r="I849" s="5" t="s">
        <v>2133</v>
      </c>
      <c r="J849" s="12" t="str">
        <f>HYPERLINK("https://www.boe.es/gazeta/dias/1805/04/05/pdfs/GMD-1805-28.pdf#page=3","Abrir facsímil")</f>
        <v>Abrir facsímil</v>
      </c>
      <c r="K849" s="15" t="s">
        <v>22</v>
      </c>
    </row>
    <row r="850" spans="1:11" ht="42" customHeight="1">
      <c r="A850" s="4" t="s">
        <v>2132</v>
      </c>
      <c r="B850" s="5" t="s">
        <v>2132</v>
      </c>
      <c r="C850" s="5" t="s">
        <v>184</v>
      </c>
      <c r="D850" s="5" t="s">
        <v>86</v>
      </c>
      <c r="E850" s="5" t="s">
        <v>103</v>
      </c>
      <c r="F850" s="9">
        <v>30</v>
      </c>
      <c r="G850" s="9">
        <v>319</v>
      </c>
      <c r="H850" s="5" t="s">
        <v>20</v>
      </c>
      <c r="I850" s="5" t="s">
        <v>2134</v>
      </c>
      <c r="J850" s="12" t="str">
        <f>HYPERLINK("https://www.boe.es/gazeta/dias/1805/04/12/pdfs/GMD-1805-30.pdf#page=3","Abrir facsímil")</f>
        <v>Abrir facsímil</v>
      </c>
      <c r="K850" s="15" t="s">
        <v>22</v>
      </c>
    </row>
    <row r="851" spans="1:11" ht="42" customHeight="1">
      <c r="A851" s="4" t="s">
        <v>2132</v>
      </c>
      <c r="B851" s="5" t="s">
        <v>2132</v>
      </c>
      <c r="C851" s="5" t="s">
        <v>80</v>
      </c>
      <c r="D851" s="5" t="s">
        <v>81</v>
      </c>
      <c r="E851" s="5" t="s">
        <v>148</v>
      </c>
      <c r="F851" s="9">
        <v>50</v>
      </c>
      <c r="G851" s="9">
        <v>535</v>
      </c>
      <c r="H851" s="5" t="s">
        <v>20</v>
      </c>
      <c r="I851" s="5" t="s">
        <v>2135</v>
      </c>
      <c r="J851" s="12" t="str">
        <f>HYPERLINK("https://www.boe.es/gazeta/dias/1805/06/21/pdfs/GMD-1805-50.pdf#page=3","Abrir facsímil")</f>
        <v>Abrir facsímil</v>
      </c>
      <c r="K851" s="15" t="s">
        <v>22</v>
      </c>
    </row>
    <row r="852" spans="1:11" ht="42" customHeight="1">
      <c r="A852" s="4" t="s">
        <v>2136</v>
      </c>
      <c r="B852" s="5" t="s">
        <v>2136</v>
      </c>
      <c r="C852" s="5" t="s">
        <v>29</v>
      </c>
      <c r="D852" s="5" t="s">
        <v>30</v>
      </c>
      <c r="E852" s="5" t="s">
        <v>40</v>
      </c>
      <c r="F852" s="9">
        <v>59</v>
      </c>
      <c r="G852" s="9">
        <v>626</v>
      </c>
      <c r="H852" s="5" t="s">
        <v>20</v>
      </c>
      <c r="I852" s="5" t="s">
        <v>2137</v>
      </c>
      <c r="J852" s="12" t="str">
        <f>HYPERLINK("https://www.boe.es/gazeta/dias/1805/07/23/pdfs/GMD-1805-59.pdf#page=2","Abrir facsímil")</f>
        <v>Abrir facsímil</v>
      </c>
      <c r="K852" s="15" t="s">
        <v>22</v>
      </c>
    </row>
    <row r="853" spans="1:11" ht="42" customHeight="1">
      <c r="A853" s="4" t="s">
        <v>2138</v>
      </c>
      <c r="B853" s="5" t="s">
        <v>2138</v>
      </c>
      <c r="C853" s="5" t="s">
        <v>184</v>
      </c>
      <c r="D853" s="5" t="s">
        <v>86</v>
      </c>
      <c r="E853" s="5" t="s">
        <v>114</v>
      </c>
      <c r="F853" s="9">
        <v>17</v>
      </c>
      <c r="G853" s="9">
        <v>176</v>
      </c>
      <c r="H853" s="5" t="s">
        <v>20</v>
      </c>
      <c r="I853" s="5" t="s">
        <v>2139</v>
      </c>
      <c r="J853" s="12" t="str">
        <f>HYPERLINK("https://www.boe.es/gazeta/dias/1805/02/26/pdfs/GMD-1805-17.pdf#page=8","Abrir facsímil")</f>
        <v>Abrir facsímil</v>
      </c>
      <c r="K853" s="15" t="s">
        <v>22</v>
      </c>
    </row>
    <row r="854" spans="1:11" ht="42" customHeight="1">
      <c r="A854" s="4" t="s">
        <v>2140</v>
      </c>
      <c r="B854" s="5" t="s">
        <v>2141</v>
      </c>
      <c r="C854" s="5" t="s">
        <v>85</v>
      </c>
      <c r="D854" s="5" t="s">
        <v>86</v>
      </c>
      <c r="E854" s="5" t="s">
        <v>512</v>
      </c>
      <c r="F854" s="9">
        <v>100</v>
      </c>
      <c r="G854" s="9">
        <v>1081</v>
      </c>
      <c r="H854" s="5" t="s">
        <v>20</v>
      </c>
      <c r="I854" s="5" t="s">
        <v>2142</v>
      </c>
      <c r="J854" s="12" t="str">
        <f>HYPERLINK("https://www.boe.es/gazeta/dias/1805/12/13/pdfs/GMD-1805-100.pdf#page=9","Abrir facsímil")</f>
        <v>Abrir facsímil</v>
      </c>
      <c r="K854" s="15" t="s">
        <v>22</v>
      </c>
    </row>
    <row r="855" spans="1:11" ht="42" customHeight="1">
      <c r="A855" s="4" t="s">
        <v>2143</v>
      </c>
      <c r="B855" s="5" t="s">
        <v>2144</v>
      </c>
      <c r="C855" s="5" t="s">
        <v>184</v>
      </c>
      <c r="D855" s="5" t="s">
        <v>86</v>
      </c>
      <c r="E855" s="5" t="s">
        <v>293</v>
      </c>
      <c r="F855" s="9">
        <v>5</v>
      </c>
      <c r="G855" s="9">
        <v>53</v>
      </c>
      <c r="H855" s="5" t="s">
        <v>20</v>
      </c>
      <c r="I855" s="5" t="s">
        <v>2145</v>
      </c>
      <c r="J855" s="12" t="str">
        <f>HYPERLINK("https://www.boe.es/gazeta/dias/1805/01/15/pdfs/GMD-1805-5.pdf#page=9","Abrir facsímil")</f>
        <v>Abrir facsímil</v>
      </c>
      <c r="K855" s="15" t="s">
        <v>22</v>
      </c>
    </row>
    <row r="856" spans="1:11" ht="42" customHeight="1">
      <c r="A856" s="4" t="s">
        <v>2146</v>
      </c>
      <c r="B856" s="5" t="s">
        <v>2147</v>
      </c>
      <c r="C856" s="5" t="s">
        <v>35</v>
      </c>
      <c r="D856" s="5" t="s">
        <v>36</v>
      </c>
      <c r="E856" s="5" t="s">
        <v>76</v>
      </c>
      <c r="F856" s="9">
        <v>66</v>
      </c>
      <c r="G856" s="9">
        <v>708</v>
      </c>
      <c r="H856" s="5" t="s">
        <v>20</v>
      </c>
      <c r="I856" s="5" t="s">
        <v>2148</v>
      </c>
      <c r="J856" s="12" t="str">
        <f>HYPERLINK("https://www.boe.es/gazeta/dias/1805/08/16/pdfs/GMD-1805-66.pdf#page=8","Abrir facsímil")</f>
        <v>Abrir facsímil</v>
      </c>
      <c r="K856" s="15" t="s">
        <v>22</v>
      </c>
    </row>
    <row r="857" spans="1:11" ht="42" customHeight="1">
      <c r="A857" s="4" t="s">
        <v>2149</v>
      </c>
      <c r="B857" s="5" t="s">
        <v>2150</v>
      </c>
      <c r="C857" s="5" t="s">
        <v>80</v>
      </c>
      <c r="D857" s="5" t="s">
        <v>81</v>
      </c>
      <c r="E857" s="5" t="s">
        <v>422</v>
      </c>
      <c r="F857" s="9">
        <v>74</v>
      </c>
      <c r="G857" s="9">
        <v>782</v>
      </c>
      <c r="H857" s="5" t="s">
        <v>20</v>
      </c>
      <c r="I857" s="5" t="s">
        <v>2151</v>
      </c>
      <c r="J857" s="12" t="str">
        <f>HYPERLINK("https://www.boe.es/gazeta/dias/1805/09/13/pdfs/GMD-1805-74.pdf#page=6","Abrir facsímil")</f>
        <v>Abrir facsímil</v>
      </c>
      <c r="K857" s="15" t="s">
        <v>22</v>
      </c>
    </row>
    <row r="858" spans="1:11" ht="42" customHeight="1">
      <c r="A858" s="4" t="s">
        <v>2152</v>
      </c>
      <c r="B858" s="5" t="s">
        <v>2153</v>
      </c>
      <c r="C858" s="5" t="s">
        <v>29</v>
      </c>
      <c r="D858" s="5" t="s">
        <v>30</v>
      </c>
      <c r="E858" s="5" t="s">
        <v>27</v>
      </c>
      <c r="F858" s="9">
        <v>37</v>
      </c>
      <c r="G858" s="9">
        <v>404</v>
      </c>
      <c r="H858" s="5" t="s">
        <v>20</v>
      </c>
      <c r="I858" s="5" t="s">
        <v>2154</v>
      </c>
      <c r="J858" s="12" t="str">
        <f>HYPERLINK("https://www.boe.es/gazeta/dias/1805/05/07/pdfs/GMD-1805-37.pdf#page=12","Abrir facsímil")</f>
        <v>Abrir facsímil</v>
      </c>
      <c r="K858" s="15" t="s">
        <v>22</v>
      </c>
    </row>
    <row r="859" spans="1:11" ht="42" customHeight="1">
      <c r="A859" s="4" t="s">
        <v>2155</v>
      </c>
      <c r="B859" s="5" t="s">
        <v>2156</v>
      </c>
      <c r="C859" s="5" t="s">
        <v>35</v>
      </c>
      <c r="D859" s="5" t="s">
        <v>36</v>
      </c>
      <c r="E859" s="5" t="s">
        <v>91</v>
      </c>
      <c r="F859" s="9">
        <v>28</v>
      </c>
      <c r="G859" s="9">
        <v>301</v>
      </c>
      <c r="H859" s="5" t="s">
        <v>20</v>
      </c>
      <c r="I859" s="5" t="s">
        <v>2157</v>
      </c>
      <c r="J859" s="12" t="str">
        <f>HYPERLINK("https://www.boe.es/gazeta/dias/1805/04/05/pdfs/GMD-1805-28.pdf#page=9","Abrir facsímil")</f>
        <v>Abrir facsímil</v>
      </c>
      <c r="K859" s="15" t="s">
        <v>22</v>
      </c>
    </row>
    <row r="860" spans="1:11" ht="42" customHeight="1">
      <c r="A860" s="4" t="s">
        <v>2158</v>
      </c>
      <c r="B860" s="5" t="s">
        <v>2159</v>
      </c>
      <c r="C860" s="5" t="s">
        <v>85</v>
      </c>
      <c r="D860" s="5" t="s">
        <v>86</v>
      </c>
      <c r="E860" s="5" t="s">
        <v>273</v>
      </c>
      <c r="F860" s="9">
        <v>8</v>
      </c>
      <c r="G860" s="9">
        <v>88</v>
      </c>
      <c r="H860" s="5" t="s">
        <v>20</v>
      </c>
      <c r="I860" s="5" t="s">
        <v>2160</v>
      </c>
      <c r="J860" s="12" t="str">
        <f>HYPERLINK("https://www.boe.es/gazeta/dias/1805/01/25/pdfs/GMD-1805-8.pdf#page=8","Abrir facsímil")</f>
        <v>Abrir facsímil</v>
      </c>
      <c r="K860" s="15" t="s">
        <v>22</v>
      </c>
    </row>
    <row r="861" spans="1:11" ht="42" customHeight="1">
      <c r="A861" s="4" t="s">
        <v>2161</v>
      </c>
      <c r="B861" s="5" t="s">
        <v>2162</v>
      </c>
      <c r="C861" s="5" t="s">
        <v>35</v>
      </c>
      <c r="D861" s="5" t="s">
        <v>36</v>
      </c>
      <c r="E861" s="5" t="s">
        <v>495</v>
      </c>
      <c r="F861" s="9">
        <v>103</v>
      </c>
      <c r="G861" s="9">
        <v>1115</v>
      </c>
      <c r="H861" s="5" t="s">
        <v>20</v>
      </c>
      <c r="I861" s="5" t="s">
        <v>2163</v>
      </c>
      <c r="J861" s="12" t="str">
        <f>HYPERLINK("https://www.boe.es/gazeta/dias/1805/12/24/pdfs/GMD-1805-103.pdf#page=7","Abrir facsímil")</f>
        <v>Abrir facsímil</v>
      </c>
      <c r="K861" s="15" t="s">
        <v>22</v>
      </c>
    </row>
    <row r="862" spans="1:11" ht="42" customHeight="1">
      <c r="A862" s="4" t="s">
        <v>2164</v>
      </c>
      <c r="B862" s="5" t="s">
        <v>2165</v>
      </c>
      <c r="C862" s="5" t="s">
        <v>17</v>
      </c>
      <c r="D862" s="5" t="s">
        <v>18</v>
      </c>
      <c r="E862" s="5" t="s">
        <v>63</v>
      </c>
      <c r="F862" s="9">
        <v>101</v>
      </c>
      <c r="G862" s="9">
        <v>1091</v>
      </c>
      <c r="H862" s="5" t="s">
        <v>20</v>
      </c>
      <c r="I862" s="5" t="s">
        <v>2166</v>
      </c>
      <c r="J862" s="12" t="str">
        <f>HYPERLINK("https://www.boe.es/gazeta/dias/1805/12/17/pdfs/GMD-1805-101.pdf#page=7","Abrir facsímil")</f>
        <v>Abrir facsímil</v>
      </c>
      <c r="K862" s="15" t="s">
        <v>22</v>
      </c>
    </row>
    <row r="863" spans="1:11" ht="42" customHeight="1">
      <c r="A863" s="4" t="s">
        <v>2167</v>
      </c>
      <c r="B863" s="5" t="s">
        <v>2168</v>
      </c>
      <c r="C863" s="5" t="s">
        <v>35</v>
      </c>
      <c r="D863" s="5" t="s">
        <v>36</v>
      </c>
      <c r="E863" s="5" t="s">
        <v>506</v>
      </c>
      <c r="F863" s="9">
        <v>80</v>
      </c>
      <c r="G863" s="9">
        <v>850</v>
      </c>
      <c r="H863" s="5" t="s">
        <v>20</v>
      </c>
      <c r="I863" s="5" t="s">
        <v>2169</v>
      </c>
      <c r="J863" s="12" t="str">
        <f>HYPERLINK("https://www.boe.es/gazeta/dias/1805/10/04/pdfs/GMD-1805-80.pdf#page=10","Abrir facsímil")</f>
        <v>Abrir facsímil</v>
      </c>
      <c r="K863" s="15" t="s">
        <v>22</v>
      </c>
    </row>
    <row r="864" spans="1:11" ht="42" customHeight="1">
      <c r="A864" s="4" t="s">
        <v>2170</v>
      </c>
      <c r="B864" s="5" t="s">
        <v>2171</v>
      </c>
      <c r="C864" s="5" t="s">
        <v>35</v>
      </c>
      <c r="D864" s="5" t="s">
        <v>36</v>
      </c>
      <c r="E864" s="5" t="s">
        <v>261</v>
      </c>
      <c r="F864" s="9">
        <v>18</v>
      </c>
      <c r="G864" s="9" t="s">
        <v>159</v>
      </c>
      <c r="H864" s="5" t="s">
        <v>20</v>
      </c>
      <c r="I864" s="5" t="s">
        <v>2172</v>
      </c>
      <c r="J864" s="12" t="str">
        <f>HYPERLINK("https://www.boe.es/gazeta/dias/1805/03/01/pdfs/GMD-C-1805-18.pdf#page=3","Abrir facsímil")</f>
        <v>Abrir facsímil</v>
      </c>
      <c r="K864" s="15" t="s">
        <v>22</v>
      </c>
    </row>
    <row r="865" spans="1:11" ht="42" customHeight="1">
      <c r="A865" s="4" t="s">
        <v>2173</v>
      </c>
      <c r="B865" s="5" t="s">
        <v>2174</v>
      </c>
      <c r="C865" s="5" t="s">
        <v>85</v>
      </c>
      <c r="D865" s="5" t="s">
        <v>86</v>
      </c>
      <c r="E865" s="5" t="s">
        <v>188</v>
      </c>
      <c r="F865" s="9">
        <v>68</v>
      </c>
      <c r="G865" s="9">
        <v>728</v>
      </c>
      <c r="H865" s="5" t="s">
        <v>20</v>
      </c>
      <c r="I865" s="5" t="s">
        <v>2175</v>
      </c>
      <c r="J865" s="12" t="str">
        <f>HYPERLINK("https://www.boe.es/gazeta/dias/1805/08/23/pdfs/GMD-1805-68.pdf#page=8","Abrir facsímil")</f>
        <v>Abrir facsímil</v>
      </c>
      <c r="K865" s="15" t="s">
        <v>22</v>
      </c>
    </row>
    <row r="866" spans="1:11" ht="42" customHeight="1">
      <c r="A866" s="4" t="s">
        <v>2176</v>
      </c>
      <c r="B866" s="5" t="s">
        <v>2177</v>
      </c>
      <c r="C866" s="5" t="s">
        <v>184</v>
      </c>
      <c r="D866" s="5" t="s">
        <v>86</v>
      </c>
      <c r="E866" s="5" t="s">
        <v>281</v>
      </c>
      <c r="F866" s="9">
        <v>15</v>
      </c>
      <c r="G866" s="9">
        <v>156</v>
      </c>
      <c r="H866" s="5" t="s">
        <v>20</v>
      </c>
      <c r="I866" s="5" t="s">
        <v>2178</v>
      </c>
      <c r="J866" s="12" t="str">
        <f>HYPERLINK("https://www.boe.es/gazeta/dias/1805/02/19/pdfs/GMD-1805-15.pdf#page=8","Abrir facsímil")</f>
        <v>Abrir facsímil</v>
      </c>
      <c r="K866" s="15" t="s">
        <v>22</v>
      </c>
    </row>
    <row r="867" spans="1:11" ht="42" customHeight="1">
      <c r="A867" s="4" t="s">
        <v>2179</v>
      </c>
      <c r="B867" s="5" t="s">
        <v>2179</v>
      </c>
      <c r="C867" s="5" t="s">
        <v>184</v>
      </c>
      <c r="D867" s="5" t="s">
        <v>86</v>
      </c>
      <c r="E867" s="5" t="s">
        <v>261</v>
      </c>
      <c r="F867" s="9">
        <v>18</v>
      </c>
      <c r="G867" s="9" t="s">
        <v>159</v>
      </c>
      <c r="H867" s="5" t="s">
        <v>20</v>
      </c>
      <c r="I867" s="5" t="s">
        <v>2180</v>
      </c>
      <c r="J867" s="12" t="str">
        <f>HYPERLINK("https://www.boe.es/gazeta/dias/1805/03/01/pdfs/GMD-C-1805-18.pdf#page=3","Abrir facsímil")</f>
        <v>Abrir facsímil</v>
      </c>
      <c r="K867" s="15" t="s">
        <v>22</v>
      </c>
    </row>
    <row r="868" spans="1:11" ht="42" customHeight="1">
      <c r="A868" s="4" t="s">
        <v>2181</v>
      </c>
      <c r="B868" s="5" t="s">
        <v>2182</v>
      </c>
      <c r="C868" s="5" t="s">
        <v>35</v>
      </c>
      <c r="D868" s="5" t="s">
        <v>36</v>
      </c>
      <c r="E868" s="5" t="s">
        <v>958</v>
      </c>
      <c r="F868" s="9">
        <v>58</v>
      </c>
      <c r="G868" s="9">
        <v>620</v>
      </c>
      <c r="H868" s="5" t="s">
        <v>20</v>
      </c>
      <c r="I868" s="5" t="s">
        <v>2183</v>
      </c>
      <c r="J868" s="12" t="str">
        <f>HYPERLINK("https://www.boe.es/gazeta/dias/1805/07/19/pdfs/GMD-1805-58.pdf#page=4","Abrir facsímil")</f>
        <v>Abrir facsímil</v>
      </c>
      <c r="K868" s="15" t="s">
        <v>22</v>
      </c>
    </row>
    <row r="869" spans="1:11" ht="42" customHeight="1">
      <c r="A869" s="4" t="s">
        <v>2184</v>
      </c>
      <c r="B869" s="5" t="s">
        <v>2185</v>
      </c>
      <c r="C869" s="5" t="s">
        <v>17</v>
      </c>
      <c r="D869" s="5" t="s">
        <v>18</v>
      </c>
      <c r="E869" s="5" t="s">
        <v>293</v>
      </c>
      <c r="F869" s="9">
        <v>5</v>
      </c>
      <c r="G869" s="9">
        <v>53</v>
      </c>
      <c r="H869" s="5" t="s">
        <v>20</v>
      </c>
      <c r="I869" s="5" t="s">
        <v>2186</v>
      </c>
      <c r="J869" s="12" t="str">
        <f>HYPERLINK("https://www.boe.es/gazeta/dias/1805/01/15/pdfs/GMD-1805-5.pdf#page=9","Abrir facsímil")</f>
        <v>Abrir facsímil</v>
      </c>
      <c r="K869" s="15" t="s">
        <v>22</v>
      </c>
    </row>
    <row r="870" spans="1:11" ht="42" customHeight="1">
      <c r="A870" s="4" t="s">
        <v>2187</v>
      </c>
      <c r="B870" s="5" t="s">
        <v>2188</v>
      </c>
      <c r="C870" s="5" t="s">
        <v>17</v>
      </c>
      <c r="D870" s="5" t="s">
        <v>18</v>
      </c>
      <c r="E870" s="5" t="s">
        <v>59</v>
      </c>
      <c r="F870" s="9">
        <v>21</v>
      </c>
      <c r="G870" s="9">
        <v>220</v>
      </c>
      <c r="H870" s="5" t="s">
        <v>20</v>
      </c>
      <c r="I870" s="5" t="s">
        <v>2189</v>
      </c>
      <c r="J870" s="12" t="str">
        <f>HYPERLINK("https://www.boe.es/gazeta/dias/1805/03/12/pdfs/GMD-1805-21.pdf#page=8","Abrir facsímil")</f>
        <v>Abrir facsímil</v>
      </c>
      <c r="K870" s="15" t="s">
        <v>22</v>
      </c>
    </row>
    <row r="871" spans="1:11" ht="42" customHeight="1">
      <c r="A871" s="4" t="s">
        <v>2190</v>
      </c>
      <c r="B871" s="5" t="s">
        <v>2191</v>
      </c>
      <c r="C871" s="5" t="s">
        <v>17</v>
      </c>
      <c r="D871" s="5" t="s">
        <v>18</v>
      </c>
      <c r="E871" s="5" t="s">
        <v>213</v>
      </c>
      <c r="F871" s="9">
        <v>56</v>
      </c>
      <c r="G871" s="9">
        <v>603</v>
      </c>
      <c r="H871" s="5" t="s">
        <v>20</v>
      </c>
      <c r="I871" s="5" t="s">
        <v>2192</v>
      </c>
      <c r="J871" s="12" t="str">
        <f>HYPERLINK("https://www.boe.es/gazeta/dias/1805/07/12/pdfs/GMD-1805-56.pdf#page=11","Abrir facsímil")</f>
        <v>Abrir facsímil</v>
      </c>
      <c r="K871" s="15" t="s">
        <v>22</v>
      </c>
    </row>
    <row r="872" spans="1:11" ht="42" customHeight="1">
      <c r="A872" s="4" t="s">
        <v>2193</v>
      </c>
      <c r="B872" s="5" t="s">
        <v>2194</v>
      </c>
      <c r="C872" s="5" t="s">
        <v>85</v>
      </c>
      <c r="D872" s="5" t="s">
        <v>86</v>
      </c>
      <c r="E872" s="5" t="s">
        <v>273</v>
      </c>
      <c r="F872" s="9">
        <v>8</v>
      </c>
      <c r="G872" s="9">
        <v>89</v>
      </c>
      <c r="H872" s="5" t="s">
        <v>20</v>
      </c>
      <c r="I872" s="5" t="s">
        <v>2195</v>
      </c>
      <c r="J872" s="12" t="str">
        <f>HYPERLINK("https://www.boe.es/gazeta/dias/1805/01/25/pdfs/GMD-1805-8.pdf#page=9","Abrir facsímil")</f>
        <v>Abrir facsímil</v>
      </c>
      <c r="K872" s="15" t="s">
        <v>22</v>
      </c>
    </row>
    <row r="873" spans="1:11" ht="42" customHeight="1">
      <c r="A873" s="4" t="s">
        <v>2196</v>
      </c>
      <c r="B873" s="5" t="s">
        <v>2197</v>
      </c>
      <c r="C873" s="5" t="s">
        <v>35</v>
      </c>
      <c r="D873" s="5" t="s">
        <v>36</v>
      </c>
      <c r="E873" s="5" t="s">
        <v>163</v>
      </c>
      <c r="F873" s="9">
        <v>77</v>
      </c>
      <c r="G873" s="9">
        <v>817</v>
      </c>
      <c r="H873" s="5" t="s">
        <v>20</v>
      </c>
      <c r="I873" s="5" t="s">
        <v>2198</v>
      </c>
      <c r="J873" s="12" t="str">
        <f>HYPERLINK("https://www.boe.es/gazeta/dias/1805/09/24/pdfs/GMD-1805-77.pdf#page=9","Abrir facsímil")</f>
        <v>Abrir facsímil</v>
      </c>
      <c r="K873" s="15" t="s">
        <v>22</v>
      </c>
    </row>
    <row r="874" spans="1:11" ht="42" customHeight="1">
      <c r="A874" s="4" t="s">
        <v>2199</v>
      </c>
      <c r="B874" s="5" t="s">
        <v>2200</v>
      </c>
      <c r="C874" s="5" t="s">
        <v>35</v>
      </c>
      <c r="D874" s="5" t="s">
        <v>36</v>
      </c>
      <c r="E874" s="5" t="s">
        <v>19</v>
      </c>
      <c r="F874" s="9">
        <v>86</v>
      </c>
      <c r="G874" s="9">
        <v>914</v>
      </c>
      <c r="H874" s="5" t="s">
        <v>20</v>
      </c>
      <c r="I874" s="5" t="s">
        <v>2201</v>
      </c>
      <c r="J874" s="12" t="str">
        <f>HYPERLINK("https://www.boe.es/gazeta/dias/1805/10/25/pdfs/GMD-1805-86.pdf#page=10","Abrir facsímil")</f>
        <v>Abrir facsímil</v>
      </c>
      <c r="K874" s="15" t="s">
        <v>22</v>
      </c>
    </row>
    <row r="875" spans="1:11" ht="42" customHeight="1">
      <c r="A875" s="4" t="s">
        <v>2202</v>
      </c>
      <c r="B875" s="5" t="s">
        <v>2202</v>
      </c>
      <c r="C875" s="5" t="s">
        <v>35</v>
      </c>
      <c r="D875" s="5" t="s">
        <v>36</v>
      </c>
      <c r="E875" s="5" t="s">
        <v>352</v>
      </c>
      <c r="F875" s="9">
        <v>60</v>
      </c>
      <c r="G875" s="9">
        <v>646</v>
      </c>
      <c r="H875" s="5" t="s">
        <v>20</v>
      </c>
      <c r="I875" s="5" t="s">
        <v>2203</v>
      </c>
      <c r="J875" s="12" t="str">
        <f>HYPERLINK("https://www.boe.es/gazeta/dias/1805/07/26/pdfs/GMD-1805-60.pdf#page=10","Abrir facsímil")</f>
        <v>Abrir facsímil</v>
      </c>
      <c r="K875" s="15" t="s">
        <v>22</v>
      </c>
    </row>
    <row r="876" spans="1:11" ht="42" customHeight="1">
      <c r="A876" s="4" t="s">
        <v>2204</v>
      </c>
      <c r="B876" s="5" t="s">
        <v>2204</v>
      </c>
      <c r="C876" s="5" t="s">
        <v>35</v>
      </c>
      <c r="D876" s="5" t="s">
        <v>36</v>
      </c>
      <c r="E876" s="5" t="s">
        <v>135</v>
      </c>
      <c r="F876" s="9">
        <v>71</v>
      </c>
      <c r="G876" s="9">
        <v>757</v>
      </c>
      <c r="H876" s="5" t="s">
        <v>20</v>
      </c>
      <c r="I876" s="5" t="s">
        <v>2205</v>
      </c>
      <c r="J876" s="12" t="str">
        <f>HYPERLINK("https://www.boe.es/gazeta/dias/1805/09/03/pdfs/GMD-1805-71.pdf#page=9","Abrir facsímil")</f>
        <v>Abrir facsímil</v>
      </c>
      <c r="K876" s="15" t="s">
        <v>22</v>
      </c>
    </row>
    <row r="877" spans="1:11" ht="42" customHeight="1">
      <c r="A877" s="4" t="s">
        <v>2206</v>
      </c>
      <c r="B877" s="5" t="s">
        <v>2206</v>
      </c>
      <c r="C877" s="5" t="s">
        <v>35</v>
      </c>
      <c r="D877" s="5" t="s">
        <v>36</v>
      </c>
      <c r="E877" s="5" t="s">
        <v>144</v>
      </c>
      <c r="F877" s="9">
        <v>85</v>
      </c>
      <c r="G877" s="9">
        <v>902</v>
      </c>
      <c r="H877" s="5" t="s">
        <v>20</v>
      </c>
      <c r="I877" s="5" t="s">
        <v>2207</v>
      </c>
      <c r="J877" s="12" t="str">
        <f>HYPERLINK("https://www.boe.es/gazeta/dias/1805/10/22/pdfs/GMD-1805-85.pdf#page=10","Abrir facsímil")</f>
        <v>Abrir facsímil</v>
      </c>
      <c r="K877" s="15" t="s">
        <v>22</v>
      </c>
    </row>
    <row r="878" spans="1:11" ht="42" customHeight="1">
      <c r="A878" s="4" t="s">
        <v>2208</v>
      </c>
      <c r="B878" s="5" t="s">
        <v>2209</v>
      </c>
      <c r="C878" s="5" t="s">
        <v>35</v>
      </c>
      <c r="D878" s="5" t="s">
        <v>36</v>
      </c>
      <c r="E878" s="5" t="s">
        <v>163</v>
      </c>
      <c r="F878" s="9">
        <v>77</v>
      </c>
      <c r="G878" s="9">
        <v>817</v>
      </c>
      <c r="H878" s="5" t="s">
        <v>20</v>
      </c>
      <c r="I878" s="5" t="s">
        <v>2210</v>
      </c>
      <c r="J878" s="12" t="str">
        <f>HYPERLINK("https://www.boe.es/gazeta/dias/1805/09/24/pdfs/GMD-1805-77.pdf#page=9","Abrir facsímil")</f>
        <v>Abrir facsímil</v>
      </c>
      <c r="K878" s="15" t="s">
        <v>22</v>
      </c>
    </row>
    <row r="879" spans="1:11" ht="42" customHeight="1">
      <c r="A879" s="4" t="s">
        <v>2211</v>
      </c>
      <c r="B879" s="5" t="s">
        <v>2212</v>
      </c>
      <c r="C879" s="5" t="s">
        <v>17</v>
      </c>
      <c r="D879" s="5" t="s">
        <v>18</v>
      </c>
      <c r="E879" s="5" t="s">
        <v>63</v>
      </c>
      <c r="F879" s="9">
        <v>101</v>
      </c>
      <c r="G879" s="9">
        <v>1091</v>
      </c>
      <c r="H879" s="5" t="s">
        <v>20</v>
      </c>
      <c r="I879" s="5" t="s">
        <v>2213</v>
      </c>
      <c r="J879" s="12" t="str">
        <f>HYPERLINK("https://www.boe.es/gazeta/dias/1805/12/17/pdfs/GMD-1805-101.pdf#page=7","Abrir facsímil")</f>
        <v>Abrir facsímil</v>
      </c>
      <c r="K879" s="15" t="s">
        <v>22</v>
      </c>
    </row>
    <row r="880" spans="1:11" ht="42" customHeight="1">
      <c r="A880" s="4" t="s">
        <v>2214</v>
      </c>
      <c r="B880" s="5" t="s">
        <v>2215</v>
      </c>
      <c r="C880" s="5" t="s">
        <v>17</v>
      </c>
      <c r="D880" s="5" t="s">
        <v>18</v>
      </c>
      <c r="E880" s="5" t="s">
        <v>290</v>
      </c>
      <c r="F880" s="9">
        <v>36</v>
      </c>
      <c r="G880" s="9">
        <v>387</v>
      </c>
      <c r="H880" s="5" t="s">
        <v>20</v>
      </c>
      <c r="I880" s="5" t="s">
        <v>2216</v>
      </c>
      <c r="J880" s="12" t="str">
        <f>HYPERLINK("https://www.boe.es/gazeta/dias/1805/05/03/pdfs/GMD-1805-36.pdf#page=7","Abrir facsímil")</f>
        <v>Abrir facsímil</v>
      </c>
      <c r="K880" s="15" t="s">
        <v>22</v>
      </c>
    </row>
    <row r="881" spans="1:11" ht="42" customHeight="1">
      <c r="A881" s="4" t="s">
        <v>2217</v>
      </c>
      <c r="B881" s="5" t="s">
        <v>2218</v>
      </c>
      <c r="C881" s="5" t="s">
        <v>17</v>
      </c>
      <c r="D881" s="5" t="s">
        <v>18</v>
      </c>
      <c r="E881" s="5" t="s">
        <v>1022</v>
      </c>
      <c r="F881" s="9">
        <v>52</v>
      </c>
      <c r="G881" s="9">
        <v>561</v>
      </c>
      <c r="H881" s="5" t="s">
        <v>20</v>
      </c>
      <c r="I881" s="5" t="s">
        <v>2219</v>
      </c>
      <c r="J881" s="12" t="str">
        <f>HYPERLINK("https://www.boe.es/gazeta/dias/1805/06/28/pdfs/GMD-1805-52.pdf#page=9","Abrir facsímil")</f>
        <v>Abrir facsímil</v>
      </c>
      <c r="K881" s="15" t="s">
        <v>22</v>
      </c>
    </row>
    <row r="882" spans="1:11" ht="42" customHeight="1">
      <c r="A882" s="4" t="s">
        <v>2220</v>
      </c>
      <c r="B882" s="5" t="s">
        <v>2221</v>
      </c>
      <c r="C882" s="5" t="s">
        <v>35</v>
      </c>
      <c r="D882" s="5" t="s">
        <v>36</v>
      </c>
      <c r="E882" s="5" t="s">
        <v>352</v>
      </c>
      <c r="F882" s="9">
        <v>60</v>
      </c>
      <c r="G882" s="9">
        <v>645</v>
      </c>
      <c r="H882" s="5" t="s">
        <v>20</v>
      </c>
      <c r="I882" s="5" t="s">
        <v>2222</v>
      </c>
      <c r="J882" s="12" t="str">
        <f>HYPERLINK("https://www.boe.es/gazeta/dias/1805/07/26/pdfs/GMD-1805-60.pdf#page=9","Abrir facsímil")</f>
        <v>Abrir facsímil</v>
      </c>
      <c r="K882" s="15" t="s">
        <v>22</v>
      </c>
    </row>
    <row r="883" spans="1:11" ht="42" customHeight="1">
      <c r="A883" s="4" t="s">
        <v>2223</v>
      </c>
      <c r="B883" s="5" t="s">
        <v>2224</v>
      </c>
      <c r="C883" s="5" t="s">
        <v>17</v>
      </c>
      <c r="D883" s="5" t="s">
        <v>18</v>
      </c>
      <c r="E883" s="5" t="s">
        <v>207</v>
      </c>
      <c r="F883" s="9">
        <v>76</v>
      </c>
      <c r="G883" s="9">
        <v>808</v>
      </c>
      <c r="H883" s="5" t="s">
        <v>20</v>
      </c>
      <c r="I883" s="5" t="s">
        <v>2225</v>
      </c>
      <c r="J883" s="12" t="str">
        <f>HYPERLINK("https://www.boe.es/gazeta/dias/1805/09/20/pdfs/GMD-1805-76.pdf#page=8","Abrir facsímil")</f>
        <v>Abrir facsímil</v>
      </c>
      <c r="K883" s="15" t="s">
        <v>22</v>
      </c>
    </row>
    <row r="884" spans="1:11" ht="42" customHeight="1">
      <c r="A884" s="4" t="s">
        <v>2226</v>
      </c>
      <c r="B884" s="5" t="s">
        <v>2227</v>
      </c>
      <c r="C884" s="5" t="s">
        <v>17</v>
      </c>
      <c r="D884" s="5" t="s">
        <v>18</v>
      </c>
      <c r="E884" s="5" t="s">
        <v>59</v>
      </c>
      <c r="F884" s="9">
        <v>21</v>
      </c>
      <c r="G884" s="9">
        <v>220</v>
      </c>
      <c r="H884" s="5" t="s">
        <v>20</v>
      </c>
      <c r="I884" s="5" t="s">
        <v>2228</v>
      </c>
      <c r="J884" s="12" t="str">
        <f>HYPERLINK("https://www.boe.es/gazeta/dias/1805/03/12/pdfs/GMD-1805-21.pdf#page=8","Abrir facsímil")</f>
        <v>Abrir facsímil</v>
      </c>
      <c r="K884" s="15" t="s">
        <v>22</v>
      </c>
    </row>
    <row r="885" spans="1:11" ht="42" customHeight="1">
      <c r="A885" s="4" t="s">
        <v>2226</v>
      </c>
      <c r="B885" s="5" t="s">
        <v>2227</v>
      </c>
      <c r="C885" s="5" t="s">
        <v>17</v>
      </c>
      <c r="D885" s="5" t="s">
        <v>18</v>
      </c>
      <c r="E885" s="5" t="s">
        <v>76</v>
      </c>
      <c r="F885" s="9">
        <v>66</v>
      </c>
      <c r="G885" s="9">
        <v>707</v>
      </c>
      <c r="H885" s="5" t="s">
        <v>20</v>
      </c>
      <c r="I885" s="5" t="s">
        <v>2229</v>
      </c>
      <c r="J885" s="12" t="str">
        <f>HYPERLINK("https://www.boe.es/gazeta/dias/1805/08/16/pdfs/GMD-1805-66.pdf#page=7","Abrir facsímil")</f>
        <v>Abrir facsímil</v>
      </c>
      <c r="K885" s="15" t="s">
        <v>22</v>
      </c>
    </row>
    <row r="886" spans="1:11" ht="42" customHeight="1">
      <c r="A886" s="4" t="s">
        <v>2230</v>
      </c>
      <c r="B886" s="5" t="s">
        <v>2231</v>
      </c>
      <c r="C886" s="5" t="s">
        <v>17</v>
      </c>
      <c r="D886" s="5" t="s">
        <v>18</v>
      </c>
      <c r="E886" s="5" t="s">
        <v>356</v>
      </c>
      <c r="F886" s="9">
        <v>12</v>
      </c>
      <c r="G886" s="9">
        <v>131</v>
      </c>
      <c r="H886" s="5" t="s">
        <v>20</v>
      </c>
      <c r="I886" s="5" t="s">
        <v>2232</v>
      </c>
      <c r="J886" s="12" t="str">
        <f>HYPERLINK("https://www.boe.es/gazeta/dias/1805/02/08/pdfs/GMD-1805-12.pdf#page=7","Abrir facsímil")</f>
        <v>Abrir facsímil</v>
      </c>
      <c r="K886" s="15" t="s">
        <v>22</v>
      </c>
    </row>
    <row r="887" spans="1:11" ht="42" customHeight="1">
      <c r="A887" s="4" t="s">
        <v>2230</v>
      </c>
      <c r="B887" s="5" t="s">
        <v>2231</v>
      </c>
      <c r="C887" s="5" t="s">
        <v>17</v>
      </c>
      <c r="D887" s="5" t="s">
        <v>18</v>
      </c>
      <c r="E887" s="5" t="s">
        <v>107</v>
      </c>
      <c r="F887" s="9">
        <v>19</v>
      </c>
      <c r="G887" s="9">
        <v>190</v>
      </c>
      <c r="H887" s="5" t="s">
        <v>20</v>
      </c>
      <c r="I887" s="5" t="s">
        <v>2233</v>
      </c>
      <c r="J887" s="12" t="str">
        <f>HYPERLINK("https://www.boe.es/gazeta/dias/1805/03/05/pdfs/GMD-1805-19.pdf#page=2","Abrir facsímil")</f>
        <v>Abrir facsímil</v>
      </c>
      <c r="K887" s="15" t="s">
        <v>22</v>
      </c>
    </row>
    <row r="888" spans="1:11" ht="42" customHeight="1">
      <c r="A888" s="4" t="s">
        <v>2230</v>
      </c>
      <c r="B888" s="5" t="s">
        <v>2231</v>
      </c>
      <c r="C888" s="5" t="s">
        <v>17</v>
      </c>
      <c r="D888" s="5" t="s">
        <v>18</v>
      </c>
      <c r="E888" s="5" t="s">
        <v>37</v>
      </c>
      <c r="F888" s="9">
        <v>54</v>
      </c>
      <c r="G888" s="9">
        <v>580</v>
      </c>
      <c r="H888" s="5" t="s">
        <v>20</v>
      </c>
      <c r="I888" s="5" t="s">
        <v>2234</v>
      </c>
      <c r="J888" s="12" t="str">
        <f>HYPERLINK("https://www.boe.es/gazeta/dias/1805/07/05/pdfs/GMD-1805-54.pdf#page=8","Abrir facsímil")</f>
        <v>Abrir facsímil</v>
      </c>
      <c r="K888" s="15" t="s">
        <v>22</v>
      </c>
    </row>
    <row r="889" spans="1:11" ht="42" customHeight="1">
      <c r="A889" s="4" t="s">
        <v>2230</v>
      </c>
      <c r="B889" s="5" t="s">
        <v>2231</v>
      </c>
      <c r="C889" s="5" t="s">
        <v>17</v>
      </c>
      <c r="D889" s="5" t="s">
        <v>18</v>
      </c>
      <c r="E889" s="5" t="s">
        <v>585</v>
      </c>
      <c r="F889" s="9">
        <v>64</v>
      </c>
      <c r="G889" s="9">
        <v>684</v>
      </c>
      <c r="H889" s="5" t="s">
        <v>20</v>
      </c>
      <c r="I889" s="5" t="s">
        <v>2235</v>
      </c>
      <c r="J889" s="12" t="str">
        <f>HYPERLINK("https://www.boe.es/gazeta/dias/1805/08/09/pdfs/GMD-1805-64.pdf#page=8","Abrir facsímil")</f>
        <v>Abrir facsímil</v>
      </c>
      <c r="K889" s="15" t="s">
        <v>22</v>
      </c>
    </row>
    <row r="890" spans="1:11" ht="42" customHeight="1">
      <c r="A890" s="4" t="s">
        <v>2236</v>
      </c>
      <c r="B890" s="5" t="s">
        <v>2237</v>
      </c>
      <c r="C890" s="5" t="s">
        <v>17</v>
      </c>
      <c r="D890" s="5" t="s">
        <v>18</v>
      </c>
      <c r="E890" s="5" t="s">
        <v>585</v>
      </c>
      <c r="F890" s="9">
        <v>64</v>
      </c>
      <c r="G890" s="9">
        <v>685</v>
      </c>
      <c r="H890" s="5" t="s">
        <v>20</v>
      </c>
      <c r="I890" s="5" t="s">
        <v>2238</v>
      </c>
      <c r="J890" s="12" t="str">
        <f>HYPERLINK("https://www.boe.es/gazeta/dias/1805/08/09/pdfs/GMD-1805-64.pdf#page=9","Abrir facsímil")</f>
        <v>Abrir facsímil</v>
      </c>
      <c r="K890" s="15" t="s">
        <v>22</v>
      </c>
    </row>
    <row r="891" spans="1:11" ht="42" customHeight="1">
      <c r="A891" s="4" t="s">
        <v>2230</v>
      </c>
      <c r="B891" s="5" t="s">
        <v>2231</v>
      </c>
      <c r="C891" s="5" t="s">
        <v>17</v>
      </c>
      <c r="D891" s="5" t="s">
        <v>18</v>
      </c>
      <c r="E891" s="5" t="s">
        <v>456</v>
      </c>
      <c r="F891" s="9">
        <v>70</v>
      </c>
      <c r="G891" s="9">
        <v>745</v>
      </c>
      <c r="H891" s="5" t="s">
        <v>20</v>
      </c>
      <c r="I891" s="5" t="s">
        <v>2239</v>
      </c>
      <c r="J891" s="12" t="str">
        <f>HYPERLINK("https://www.boe.es/gazeta/dias/1805/08/30/pdfs/GMD-1805-70.pdf#page=5","Abrir facsímil")</f>
        <v>Abrir facsímil</v>
      </c>
      <c r="K891" s="15" t="s">
        <v>22</v>
      </c>
    </row>
    <row r="892" spans="1:11" ht="42" customHeight="1">
      <c r="A892" s="4" t="s">
        <v>2230</v>
      </c>
      <c r="B892" s="5" t="s">
        <v>2231</v>
      </c>
      <c r="C892" s="5" t="s">
        <v>17</v>
      </c>
      <c r="D892" s="5" t="s">
        <v>18</v>
      </c>
      <c r="E892" s="5" t="s">
        <v>456</v>
      </c>
      <c r="F892" s="9">
        <v>70</v>
      </c>
      <c r="G892" s="9">
        <v>746</v>
      </c>
      <c r="H892" s="5" t="s">
        <v>20</v>
      </c>
      <c r="I892" s="5" t="s">
        <v>2240</v>
      </c>
      <c r="J892" s="12" t="str">
        <f>HYPERLINK("https://www.boe.es/gazeta/dias/1805/08/30/pdfs/GMD-1805-70.pdf#page=6","Abrir facsímil")</f>
        <v>Abrir facsímil</v>
      </c>
      <c r="K892" s="15" t="s">
        <v>22</v>
      </c>
    </row>
    <row r="893" spans="1:11" ht="42" customHeight="1">
      <c r="A893" s="4" t="s">
        <v>2241</v>
      </c>
      <c r="B893" s="5" t="s">
        <v>2242</v>
      </c>
      <c r="C893" s="5" t="s">
        <v>35</v>
      </c>
      <c r="D893" s="5" t="s">
        <v>36</v>
      </c>
      <c r="E893" s="5" t="s">
        <v>567</v>
      </c>
      <c r="F893" s="9">
        <v>49</v>
      </c>
      <c r="G893" s="9">
        <v>530</v>
      </c>
      <c r="H893" s="5" t="s">
        <v>20</v>
      </c>
      <c r="I893" s="5" t="s">
        <v>2243</v>
      </c>
      <c r="J893" s="12" t="str">
        <f>HYPERLINK("https://www.boe.es/gazeta/dias/1805/06/18/pdfs/GMD-1805-49.pdf#page=6","Abrir facsímil")</f>
        <v>Abrir facsímil</v>
      </c>
      <c r="K893" s="15" t="s">
        <v>22</v>
      </c>
    </row>
    <row r="894" spans="1:11" ht="42" customHeight="1">
      <c r="A894" s="4" t="s">
        <v>2244</v>
      </c>
      <c r="B894" s="5" t="s">
        <v>2245</v>
      </c>
      <c r="C894" s="5" t="s">
        <v>29</v>
      </c>
      <c r="D894" s="5" t="s">
        <v>30</v>
      </c>
      <c r="E894" s="5" t="s">
        <v>471</v>
      </c>
      <c r="F894" s="9">
        <v>22</v>
      </c>
      <c r="G894" s="9">
        <v>235</v>
      </c>
      <c r="H894" s="5" t="s">
        <v>20</v>
      </c>
      <c r="I894" s="5" t="s">
        <v>2246</v>
      </c>
      <c r="J894" s="12" t="str">
        <f>HYPERLINK("https://www.boe.es/gazeta/dias/1805/03/15/pdfs/GMD-1805-22.pdf#page=11","Abrir facsímil")</f>
        <v>Abrir facsímil</v>
      </c>
      <c r="K894" s="15" t="s">
        <v>22</v>
      </c>
    </row>
    <row r="895" spans="1:11" ht="42" customHeight="1">
      <c r="A895" s="4" t="s">
        <v>2247</v>
      </c>
      <c r="B895" s="5" t="s">
        <v>2247</v>
      </c>
      <c r="C895" s="5" t="s">
        <v>35</v>
      </c>
      <c r="D895" s="5" t="s">
        <v>36</v>
      </c>
      <c r="E895" s="5" t="s">
        <v>273</v>
      </c>
      <c r="F895" s="9">
        <v>8</v>
      </c>
      <c r="G895" s="9">
        <v>87</v>
      </c>
      <c r="H895" s="5" t="s">
        <v>20</v>
      </c>
      <c r="I895" s="5" t="s">
        <v>2248</v>
      </c>
      <c r="J895" s="12" t="str">
        <f>HYPERLINK("https://www.boe.es/gazeta/dias/1805/01/25/pdfs/GMD-1805-8.pdf#page=7","Abrir facsímil")</f>
        <v>Abrir facsímil</v>
      </c>
      <c r="K895" s="15" t="s">
        <v>22</v>
      </c>
    </row>
    <row r="896" spans="1:11" ht="42" customHeight="1">
      <c r="A896" s="4" t="s">
        <v>2249</v>
      </c>
      <c r="B896" s="5" t="s">
        <v>2249</v>
      </c>
      <c r="C896" s="5" t="s">
        <v>80</v>
      </c>
      <c r="D896" s="5" t="s">
        <v>81</v>
      </c>
      <c r="E896" s="5" t="s">
        <v>399</v>
      </c>
      <c r="F896" s="9">
        <v>39</v>
      </c>
      <c r="G896" s="9">
        <v>420</v>
      </c>
      <c r="H896" s="5" t="s">
        <v>20</v>
      </c>
      <c r="I896" s="5" t="s">
        <v>2250</v>
      </c>
      <c r="J896" s="12" t="str">
        <f>HYPERLINK("https://www.boe.es/gazeta/dias/1805/05/14/pdfs/GMD-1805-39.pdf#page=8","Abrir facsímil")</f>
        <v>Abrir facsímil</v>
      </c>
      <c r="K896" s="15" t="s">
        <v>22</v>
      </c>
    </row>
    <row r="897" spans="1:11" ht="42" customHeight="1">
      <c r="A897" s="4" t="s">
        <v>2251</v>
      </c>
      <c r="B897" s="5" t="s">
        <v>2252</v>
      </c>
      <c r="C897" s="5" t="s">
        <v>17</v>
      </c>
      <c r="D897" s="5" t="s">
        <v>18</v>
      </c>
      <c r="E897" s="5" t="s">
        <v>196</v>
      </c>
      <c r="F897" s="9">
        <v>67</v>
      </c>
      <c r="G897" s="9">
        <v>717</v>
      </c>
      <c r="H897" s="5" t="s">
        <v>20</v>
      </c>
      <c r="I897" s="5" t="s">
        <v>2253</v>
      </c>
      <c r="J897" s="12" t="str">
        <f>HYPERLINK("https://www.boe.es/gazeta/dias/1805/08/20/pdfs/GMD-1805-67.pdf#page=5","Abrir facsímil")</f>
        <v>Abrir facsímil</v>
      </c>
      <c r="K897" s="15" t="s">
        <v>22</v>
      </c>
    </row>
    <row r="898" spans="1:11" ht="42" customHeight="1">
      <c r="A898" s="4" t="s">
        <v>2254</v>
      </c>
      <c r="B898" s="5" t="s">
        <v>2255</v>
      </c>
      <c r="C898" s="5" t="s">
        <v>35</v>
      </c>
      <c r="D898" s="5" t="s">
        <v>36</v>
      </c>
      <c r="E898" s="5" t="s">
        <v>1471</v>
      </c>
      <c r="F898" s="9">
        <v>34</v>
      </c>
      <c r="G898" s="9">
        <v>361</v>
      </c>
      <c r="H898" s="5" t="s">
        <v>20</v>
      </c>
      <c r="I898" s="5" t="s">
        <v>2256</v>
      </c>
      <c r="J898" s="12" t="str">
        <f>HYPERLINK("https://www.boe.es/gazeta/dias/1805/04/26/pdfs/GMD-1805-34.pdf#page=5","Abrir facsímil")</f>
        <v>Abrir facsímil</v>
      </c>
      <c r="K898" s="15" t="s">
        <v>22</v>
      </c>
    </row>
    <row r="899" spans="1:11" ht="42" customHeight="1">
      <c r="A899" s="4" t="s">
        <v>2257</v>
      </c>
      <c r="B899" s="5" t="s">
        <v>2257</v>
      </c>
      <c r="C899" s="5" t="s">
        <v>17</v>
      </c>
      <c r="D899" s="5" t="s">
        <v>18</v>
      </c>
      <c r="E899" s="5" t="s">
        <v>273</v>
      </c>
      <c r="F899" s="9">
        <v>8</v>
      </c>
      <c r="G899" s="9">
        <v>88</v>
      </c>
      <c r="H899" s="5" t="s">
        <v>20</v>
      </c>
      <c r="I899" s="5" t="s">
        <v>2258</v>
      </c>
      <c r="J899" s="12" t="str">
        <f>HYPERLINK("https://www.boe.es/gazeta/dias/1805/01/25/pdfs/GMD-1805-8.pdf#page=8","Abrir facsímil")</f>
        <v>Abrir facsímil</v>
      </c>
      <c r="K899" s="15" t="s">
        <v>22</v>
      </c>
    </row>
    <row r="900" spans="1:11" ht="42" customHeight="1">
      <c r="A900" s="4" t="s">
        <v>2259</v>
      </c>
      <c r="B900" s="5" t="s">
        <v>2260</v>
      </c>
      <c r="C900" s="5" t="s">
        <v>35</v>
      </c>
      <c r="D900" s="5" t="s">
        <v>36</v>
      </c>
      <c r="E900" s="5" t="s">
        <v>281</v>
      </c>
      <c r="F900" s="9">
        <v>15</v>
      </c>
      <c r="G900" s="9">
        <v>155</v>
      </c>
      <c r="H900" s="5" t="s">
        <v>20</v>
      </c>
      <c r="I900" s="5" t="s">
        <v>2261</v>
      </c>
      <c r="J900" s="12" t="str">
        <f>HYPERLINK("https://www.boe.es/gazeta/dias/1805/02/19/pdfs/GMD-1805-15.pdf#page=7","Abrir facsímil")</f>
        <v>Abrir facsímil</v>
      </c>
      <c r="K900" s="15" t="s">
        <v>22</v>
      </c>
    </row>
    <row r="901" spans="1:11" ht="42" customHeight="1">
      <c r="A901" s="4" t="s">
        <v>2262</v>
      </c>
      <c r="B901" s="5" t="s">
        <v>2263</v>
      </c>
      <c r="C901" s="5" t="s">
        <v>17</v>
      </c>
      <c r="D901" s="5" t="s">
        <v>18</v>
      </c>
      <c r="E901" s="5" t="s">
        <v>787</v>
      </c>
      <c r="F901" s="9">
        <v>95</v>
      </c>
      <c r="G901" s="9">
        <v>1020</v>
      </c>
      <c r="H901" s="5" t="s">
        <v>20</v>
      </c>
      <c r="I901" s="5" t="s">
        <v>2264</v>
      </c>
      <c r="J901" s="12" t="str">
        <f>HYPERLINK("https://www.boe.es/gazeta/dias/1805/11/26/pdfs/GMD-1805-95.pdf#page=8","Abrir facsímil")</f>
        <v>Abrir facsímil</v>
      </c>
      <c r="K901" s="15" t="s">
        <v>22</v>
      </c>
    </row>
    <row r="902" spans="1:11" ht="42" customHeight="1">
      <c r="A902" s="4" t="s">
        <v>2265</v>
      </c>
      <c r="B902" s="5" t="s">
        <v>2266</v>
      </c>
      <c r="C902" s="5" t="s">
        <v>29</v>
      </c>
      <c r="D902" s="5" t="s">
        <v>30</v>
      </c>
      <c r="E902" s="5" t="s">
        <v>393</v>
      </c>
      <c r="F902" s="9">
        <v>44</v>
      </c>
      <c r="G902" s="9">
        <v>471</v>
      </c>
      <c r="H902" s="5" t="s">
        <v>20</v>
      </c>
      <c r="I902" s="5" t="s">
        <v>2267</v>
      </c>
      <c r="J902" s="12" t="str">
        <f>HYPERLINK("https://www.boe.es/gazeta/dias/1805/05/31/pdfs/GMD-1805-44.pdf#page=7","Abrir facsímil")</f>
        <v>Abrir facsímil</v>
      </c>
      <c r="K902" s="15" t="s">
        <v>22</v>
      </c>
    </row>
    <row r="903" spans="1:11" ht="42" customHeight="1">
      <c r="A903" s="4" t="s">
        <v>2268</v>
      </c>
      <c r="B903" s="5" t="s">
        <v>2269</v>
      </c>
      <c r="C903" s="5" t="s">
        <v>184</v>
      </c>
      <c r="D903" s="5" t="s">
        <v>86</v>
      </c>
      <c r="E903" s="5" t="s">
        <v>886</v>
      </c>
      <c r="F903" s="9">
        <v>93</v>
      </c>
      <c r="G903" s="9">
        <v>996</v>
      </c>
      <c r="H903" s="5" t="s">
        <v>20</v>
      </c>
      <c r="I903" s="5" t="s">
        <v>2270</v>
      </c>
      <c r="J903" s="12" t="str">
        <f>HYPERLINK("https://www.boe.es/gazeta/dias/1805/11/19/pdfs/GMD-1805-93.pdf#page=8","Abrir facsímil")</f>
        <v>Abrir facsímil</v>
      </c>
      <c r="K903" s="15" t="s">
        <v>22</v>
      </c>
    </row>
    <row r="904" spans="1:11" ht="42" customHeight="1">
      <c r="A904" s="4" t="s">
        <v>2271</v>
      </c>
      <c r="B904" s="5" t="s">
        <v>2272</v>
      </c>
      <c r="C904" s="5" t="s">
        <v>80</v>
      </c>
      <c r="D904" s="5" t="s">
        <v>81</v>
      </c>
      <c r="E904" s="5" t="s">
        <v>48</v>
      </c>
      <c r="F904" s="9">
        <v>35</v>
      </c>
      <c r="G904" s="9">
        <v>373</v>
      </c>
      <c r="H904" s="5" t="s">
        <v>20</v>
      </c>
      <c r="I904" s="5" t="s">
        <v>2273</v>
      </c>
      <c r="J904" s="12" t="str">
        <f>HYPERLINK("https://www.boe.es/gazeta/dias/1805/04/30/pdfs/GMD-1805-35.pdf#page=5","Abrir facsímil")</f>
        <v>Abrir facsímil</v>
      </c>
      <c r="K904" s="15" t="s">
        <v>22</v>
      </c>
    </row>
    <row r="905" spans="1:11" ht="42" customHeight="1">
      <c r="A905" s="4" t="s">
        <v>2274</v>
      </c>
      <c r="B905" s="5" t="s">
        <v>2275</v>
      </c>
      <c r="C905" s="5" t="s">
        <v>35</v>
      </c>
      <c r="D905" s="5" t="s">
        <v>36</v>
      </c>
      <c r="E905" s="5" t="s">
        <v>387</v>
      </c>
      <c r="F905" s="9">
        <v>4</v>
      </c>
      <c r="G905" s="9">
        <v>42</v>
      </c>
      <c r="H905" s="5" t="s">
        <v>20</v>
      </c>
      <c r="I905" s="5" t="s">
        <v>2276</v>
      </c>
      <c r="J905" s="12" t="str">
        <f>HYPERLINK("https://www.boe.es/gazeta/dias/1805/01/11/pdfs/GMD-1805-4.pdf#page=10","Abrir facsímil")</f>
        <v>Abrir facsímil</v>
      </c>
      <c r="K905" s="15" t="s">
        <v>22</v>
      </c>
    </row>
    <row r="906" spans="1:11" ht="42" customHeight="1">
      <c r="A906" s="4" t="s">
        <v>2277</v>
      </c>
      <c r="B906" s="5" t="s">
        <v>2278</v>
      </c>
      <c r="C906" s="5" t="s">
        <v>17</v>
      </c>
      <c r="D906" s="5" t="s">
        <v>18</v>
      </c>
      <c r="E906" s="5" t="s">
        <v>63</v>
      </c>
      <c r="F906" s="9">
        <v>101</v>
      </c>
      <c r="G906" s="9">
        <v>1093</v>
      </c>
      <c r="H906" s="5" t="s">
        <v>20</v>
      </c>
      <c r="I906" s="5" t="s">
        <v>2279</v>
      </c>
      <c r="J906" s="12" t="str">
        <f>HYPERLINK("https://www.boe.es/gazeta/dias/1805/12/17/pdfs/GMD-1805-101.pdf#page=9","Abrir facsímil")</f>
        <v>Abrir facsímil</v>
      </c>
      <c r="K906" s="15" t="s">
        <v>22</v>
      </c>
    </row>
    <row r="907" spans="1:11" ht="42" customHeight="1">
      <c r="A907" s="4" t="s">
        <v>2280</v>
      </c>
      <c r="B907" s="5" t="s">
        <v>2281</v>
      </c>
      <c r="C907" s="5" t="s">
        <v>85</v>
      </c>
      <c r="D907" s="5" t="s">
        <v>86</v>
      </c>
      <c r="E907" s="5" t="s">
        <v>132</v>
      </c>
      <c r="F907" s="9">
        <v>2</v>
      </c>
      <c r="G907" s="9">
        <v>16</v>
      </c>
      <c r="H907" s="5" t="s">
        <v>20</v>
      </c>
      <c r="I907" s="5" t="s">
        <v>2282</v>
      </c>
      <c r="J907" s="12" t="str">
        <f>HYPERLINK("https://www.boe.es/gazeta/dias/1805/01/04/pdfs/GMD-1805-2.pdf#page=4","Abrir facsímil")</f>
        <v>Abrir facsímil</v>
      </c>
      <c r="K907" s="15" t="s">
        <v>22</v>
      </c>
    </row>
    <row r="908" spans="1:11" ht="42" customHeight="1">
      <c r="A908" s="4" t="s">
        <v>2283</v>
      </c>
      <c r="B908" s="5" t="s">
        <v>2284</v>
      </c>
      <c r="C908" s="5" t="s">
        <v>35</v>
      </c>
      <c r="D908" s="5" t="s">
        <v>36</v>
      </c>
      <c r="E908" s="5" t="s">
        <v>207</v>
      </c>
      <c r="F908" s="9">
        <v>76</v>
      </c>
      <c r="G908" s="9">
        <v>807</v>
      </c>
      <c r="H908" s="5" t="s">
        <v>20</v>
      </c>
      <c r="I908" s="5" t="s">
        <v>2285</v>
      </c>
      <c r="J908" s="12" t="str">
        <f>HYPERLINK("https://www.boe.es/gazeta/dias/1805/09/20/pdfs/GMD-1805-76.pdf#page=7","Abrir facsímil")</f>
        <v>Abrir facsímil</v>
      </c>
      <c r="K908" s="15" t="s">
        <v>22</v>
      </c>
    </row>
    <row r="909" spans="1:11" ht="42" customHeight="1">
      <c r="A909" s="4" t="s">
        <v>2286</v>
      </c>
      <c r="B909" s="5" t="s">
        <v>2287</v>
      </c>
      <c r="C909" s="5" t="s">
        <v>35</v>
      </c>
      <c r="D909" s="5" t="s">
        <v>36</v>
      </c>
      <c r="E909" s="5" t="s">
        <v>327</v>
      </c>
      <c r="F909" s="9">
        <v>10</v>
      </c>
      <c r="G909" s="9">
        <v>109</v>
      </c>
      <c r="H909" s="5" t="s">
        <v>20</v>
      </c>
      <c r="I909" s="5" t="s">
        <v>2288</v>
      </c>
      <c r="J909" s="12" t="str">
        <f>HYPERLINK("https://www.boe.es/gazeta/dias/1805/02/01/pdfs/GMD-1805-10.pdf#page=5","Abrir facsímil")</f>
        <v>Abrir facsímil</v>
      </c>
      <c r="K909" s="15" t="s">
        <v>22</v>
      </c>
    </row>
    <row r="910" spans="1:11" ht="42" customHeight="1">
      <c r="A910" s="4" t="s">
        <v>2289</v>
      </c>
      <c r="B910" s="5" t="s">
        <v>2290</v>
      </c>
      <c r="C910" s="5" t="s">
        <v>80</v>
      </c>
      <c r="D910" s="5" t="s">
        <v>81</v>
      </c>
      <c r="E910" s="5" t="s">
        <v>27</v>
      </c>
      <c r="F910" s="9">
        <v>37</v>
      </c>
      <c r="G910" s="9">
        <v>399</v>
      </c>
      <c r="H910" s="5" t="s">
        <v>20</v>
      </c>
      <c r="I910" s="5" t="s">
        <v>2291</v>
      </c>
      <c r="J910" s="12" t="str">
        <f>HYPERLINK("https://www.boe.es/gazeta/dias/1805/05/07/pdfs/GMD-1805-37.pdf#page=7","Abrir facsímil")</f>
        <v>Abrir facsímil</v>
      </c>
      <c r="K910" s="15" t="s">
        <v>22</v>
      </c>
    </row>
    <row r="911" spans="1:11" ht="42" customHeight="1">
      <c r="A911" s="4" t="s">
        <v>2292</v>
      </c>
      <c r="B911" s="5" t="s">
        <v>2293</v>
      </c>
      <c r="C911" s="5" t="s">
        <v>35</v>
      </c>
      <c r="D911" s="5" t="s">
        <v>36</v>
      </c>
      <c r="E911" s="5" t="s">
        <v>196</v>
      </c>
      <c r="F911" s="9">
        <v>67</v>
      </c>
      <c r="G911" s="9">
        <v>717</v>
      </c>
      <c r="H911" s="5" t="s">
        <v>20</v>
      </c>
      <c r="I911" s="5" t="s">
        <v>2294</v>
      </c>
      <c r="J911" s="12" t="str">
        <f>HYPERLINK("https://www.boe.es/gazeta/dias/1805/08/20/pdfs/GMD-1805-67.pdf#page=5","Abrir facsímil")</f>
        <v>Abrir facsímil</v>
      </c>
      <c r="K911" s="15" t="s">
        <v>22</v>
      </c>
    </row>
    <row r="912" spans="1:11" ht="42" customHeight="1">
      <c r="A912" s="4" t="s">
        <v>2295</v>
      </c>
      <c r="B912" s="5" t="s">
        <v>2296</v>
      </c>
      <c r="C912" s="5" t="s">
        <v>35</v>
      </c>
      <c r="D912" s="5" t="s">
        <v>36</v>
      </c>
      <c r="E912" s="5" t="s">
        <v>91</v>
      </c>
      <c r="F912" s="9">
        <v>28</v>
      </c>
      <c r="G912" s="9">
        <v>300</v>
      </c>
      <c r="H912" s="5" t="s">
        <v>20</v>
      </c>
      <c r="I912" s="5" t="s">
        <v>2297</v>
      </c>
      <c r="J912" s="12" t="str">
        <f>HYPERLINK("https://www.boe.es/gazeta/dias/1805/04/05/pdfs/GMD-1805-28.pdf#page=8","Abrir facsímil")</f>
        <v>Abrir facsímil</v>
      </c>
      <c r="K912" s="15" t="s">
        <v>22</v>
      </c>
    </row>
    <row r="913" spans="1:11" ht="42" customHeight="1">
      <c r="A913" s="4" t="s">
        <v>2298</v>
      </c>
      <c r="B913" s="5" t="s">
        <v>2299</v>
      </c>
      <c r="C913" s="5" t="s">
        <v>52</v>
      </c>
      <c r="D913" s="5" t="s">
        <v>53</v>
      </c>
      <c r="E913" s="5" t="s">
        <v>82</v>
      </c>
      <c r="F913" s="9">
        <v>25</v>
      </c>
      <c r="G913" s="9" t="s">
        <v>145</v>
      </c>
      <c r="H913" s="5" t="s">
        <v>20</v>
      </c>
      <c r="I913" s="5" t="s">
        <v>2300</v>
      </c>
      <c r="J913" s="12" t="str">
        <f>HYPERLINK("https://www.boe.es/gazeta/dias/1805/03/26/pdfs/GMD-C-1805-25.pdf#page=2","Abrir facsímil")</f>
        <v>Abrir facsímil</v>
      </c>
      <c r="K913" s="15" t="s">
        <v>22</v>
      </c>
    </row>
    <row r="914" spans="1:11" ht="42" customHeight="1">
      <c r="A914" s="4" t="s">
        <v>2301</v>
      </c>
      <c r="B914" s="5" t="s">
        <v>2302</v>
      </c>
      <c r="C914" s="5" t="s">
        <v>29</v>
      </c>
      <c r="D914" s="5" t="s">
        <v>30</v>
      </c>
      <c r="E914" s="5" t="s">
        <v>495</v>
      </c>
      <c r="F914" s="9">
        <v>103</v>
      </c>
      <c r="G914" s="9">
        <v>1116</v>
      </c>
      <c r="H914" s="5" t="s">
        <v>20</v>
      </c>
      <c r="I914" s="5" t="s">
        <v>2303</v>
      </c>
      <c r="J914" s="12" t="str">
        <f>HYPERLINK("https://www.boe.es/gazeta/dias/1805/12/24/pdfs/GMD-1805-103.pdf#page=8","Abrir facsímil")</f>
        <v>Abrir facsímil</v>
      </c>
      <c r="K914" s="15" t="s">
        <v>22</v>
      </c>
    </row>
    <row r="915" spans="1:11" ht="42" customHeight="1">
      <c r="A915" s="4" t="s">
        <v>2304</v>
      </c>
      <c r="B915" s="5" t="s">
        <v>2305</v>
      </c>
      <c r="C915" s="5" t="s">
        <v>35</v>
      </c>
      <c r="D915" s="5" t="s">
        <v>36</v>
      </c>
      <c r="E915" s="5" t="s">
        <v>24</v>
      </c>
      <c r="F915" s="9">
        <v>11</v>
      </c>
      <c r="G915" s="9">
        <v>120</v>
      </c>
      <c r="H915" s="5" t="s">
        <v>20</v>
      </c>
      <c r="I915" s="5" t="s">
        <v>2306</v>
      </c>
      <c r="J915" s="12" t="str">
        <f>HYPERLINK("https://www.boe.es/gazeta/dias/1805/02/05/pdfs/GMD-1805-11.pdf#page=8","Abrir facsímil")</f>
        <v>Abrir facsímil</v>
      </c>
      <c r="K915" s="15" t="s">
        <v>22</v>
      </c>
    </row>
    <row r="916" spans="1:11" ht="42" customHeight="1">
      <c r="A916" s="4" t="s">
        <v>2307</v>
      </c>
      <c r="B916" s="5" t="s">
        <v>2308</v>
      </c>
      <c r="C916" s="5" t="s">
        <v>35</v>
      </c>
      <c r="D916" s="5" t="s">
        <v>36</v>
      </c>
      <c r="E916" s="5" t="s">
        <v>141</v>
      </c>
      <c r="F916" s="9">
        <v>82</v>
      </c>
      <c r="G916" s="9">
        <v>870</v>
      </c>
      <c r="H916" s="5" t="s">
        <v>20</v>
      </c>
      <c r="I916" s="5" t="s">
        <v>2309</v>
      </c>
      <c r="J916" s="12" t="str">
        <f>HYPERLINK("https://www.boe.es/gazeta/dias/1805/10/11/pdfs/GMD-1805-82.pdf#page=10","Abrir facsímil")</f>
        <v>Abrir facsímil</v>
      </c>
      <c r="K916" s="15" t="s">
        <v>22</v>
      </c>
    </row>
    <row r="917" spans="1:11" ht="42" customHeight="1">
      <c r="A917" s="4" t="s">
        <v>2310</v>
      </c>
      <c r="B917" s="5" t="s">
        <v>2310</v>
      </c>
      <c r="C917" s="5" t="s">
        <v>35</v>
      </c>
      <c r="D917" s="5" t="s">
        <v>36</v>
      </c>
      <c r="E917" s="5" t="s">
        <v>44</v>
      </c>
      <c r="F917" s="9">
        <v>29</v>
      </c>
      <c r="G917" s="9">
        <v>313</v>
      </c>
      <c r="H917" s="5" t="s">
        <v>20</v>
      </c>
      <c r="I917" s="5" t="s">
        <v>2311</v>
      </c>
      <c r="J917" s="12" t="str">
        <f>HYPERLINK("https://www.boe.es/gazeta/dias/1805/04/09/pdfs/GMD-1805-29.pdf#page=9","Abrir facsímil")</f>
        <v>Abrir facsímil</v>
      </c>
      <c r="K917" s="15" t="s">
        <v>22</v>
      </c>
    </row>
    <row r="918" spans="1:11" ht="42" customHeight="1">
      <c r="A918" s="4" t="s">
        <v>2312</v>
      </c>
      <c r="B918" s="5" t="s">
        <v>2312</v>
      </c>
      <c r="C918" s="5" t="s">
        <v>35</v>
      </c>
      <c r="D918" s="5" t="s">
        <v>36</v>
      </c>
      <c r="E918" s="5" t="s">
        <v>19</v>
      </c>
      <c r="F918" s="9">
        <v>86</v>
      </c>
      <c r="G918" s="9">
        <v>914</v>
      </c>
      <c r="H918" s="5" t="s">
        <v>20</v>
      </c>
      <c r="I918" s="5" t="s">
        <v>2313</v>
      </c>
      <c r="J918" s="12" t="str">
        <f>HYPERLINK("https://www.boe.es/gazeta/dias/1805/10/25/pdfs/GMD-1805-86.pdf#page=10","Abrir facsímil")</f>
        <v>Abrir facsímil</v>
      </c>
      <c r="K918" s="15" t="s">
        <v>22</v>
      </c>
    </row>
    <row r="919" spans="1:11" ht="42" customHeight="1">
      <c r="A919" s="4" t="s">
        <v>2314</v>
      </c>
      <c r="B919" s="5" t="s">
        <v>2314</v>
      </c>
      <c r="C919" s="5" t="s">
        <v>35</v>
      </c>
      <c r="D919" s="5" t="s">
        <v>36</v>
      </c>
      <c r="E919" s="5" t="s">
        <v>181</v>
      </c>
      <c r="F919" s="9">
        <v>90</v>
      </c>
      <c r="G919" s="9">
        <v>965</v>
      </c>
      <c r="H919" s="5" t="s">
        <v>20</v>
      </c>
      <c r="I919" s="5" t="s">
        <v>2315</v>
      </c>
      <c r="J919" s="12" t="str">
        <f>HYPERLINK("https://www.boe.es/gazeta/dias/1805/11/08/pdfs/GMD-1805-90.pdf#page=9","Abrir facsímil")</f>
        <v>Abrir facsímil</v>
      </c>
      <c r="K919" s="15" t="s">
        <v>22</v>
      </c>
    </row>
    <row r="920" spans="1:11" ht="42" customHeight="1">
      <c r="A920" s="4" t="s">
        <v>2316</v>
      </c>
      <c r="B920" s="5" t="s">
        <v>2317</v>
      </c>
      <c r="C920" s="5" t="s">
        <v>80</v>
      </c>
      <c r="D920" s="5" t="s">
        <v>81</v>
      </c>
      <c r="E920" s="5" t="s">
        <v>649</v>
      </c>
      <c r="F920" s="9">
        <v>7</v>
      </c>
      <c r="G920" s="9">
        <v>70</v>
      </c>
      <c r="H920" s="5" t="s">
        <v>20</v>
      </c>
      <c r="I920" s="5" t="s">
        <v>2318</v>
      </c>
      <c r="J920" s="12" t="str">
        <f>HYPERLINK("https://www.boe.es/gazeta/dias/1805/01/22/pdfs/GMD-1805-7.pdf#page=2","Abrir facsímil")</f>
        <v>Abrir facsímil</v>
      </c>
      <c r="K920" s="15" t="s">
        <v>22</v>
      </c>
    </row>
    <row r="921" spans="1:11" ht="42" customHeight="1">
      <c r="A921" s="4" t="s">
        <v>2319</v>
      </c>
      <c r="B921" s="5" t="s">
        <v>2319</v>
      </c>
      <c r="C921" s="5" t="s">
        <v>35</v>
      </c>
      <c r="D921" s="5" t="s">
        <v>36</v>
      </c>
      <c r="E921" s="5" t="s">
        <v>904</v>
      </c>
      <c r="F921" s="9">
        <v>47</v>
      </c>
      <c r="G921" s="9">
        <v>505</v>
      </c>
      <c r="H921" s="5" t="s">
        <v>20</v>
      </c>
      <c r="I921" s="5" t="s">
        <v>2320</v>
      </c>
      <c r="J921" s="12" t="str">
        <f>HYPERLINK("https://www.boe.es/gazeta/dias/1805/06/11/pdfs/GMD-1805-47.pdf#page=5","Abrir facsímil")</f>
        <v>Abrir facsímil</v>
      </c>
      <c r="K921" s="15" t="s">
        <v>22</v>
      </c>
    </row>
    <row r="922" spans="1:11" ht="42" customHeight="1">
      <c r="A922" s="4" t="s">
        <v>2321</v>
      </c>
      <c r="B922" s="5" t="s">
        <v>2322</v>
      </c>
      <c r="C922" s="5" t="s">
        <v>35</v>
      </c>
      <c r="D922" s="5" t="s">
        <v>36</v>
      </c>
      <c r="E922" s="5" t="s">
        <v>132</v>
      </c>
      <c r="F922" s="9">
        <v>2</v>
      </c>
      <c r="G922" s="9">
        <v>15</v>
      </c>
      <c r="H922" s="5" t="s">
        <v>20</v>
      </c>
      <c r="I922" s="5" t="s">
        <v>2323</v>
      </c>
      <c r="J922" s="12" t="str">
        <f>HYPERLINK("https://www.boe.es/gazeta/dias/1805/01/04/pdfs/GMD-1805-2.pdf#page=3","Abrir facsímil")</f>
        <v>Abrir facsímil</v>
      </c>
      <c r="K922" s="15" t="s">
        <v>22</v>
      </c>
    </row>
    <row r="923" spans="1:11" ht="42" customHeight="1">
      <c r="A923" s="4" t="s">
        <v>2321</v>
      </c>
      <c r="B923" s="5" t="s">
        <v>2322</v>
      </c>
      <c r="C923" s="5" t="s">
        <v>80</v>
      </c>
      <c r="D923" s="5" t="s">
        <v>81</v>
      </c>
      <c r="E923" s="5" t="s">
        <v>27</v>
      </c>
      <c r="F923" s="9">
        <v>37</v>
      </c>
      <c r="G923" s="9">
        <v>397</v>
      </c>
      <c r="H923" s="5" t="s">
        <v>20</v>
      </c>
      <c r="I923" s="5" t="s">
        <v>2324</v>
      </c>
      <c r="J923" s="12" t="str">
        <f>HYPERLINK("https://www.boe.es/gazeta/dias/1805/05/07/pdfs/GMD-1805-37.pdf#page=5","Abrir facsímil")</f>
        <v>Abrir facsímil</v>
      </c>
      <c r="K923" s="15" t="s">
        <v>22</v>
      </c>
    </row>
    <row r="924" spans="1:11" ht="42" customHeight="1">
      <c r="A924" s="4" t="s">
        <v>2321</v>
      </c>
      <c r="B924" s="5" t="s">
        <v>2322</v>
      </c>
      <c r="C924" s="5" t="s">
        <v>35</v>
      </c>
      <c r="D924" s="5" t="s">
        <v>36</v>
      </c>
      <c r="E924" s="5" t="s">
        <v>135</v>
      </c>
      <c r="F924" s="9">
        <v>71</v>
      </c>
      <c r="G924" s="9">
        <v>750</v>
      </c>
      <c r="H924" s="5" t="s">
        <v>20</v>
      </c>
      <c r="I924" s="5" t="s">
        <v>2325</v>
      </c>
      <c r="J924" s="12" t="str">
        <f>HYPERLINK("https://www.boe.es/gazeta/dias/1805/09/03/pdfs/GMD-1805-71.pdf#page=2","Abrir facsímil")</f>
        <v>Abrir facsímil</v>
      </c>
      <c r="K924" s="15" t="s">
        <v>22</v>
      </c>
    </row>
    <row r="925" spans="1:11" ht="42" customHeight="1">
      <c r="A925" s="4" t="s">
        <v>2326</v>
      </c>
      <c r="B925" s="5" t="s">
        <v>2327</v>
      </c>
      <c r="C925" s="5" t="s">
        <v>35</v>
      </c>
      <c r="D925" s="5" t="s">
        <v>36</v>
      </c>
      <c r="E925" s="5" t="s">
        <v>352</v>
      </c>
      <c r="F925" s="9">
        <v>60</v>
      </c>
      <c r="G925" s="9">
        <v>646</v>
      </c>
      <c r="H925" s="5" t="s">
        <v>20</v>
      </c>
      <c r="I925" s="5" t="s">
        <v>2328</v>
      </c>
      <c r="J925" s="12" t="str">
        <f>HYPERLINK("https://www.boe.es/gazeta/dias/1805/07/26/pdfs/GMD-1805-60.pdf#page=10","Abrir facsímil")</f>
        <v>Abrir facsímil</v>
      </c>
      <c r="K925" s="15" t="s">
        <v>22</v>
      </c>
    </row>
    <row r="926" spans="1:11" ht="42" customHeight="1">
      <c r="A926" s="4" t="s">
        <v>2329</v>
      </c>
      <c r="B926" s="5" t="s">
        <v>2330</v>
      </c>
      <c r="C926" s="5" t="s">
        <v>29</v>
      </c>
      <c r="D926" s="5" t="s">
        <v>30</v>
      </c>
      <c r="E926" s="5" t="s">
        <v>200</v>
      </c>
      <c r="F926" s="9">
        <v>91</v>
      </c>
      <c r="G926" s="9">
        <v>978</v>
      </c>
      <c r="H926" s="5" t="s">
        <v>20</v>
      </c>
      <c r="I926" s="5" t="s">
        <v>2331</v>
      </c>
      <c r="J926" s="12" t="str">
        <f>HYPERLINK("https://www.boe.es/gazeta/dias/1805/11/12/pdfs/GMD-1805-91.pdf#page=10","Abrir facsímil")</f>
        <v>Abrir facsímil</v>
      </c>
      <c r="K926" s="15" t="s">
        <v>22</v>
      </c>
    </row>
    <row r="927" spans="1:11" ht="42" customHeight="1">
      <c r="A927" s="4" t="s">
        <v>2332</v>
      </c>
      <c r="B927" s="5" t="s">
        <v>2333</v>
      </c>
      <c r="C927" s="5" t="s">
        <v>85</v>
      </c>
      <c r="D927" s="5" t="s">
        <v>86</v>
      </c>
      <c r="E927" s="5" t="s">
        <v>552</v>
      </c>
      <c r="F927" s="9">
        <v>94</v>
      </c>
      <c r="G927" s="9">
        <v>1008</v>
      </c>
      <c r="H927" s="5" t="s">
        <v>20</v>
      </c>
      <c r="I927" s="5" t="s">
        <v>2334</v>
      </c>
      <c r="J927" s="12" t="str">
        <f>HYPERLINK("https://www.boe.es/gazeta/dias/1805/11/22/pdfs/GMD-1805-94.pdf#page=8","Abrir facsímil")</f>
        <v>Abrir facsímil</v>
      </c>
      <c r="K927" s="15" t="s">
        <v>22</v>
      </c>
    </row>
    <row r="928" spans="1:11" ht="42" customHeight="1">
      <c r="A928" s="4" t="s">
        <v>2335</v>
      </c>
      <c r="B928" s="5" t="s">
        <v>2335</v>
      </c>
      <c r="C928" s="5" t="s">
        <v>17</v>
      </c>
      <c r="D928" s="5" t="s">
        <v>18</v>
      </c>
      <c r="E928" s="5" t="s">
        <v>117</v>
      </c>
      <c r="F928" s="9">
        <v>20</v>
      </c>
      <c r="G928" s="9">
        <v>205</v>
      </c>
      <c r="H928" s="5" t="s">
        <v>20</v>
      </c>
      <c r="I928" s="5" t="s">
        <v>2336</v>
      </c>
      <c r="J928" s="12" t="str">
        <f>HYPERLINK("https://www.boe.es/gazeta/dias/1805/03/08/pdfs/GMD-1805-20.pdf#page=5","Abrir facsímil")</f>
        <v>Abrir facsímil</v>
      </c>
      <c r="K928" s="15" t="s">
        <v>22</v>
      </c>
    </row>
    <row r="929" spans="1:11" ht="42" customHeight="1">
      <c r="A929" s="4" t="s">
        <v>2337</v>
      </c>
      <c r="B929" s="5" t="s">
        <v>2338</v>
      </c>
      <c r="C929" s="5" t="s">
        <v>35</v>
      </c>
      <c r="D929" s="5" t="s">
        <v>36</v>
      </c>
      <c r="E929" s="5" t="s">
        <v>286</v>
      </c>
      <c r="F929" s="9">
        <v>48</v>
      </c>
      <c r="G929" s="9">
        <v>521</v>
      </c>
      <c r="H929" s="5" t="s">
        <v>20</v>
      </c>
      <c r="I929" s="5" t="s">
        <v>2339</v>
      </c>
      <c r="J929" s="12" t="str">
        <f>HYPERLINK("https://www.boe.es/gazeta/dias/1805/06/14/pdfs/GMD-1805-48.pdf#page=9","Abrir facsímil")</f>
        <v>Abrir facsímil</v>
      </c>
      <c r="K929" s="15" t="s">
        <v>22</v>
      </c>
    </row>
    <row r="930" spans="1:11" ht="42" customHeight="1">
      <c r="A930" s="4" t="s">
        <v>2340</v>
      </c>
      <c r="B930" s="5" t="s">
        <v>2341</v>
      </c>
      <c r="C930" s="5" t="s">
        <v>85</v>
      </c>
      <c r="D930" s="5" t="s">
        <v>86</v>
      </c>
      <c r="E930" s="5" t="s">
        <v>356</v>
      </c>
      <c r="F930" s="9">
        <v>12</v>
      </c>
      <c r="G930" s="9">
        <v>131</v>
      </c>
      <c r="H930" s="5" t="s">
        <v>20</v>
      </c>
      <c r="I930" s="5" t="s">
        <v>2342</v>
      </c>
      <c r="J930" s="12" t="str">
        <f>HYPERLINK("https://www.boe.es/gazeta/dias/1805/02/08/pdfs/GMD-1805-12.pdf#page=7","Abrir facsímil")</f>
        <v>Abrir facsímil</v>
      </c>
      <c r="K930" s="15" t="s">
        <v>22</v>
      </c>
    </row>
    <row r="931" spans="1:11" ht="42" customHeight="1">
      <c r="A931" s="4" t="s">
        <v>2343</v>
      </c>
      <c r="B931" s="5" t="s">
        <v>2344</v>
      </c>
      <c r="C931" s="5" t="s">
        <v>85</v>
      </c>
      <c r="D931" s="5" t="s">
        <v>86</v>
      </c>
      <c r="E931" s="5" t="s">
        <v>1432</v>
      </c>
      <c r="F931" s="9">
        <v>53</v>
      </c>
      <c r="G931" s="9">
        <v>569</v>
      </c>
      <c r="H931" s="5" t="s">
        <v>20</v>
      </c>
      <c r="I931" s="5" t="s">
        <v>2345</v>
      </c>
      <c r="J931" s="12" t="str">
        <f>HYPERLINK("https://www.boe.es/gazeta/dias/1805/07/02/pdfs/GMD-1805-53.pdf#page=5","Abrir facsímil")</f>
        <v>Abrir facsímil</v>
      </c>
      <c r="K931" s="15" t="s">
        <v>22</v>
      </c>
    </row>
    <row r="932" spans="1:11" ht="42" customHeight="1">
      <c r="A932" s="4" t="s">
        <v>2346</v>
      </c>
      <c r="B932" s="5" t="s">
        <v>2346</v>
      </c>
      <c r="C932" s="5" t="s">
        <v>35</v>
      </c>
      <c r="D932" s="5" t="s">
        <v>36</v>
      </c>
      <c r="E932" s="5" t="s">
        <v>327</v>
      </c>
      <c r="F932" s="9">
        <v>10</v>
      </c>
      <c r="G932" s="9">
        <v>109</v>
      </c>
      <c r="H932" s="5" t="s">
        <v>20</v>
      </c>
      <c r="I932" s="5" t="s">
        <v>2347</v>
      </c>
      <c r="J932" s="12" t="str">
        <f>HYPERLINK("https://www.boe.es/gazeta/dias/1805/02/01/pdfs/GMD-1805-10.pdf#page=5","Abrir facsímil")</f>
        <v>Abrir facsímil</v>
      </c>
      <c r="K932" s="15" t="s">
        <v>22</v>
      </c>
    </row>
    <row r="933" spans="1:11" ht="42" customHeight="1">
      <c r="A933" s="4" t="s">
        <v>2348</v>
      </c>
      <c r="B933" s="5" t="s">
        <v>2348</v>
      </c>
      <c r="C933" s="5" t="s">
        <v>35</v>
      </c>
      <c r="D933" s="5" t="s">
        <v>36</v>
      </c>
      <c r="E933" s="5" t="s">
        <v>426</v>
      </c>
      <c r="F933" s="9">
        <v>75</v>
      </c>
      <c r="G933" s="9">
        <v>798</v>
      </c>
      <c r="H933" s="5" t="s">
        <v>20</v>
      </c>
      <c r="I933" s="5" t="s">
        <v>2349</v>
      </c>
      <c r="J933" s="12" t="str">
        <f>HYPERLINK("https://www.boe.es/gazeta/dias/1805/09/17/pdfs/GMD-1805-75.pdf#page=10","Abrir facsímil")</f>
        <v>Abrir facsímil</v>
      </c>
      <c r="K933" s="15" t="s">
        <v>22</v>
      </c>
    </row>
    <row r="934" spans="1:11" ht="42" customHeight="1">
      <c r="A934" s="4" t="s">
        <v>2350</v>
      </c>
      <c r="B934" s="5" t="s">
        <v>2350</v>
      </c>
      <c r="C934" s="5" t="s">
        <v>35</v>
      </c>
      <c r="D934" s="5" t="s">
        <v>36</v>
      </c>
      <c r="E934" s="5" t="s">
        <v>217</v>
      </c>
      <c r="F934" s="9">
        <v>96</v>
      </c>
      <c r="G934" s="9">
        <v>1029</v>
      </c>
      <c r="H934" s="5" t="s">
        <v>20</v>
      </c>
      <c r="I934" s="5" t="s">
        <v>2351</v>
      </c>
      <c r="J934" s="12" t="str">
        <f>HYPERLINK("https://www.boe.es/gazeta/dias/1805/11/29/pdfs/GMD-1805-96.pdf#page=5","Abrir facsímil")</f>
        <v>Abrir facsímil</v>
      </c>
      <c r="K934" s="15" t="s">
        <v>22</v>
      </c>
    </row>
    <row r="935" spans="1:11" ht="42" customHeight="1">
      <c r="A935" s="4" t="s">
        <v>2352</v>
      </c>
      <c r="B935" s="5" t="s">
        <v>2353</v>
      </c>
      <c r="C935" s="5" t="s">
        <v>35</v>
      </c>
      <c r="D935" s="5" t="s">
        <v>36</v>
      </c>
      <c r="E935" s="5" t="s">
        <v>539</v>
      </c>
      <c r="F935" s="9">
        <v>97</v>
      </c>
      <c r="G935" s="9">
        <v>1044</v>
      </c>
      <c r="H935" s="5" t="s">
        <v>20</v>
      </c>
      <c r="I935" s="5" t="s">
        <v>2354</v>
      </c>
      <c r="J935" s="12" t="str">
        <f>HYPERLINK("https://www.boe.es/gazeta/dias/1805/12/03/pdfs/GMD-1805-97.pdf#page=8","Abrir facsímil")</f>
        <v>Abrir facsímil</v>
      </c>
      <c r="K935" s="15" t="s">
        <v>22</v>
      </c>
    </row>
    <row r="936" spans="1:11" ht="42" customHeight="1">
      <c r="A936" s="4" t="s">
        <v>2355</v>
      </c>
      <c r="B936" s="5" t="s">
        <v>2356</v>
      </c>
      <c r="C936" s="5" t="s">
        <v>17</v>
      </c>
      <c r="D936" s="5" t="s">
        <v>18</v>
      </c>
      <c r="E936" s="5" t="s">
        <v>729</v>
      </c>
      <c r="F936" s="9">
        <v>61</v>
      </c>
      <c r="G936" s="9">
        <v>656</v>
      </c>
      <c r="H936" s="5" t="s">
        <v>20</v>
      </c>
      <c r="I936" s="5" t="s">
        <v>2357</v>
      </c>
      <c r="J936" s="12" t="str">
        <f>HYPERLINK("https://www.boe.es/gazeta/dias/1805/07/30/pdfs/GMD-1805-61.pdf#page=8","Abrir facsímil")</f>
        <v>Abrir facsímil</v>
      </c>
      <c r="K936" s="15" t="s">
        <v>22</v>
      </c>
    </row>
    <row r="937" spans="1:11" ht="42" customHeight="1">
      <c r="A937" s="4" t="s">
        <v>2358</v>
      </c>
      <c r="B937" s="5" t="s">
        <v>2359</v>
      </c>
      <c r="C937" s="5" t="s">
        <v>264</v>
      </c>
      <c r="D937" s="5" t="s">
        <v>265</v>
      </c>
      <c r="E937" s="5" t="s">
        <v>261</v>
      </c>
      <c r="F937" s="9">
        <v>18</v>
      </c>
      <c r="G937" s="9" t="s">
        <v>55</v>
      </c>
      <c r="H937" s="5" t="s">
        <v>20</v>
      </c>
      <c r="I937" s="5" t="s">
        <v>2360</v>
      </c>
      <c r="J937" s="12" t="str">
        <f>HYPERLINK("https://www.boe.es/gazeta/dias/1805/03/01/pdfs/GMD-C-1805-18.pdf#page=4","Abrir facsímil")</f>
        <v>Abrir facsímil</v>
      </c>
      <c r="K937" s="15" t="s">
        <v>22</v>
      </c>
    </row>
    <row r="938" spans="1:11" ht="42" customHeight="1">
      <c r="A938" s="4" t="s">
        <v>2358</v>
      </c>
      <c r="B938" s="5" t="s">
        <v>2359</v>
      </c>
      <c r="C938" s="5" t="s">
        <v>35</v>
      </c>
      <c r="D938" s="5" t="s">
        <v>36</v>
      </c>
      <c r="E938" s="5" t="s">
        <v>296</v>
      </c>
      <c r="F938" s="9">
        <v>26</v>
      </c>
      <c r="G938" s="9">
        <v>280</v>
      </c>
      <c r="H938" s="5" t="s">
        <v>20</v>
      </c>
      <c r="I938" s="5" t="s">
        <v>2361</v>
      </c>
      <c r="J938" s="12" t="str">
        <f>HYPERLINK("https://www.boe.es/gazeta/dias/1805/03/29/pdfs/GMD-1805-26.pdf#page=12","Abrir facsímil")</f>
        <v>Abrir facsímil</v>
      </c>
      <c r="K938" s="15" t="s">
        <v>22</v>
      </c>
    </row>
    <row r="939" spans="1:11" ht="42" customHeight="1">
      <c r="A939" s="4" t="s">
        <v>2358</v>
      </c>
      <c r="B939" s="5" t="s">
        <v>2359</v>
      </c>
      <c r="C939" s="5" t="s">
        <v>17</v>
      </c>
      <c r="D939" s="5" t="s">
        <v>18</v>
      </c>
      <c r="E939" s="5" t="s">
        <v>144</v>
      </c>
      <c r="F939" s="9">
        <v>85</v>
      </c>
      <c r="G939" s="9">
        <v>904</v>
      </c>
      <c r="H939" s="5" t="s">
        <v>20</v>
      </c>
      <c r="I939" s="5" t="s">
        <v>2362</v>
      </c>
      <c r="J939" s="12" t="str">
        <f>HYPERLINK("https://www.boe.es/gazeta/dias/1805/10/22/pdfs/GMD-1805-85.pdf#page=12","Abrir facsímil")</f>
        <v>Abrir facsímil</v>
      </c>
      <c r="K939" s="15" t="s">
        <v>22</v>
      </c>
    </row>
    <row r="940" spans="1:11" ht="42" customHeight="1">
      <c r="A940" s="4" t="s">
        <v>2363</v>
      </c>
      <c r="B940" s="5" t="s">
        <v>2364</v>
      </c>
      <c r="C940" s="5" t="s">
        <v>52</v>
      </c>
      <c r="D940" s="5" t="s">
        <v>53</v>
      </c>
      <c r="E940" s="5" t="s">
        <v>82</v>
      </c>
      <c r="F940" s="9">
        <v>25</v>
      </c>
      <c r="G940" s="9" t="s">
        <v>222</v>
      </c>
      <c r="H940" s="5" t="s">
        <v>20</v>
      </c>
      <c r="I940" s="5" t="s">
        <v>2365</v>
      </c>
      <c r="J940" s="12" t="str">
        <f>HYPERLINK("https://www.boe.es/gazeta/dias/1805/03/26/pdfs/GMD-C-1805-25.pdf#page=1","Abrir facsímil")</f>
        <v>Abrir facsímil</v>
      </c>
      <c r="K940" s="15" t="s">
        <v>22</v>
      </c>
    </row>
    <row r="941" spans="1:11" ht="42" customHeight="1">
      <c r="A941" s="4" t="s">
        <v>2366</v>
      </c>
      <c r="B941" s="5" t="s">
        <v>2367</v>
      </c>
      <c r="C941" s="5" t="s">
        <v>35</v>
      </c>
      <c r="D941" s="5" t="s">
        <v>36</v>
      </c>
      <c r="E941" s="5" t="s">
        <v>63</v>
      </c>
      <c r="F941" s="9">
        <v>101</v>
      </c>
      <c r="G941" s="9">
        <v>1090</v>
      </c>
      <c r="H941" s="5" t="s">
        <v>20</v>
      </c>
      <c r="I941" s="5" t="s">
        <v>2368</v>
      </c>
      <c r="J941" s="12" t="str">
        <f>HYPERLINK("https://www.boe.es/gazeta/dias/1805/12/17/pdfs/GMD-1805-101.pdf#page=6","Abrir facsímil")</f>
        <v>Abrir facsímil</v>
      </c>
      <c r="K941" s="15" t="s">
        <v>22</v>
      </c>
    </row>
    <row r="942" spans="1:11" ht="42" customHeight="1">
      <c r="A942" s="4" t="s">
        <v>2369</v>
      </c>
      <c r="B942" s="5" t="s">
        <v>2370</v>
      </c>
      <c r="C942" s="5" t="s">
        <v>80</v>
      </c>
      <c r="D942" s="5" t="s">
        <v>81</v>
      </c>
      <c r="E942" s="5" t="s">
        <v>209</v>
      </c>
      <c r="F942" s="9">
        <v>89</v>
      </c>
      <c r="G942" s="9">
        <v>943</v>
      </c>
      <c r="H942" s="5" t="s">
        <v>20</v>
      </c>
      <c r="I942" s="5" t="s">
        <v>2371</v>
      </c>
      <c r="J942" s="12" t="str">
        <f>HYPERLINK("https://www.boe.es/gazeta/dias/1805/11/05/pdfs/GMD-1805-89.pdf#page=3","Abrir facsímil")</f>
        <v>Abrir facsímil</v>
      </c>
      <c r="K942" s="15" t="s">
        <v>22</v>
      </c>
    </row>
    <row r="943" spans="1:11" ht="42" customHeight="1">
      <c r="A943" s="4" t="s">
        <v>2372</v>
      </c>
      <c r="B943" s="5" t="s">
        <v>2373</v>
      </c>
      <c r="C943" s="5" t="s">
        <v>80</v>
      </c>
      <c r="D943" s="5" t="s">
        <v>81</v>
      </c>
      <c r="E943" s="5" t="s">
        <v>1221</v>
      </c>
      <c r="F943" s="9">
        <v>41</v>
      </c>
      <c r="G943" s="9">
        <v>439</v>
      </c>
      <c r="H943" s="5" t="s">
        <v>20</v>
      </c>
      <c r="I943" s="5" t="s">
        <v>2374</v>
      </c>
      <c r="J943" s="12" t="str">
        <f>HYPERLINK("https://www.boe.es/gazeta/dias/1805/05/21/pdfs/GMD-1805-41.pdf#page=7","Abrir facsímil")</f>
        <v>Abrir facsímil</v>
      </c>
      <c r="K943" s="15" t="s">
        <v>22</v>
      </c>
    </row>
    <row r="944" spans="1:11" ht="42" customHeight="1">
      <c r="A944" s="4" t="s">
        <v>2375</v>
      </c>
      <c r="B944" s="5" t="s">
        <v>2376</v>
      </c>
      <c r="C944" s="5" t="s">
        <v>80</v>
      </c>
      <c r="D944" s="5" t="s">
        <v>81</v>
      </c>
      <c r="E944" s="5" t="s">
        <v>99</v>
      </c>
      <c r="F944" s="9">
        <v>83</v>
      </c>
      <c r="G944" s="9">
        <v>877</v>
      </c>
      <c r="H944" s="5" t="s">
        <v>20</v>
      </c>
      <c r="I944" s="5" t="s">
        <v>2377</v>
      </c>
      <c r="J944" s="12" t="str">
        <f>HYPERLINK("https://www.boe.es/gazeta/dias/1805/10/15/pdfs/GMD-1805-83.pdf#page=5","Abrir facsímil")</f>
        <v>Abrir facsímil</v>
      </c>
      <c r="K944" s="15" t="s">
        <v>22</v>
      </c>
    </row>
    <row r="945" spans="1:11" ht="42" customHeight="1">
      <c r="A945" s="4" t="s">
        <v>2378</v>
      </c>
      <c r="B945" s="5" t="s">
        <v>2379</v>
      </c>
      <c r="C945" s="5" t="s">
        <v>17</v>
      </c>
      <c r="D945" s="5" t="s">
        <v>18</v>
      </c>
      <c r="E945" s="5" t="s">
        <v>1445</v>
      </c>
      <c r="F945" s="9">
        <v>6</v>
      </c>
      <c r="G945" s="9">
        <v>59</v>
      </c>
      <c r="H945" s="5" t="s">
        <v>20</v>
      </c>
      <c r="I945" s="5" t="s">
        <v>2380</v>
      </c>
      <c r="J945" s="12" t="str">
        <f>HYPERLINK("https://www.boe.es/gazeta/dias/1805/01/18/pdfs/GMD-1805-6.pdf#page=3","Abrir facsímil")</f>
        <v>Abrir facsímil</v>
      </c>
      <c r="K945" s="15" t="s">
        <v>22</v>
      </c>
    </row>
    <row r="946" spans="1:11" ht="42" customHeight="1">
      <c r="A946" s="4" t="s">
        <v>2378</v>
      </c>
      <c r="B946" s="5" t="s">
        <v>2379</v>
      </c>
      <c r="C946" s="5" t="s">
        <v>17</v>
      </c>
      <c r="D946" s="5" t="s">
        <v>18</v>
      </c>
      <c r="E946" s="5" t="s">
        <v>107</v>
      </c>
      <c r="F946" s="9">
        <v>19</v>
      </c>
      <c r="G946" s="9">
        <v>190</v>
      </c>
      <c r="H946" s="5" t="s">
        <v>20</v>
      </c>
      <c r="I946" s="5" t="s">
        <v>2381</v>
      </c>
      <c r="J946" s="12" t="str">
        <f>HYPERLINK("https://www.boe.es/gazeta/dias/1805/03/05/pdfs/GMD-1805-19.pdf#page=2","Abrir facsímil")</f>
        <v>Abrir facsímil</v>
      </c>
      <c r="K946" s="15" t="s">
        <v>22</v>
      </c>
    </row>
    <row r="947" spans="1:11" ht="42" customHeight="1">
      <c r="A947" s="4" t="s">
        <v>2378</v>
      </c>
      <c r="B947" s="5" t="s">
        <v>2379</v>
      </c>
      <c r="C947" s="5" t="s">
        <v>80</v>
      </c>
      <c r="D947" s="5" t="s">
        <v>81</v>
      </c>
      <c r="E947" s="5" t="s">
        <v>103</v>
      </c>
      <c r="F947" s="9">
        <v>30</v>
      </c>
      <c r="G947" s="9">
        <v>321</v>
      </c>
      <c r="H947" s="5" t="s">
        <v>20</v>
      </c>
      <c r="I947" s="5" t="s">
        <v>2382</v>
      </c>
      <c r="J947" s="12" t="str">
        <f>HYPERLINK("https://www.boe.es/gazeta/dias/1805/04/12/pdfs/GMD-1805-30.pdf#page=5","Abrir facsímil")</f>
        <v>Abrir facsímil</v>
      </c>
      <c r="K947" s="15" t="s">
        <v>22</v>
      </c>
    </row>
    <row r="948" spans="1:11" ht="42" customHeight="1">
      <c r="A948" s="4" t="s">
        <v>2378</v>
      </c>
      <c r="B948" s="5" t="s">
        <v>2379</v>
      </c>
      <c r="C948" s="5" t="s">
        <v>80</v>
      </c>
      <c r="D948" s="5" t="s">
        <v>81</v>
      </c>
      <c r="E948" s="5" t="s">
        <v>673</v>
      </c>
      <c r="F948" s="9">
        <v>32</v>
      </c>
      <c r="G948" s="9">
        <v>339</v>
      </c>
      <c r="H948" s="5" t="s">
        <v>20</v>
      </c>
      <c r="I948" s="5" t="s">
        <v>2383</v>
      </c>
      <c r="J948" s="12" t="str">
        <f>HYPERLINK("https://www.boe.es/gazeta/dias/1805/04/19/pdfs/GMD-1805-32.pdf#page=3","Abrir facsímil")</f>
        <v>Abrir facsímil</v>
      </c>
      <c r="K948" s="15" t="s">
        <v>22</v>
      </c>
    </row>
    <row r="949" spans="1:11" ht="42" customHeight="1">
      <c r="A949" s="4" t="s">
        <v>2378</v>
      </c>
      <c r="B949" s="5" t="s">
        <v>2379</v>
      </c>
      <c r="C949" s="5" t="s">
        <v>17</v>
      </c>
      <c r="D949" s="5" t="s">
        <v>18</v>
      </c>
      <c r="E949" s="5" t="s">
        <v>48</v>
      </c>
      <c r="F949" s="9">
        <v>35</v>
      </c>
      <c r="G949" s="9">
        <v>377</v>
      </c>
      <c r="H949" s="5" t="s">
        <v>20</v>
      </c>
      <c r="I949" s="5" t="s">
        <v>2384</v>
      </c>
      <c r="J949" s="12" t="str">
        <f>HYPERLINK("https://www.boe.es/gazeta/dias/1805/04/30/pdfs/GMD-1805-35.pdf#page=9","Abrir facsímil")</f>
        <v>Abrir facsímil</v>
      </c>
      <c r="K949" s="15" t="s">
        <v>22</v>
      </c>
    </row>
    <row r="950" spans="1:11" ht="42" customHeight="1">
      <c r="A950" s="4" t="s">
        <v>2378</v>
      </c>
      <c r="B950" s="5" t="s">
        <v>2379</v>
      </c>
      <c r="C950" s="5" t="s">
        <v>35</v>
      </c>
      <c r="D950" s="5" t="s">
        <v>36</v>
      </c>
      <c r="E950" s="5" t="s">
        <v>1221</v>
      </c>
      <c r="F950" s="9">
        <v>41</v>
      </c>
      <c r="G950" s="9">
        <v>438</v>
      </c>
      <c r="H950" s="5" t="s">
        <v>20</v>
      </c>
      <c r="I950" s="5" t="s">
        <v>2385</v>
      </c>
      <c r="J950" s="12" t="str">
        <f>HYPERLINK("https://www.boe.es/gazeta/dias/1805/05/21/pdfs/GMD-1805-41.pdf#page=6","Abrir facsímil")</f>
        <v>Abrir facsímil</v>
      </c>
      <c r="K950" s="15" t="s">
        <v>22</v>
      </c>
    </row>
    <row r="951" spans="1:11" ht="42" customHeight="1">
      <c r="A951" s="4" t="s">
        <v>2378</v>
      </c>
      <c r="B951" s="5" t="s">
        <v>2379</v>
      </c>
      <c r="C951" s="5" t="s">
        <v>80</v>
      </c>
      <c r="D951" s="5" t="s">
        <v>81</v>
      </c>
      <c r="E951" s="5" t="s">
        <v>1221</v>
      </c>
      <c r="F951" s="9">
        <v>41</v>
      </c>
      <c r="G951" s="9">
        <v>439</v>
      </c>
      <c r="H951" s="5" t="s">
        <v>20</v>
      </c>
      <c r="I951" s="5" t="s">
        <v>2386</v>
      </c>
      <c r="J951" s="12" t="str">
        <f>HYPERLINK("https://www.boe.es/gazeta/dias/1805/05/21/pdfs/GMD-1805-41.pdf#page=7","Abrir facsímil")</f>
        <v>Abrir facsímil</v>
      </c>
      <c r="K951" s="15" t="s">
        <v>22</v>
      </c>
    </row>
    <row r="952" spans="1:11" ht="42" customHeight="1">
      <c r="A952" s="4" t="s">
        <v>2378</v>
      </c>
      <c r="B952" s="5" t="s">
        <v>2379</v>
      </c>
      <c r="C952" s="5" t="s">
        <v>80</v>
      </c>
      <c r="D952" s="5" t="s">
        <v>81</v>
      </c>
      <c r="E952" s="5" t="s">
        <v>286</v>
      </c>
      <c r="F952" s="9">
        <v>48</v>
      </c>
      <c r="G952" s="9">
        <v>517</v>
      </c>
      <c r="H952" s="5" t="s">
        <v>20</v>
      </c>
      <c r="I952" s="5" t="s">
        <v>2387</v>
      </c>
      <c r="J952" s="12" t="str">
        <f>HYPERLINK("https://www.boe.es/gazeta/dias/1805/06/14/pdfs/GMD-1805-48.pdf#page=5","Abrir facsímil")</f>
        <v>Abrir facsímil</v>
      </c>
      <c r="K952" s="15" t="s">
        <v>22</v>
      </c>
    </row>
    <row r="953" spans="1:11" ht="42" customHeight="1">
      <c r="A953" s="4" t="s">
        <v>2378</v>
      </c>
      <c r="B953" s="5" t="s">
        <v>2379</v>
      </c>
      <c r="C953" s="5" t="s">
        <v>184</v>
      </c>
      <c r="D953" s="5" t="s">
        <v>86</v>
      </c>
      <c r="E953" s="5" t="s">
        <v>1022</v>
      </c>
      <c r="F953" s="9">
        <v>52</v>
      </c>
      <c r="G953" s="9">
        <v>556</v>
      </c>
      <c r="H953" s="5" t="s">
        <v>20</v>
      </c>
      <c r="I953" s="5" t="s">
        <v>2388</v>
      </c>
      <c r="J953" s="12" t="str">
        <f>HYPERLINK("https://www.boe.es/gazeta/dias/1805/06/28/pdfs/GMD-1805-52.pdf#page=4","Abrir facsímil")</f>
        <v>Abrir facsímil</v>
      </c>
      <c r="K953" s="15" t="s">
        <v>22</v>
      </c>
    </row>
    <row r="954" spans="1:11" ht="42" customHeight="1">
      <c r="A954" s="4" t="s">
        <v>2378</v>
      </c>
      <c r="B954" s="5" t="s">
        <v>2379</v>
      </c>
      <c r="C954" s="5" t="s">
        <v>80</v>
      </c>
      <c r="D954" s="5" t="s">
        <v>81</v>
      </c>
      <c r="E954" s="5" t="s">
        <v>40</v>
      </c>
      <c r="F954" s="9">
        <v>59</v>
      </c>
      <c r="G954" s="9">
        <v>628</v>
      </c>
      <c r="H954" s="5" t="s">
        <v>20</v>
      </c>
      <c r="I954" s="5" t="s">
        <v>2389</v>
      </c>
      <c r="J954" s="12" t="str">
        <f>HYPERLINK("https://www.boe.es/gazeta/dias/1805/07/23/pdfs/GMD-1805-59.pdf#page=4","Abrir facsímil")</f>
        <v>Abrir facsímil</v>
      </c>
      <c r="K954" s="15" t="s">
        <v>22</v>
      </c>
    </row>
    <row r="955" spans="1:11" ht="42" customHeight="1">
      <c r="A955" s="4" t="s">
        <v>2378</v>
      </c>
      <c r="B955" s="5" t="s">
        <v>2379</v>
      </c>
      <c r="C955" s="5" t="s">
        <v>35</v>
      </c>
      <c r="D955" s="5" t="s">
        <v>36</v>
      </c>
      <c r="E955" s="5" t="s">
        <v>352</v>
      </c>
      <c r="F955" s="9">
        <v>60</v>
      </c>
      <c r="G955" s="9">
        <v>644</v>
      </c>
      <c r="H955" s="5" t="s">
        <v>20</v>
      </c>
      <c r="I955" s="5" t="s">
        <v>2390</v>
      </c>
      <c r="J955" s="12" t="str">
        <f>HYPERLINK("https://www.boe.es/gazeta/dias/1805/07/26/pdfs/GMD-1805-60.pdf#page=8","Abrir facsímil")</f>
        <v>Abrir facsímil</v>
      </c>
      <c r="K955" s="15" t="s">
        <v>22</v>
      </c>
    </row>
    <row r="956" spans="1:11" ht="42" customHeight="1">
      <c r="A956" s="4" t="s">
        <v>2378</v>
      </c>
      <c r="B956" s="5" t="s">
        <v>2379</v>
      </c>
      <c r="C956" s="5" t="s">
        <v>80</v>
      </c>
      <c r="D956" s="5" t="s">
        <v>81</v>
      </c>
      <c r="E956" s="5" t="s">
        <v>831</v>
      </c>
      <c r="F956" s="9">
        <v>62</v>
      </c>
      <c r="G956" s="9">
        <v>660</v>
      </c>
      <c r="H956" s="5" t="s">
        <v>20</v>
      </c>
      <c r="I956" s="5" t="s">
        <v>2391</v>
      </c>
      <c r="J956" s="12" t="str">
        <f>HYPERLINK("https://www.boe.es/gazeta/dias/1805/08/02/pdfs/GMD-1805-62.pdf#page=4","Abrir facsímil")</f>
        <v>Abrir facsímil</v>
      </c>
      <c r="K956" s="15" t="s">
        <v>22</v>
      </c>
    </row>
    <row r="957" spans="1:11" ht="42" customHeight="1">
      <c r="A957" s="4" t="s">
        <v>2378</v>
      </c>
      <c r="B957" s="5" t="s">
        <v>2379</v>
      </c>
      <c r="C957" s="5" t="s">
        <v>80</v>
      </c>
      <c r="D957" s="5" t="s">
        <v>81</v>
      </c>
      <c r="E957" s="5" t="s">
        <v>585</v>
      </c>
      <c r="F957" s="9">
        <v>64</v>
      </c>
      <c r="G957" s="9">
        <v>680</v>
      </c>
      <c r="H957" s="5" t="s">
        <v>20</v>
      </c>
      <c r="I957" s="5" t="s">
        <v>2392</v>
      </c>
      <c r="J957" s="12" t="str">
        <f>HYPERLINK("https://www.boe.es/gazeta/dias/1805/08/09/pdfs/GMD-1805-64.pdf#page=4","Abrir facsímil")</f>
        <v>Abrir facsímil</v>
      </c>
      <c r="K957" s="15" t="s">
        <v>22</v>
      </c>
    </row>
    <row r="958" spans="1:11" ht="42" customHeight="1">
      <c r="A958" s="4" t="s">
        <v>2393</v>
      </c>
      <c r="B958" s="5" t="s">
        <v>2394</v>
      </c>
      <c r="C958" s="5" t="s">
        <v>35</v>
      </c>
      <c r="D958" s="5" t="s">
        <v>36</v>
      </c>
      <c r="E958" s="5" t="s">
        <v>217</v>
      </c>
      <c r="F958" s="9">
        <v>96</v>
      </c>
      <c r="G958" s="9">
        <v>1030</v>
      </c>
      <c r="H958" s="5" t="s">
        <v>20</v>
      </c>
      <c r="I958" s="5" t="s">
        <v>2395</v>
      </c>
      <c r="J958" s="12" t="str">
        <f>HYPERLINK("https://www.boe.es/gazeta/dias/1805/11/29/pdfs/GMD-1805-96.pdf#page=6","Abrir facsímil")</f>
        <v>Abrir facsímil</v>
      </c>
      <c r="K958" s="15" t="s">
        <v>22</v>
      </c>
    </row>
    <row r="959" spans="1:11" ht="42" customHeight="1">
      <c r="A959" s="4" t="s">
        <v>2396</v>
      </c>
      <c r="B959" s="5" t="s">
        <v>2397</v>
      </c>
      <c r="C959" s="5" t="s">
        <v>52</v>
      </c>
      <c r="D959" s="5" t="s">
        <v>53</v>
      </c>
      <c r="E959" s="5" t="s">
        <v>144</v>
      </c>
      <c r="F959" s="9">
        <v>85</v>
      </c>
      <c r="G959" s="9" t="s">
        <v>222</v>
      </c>
      <c r="H959" s="5" t="s">
        <v>20</v>
      </c>
      <c r="I959" s="5" t="s">
        <v>2398</v>
      </c>
      <c r="J959" s="12" t="str">
        <f>HYPERLINK("https://www.boe.es/gazeta/dias/1805/10/22/pdfs/GMD-C-1805-85.pdf#page=1","Abrir facsímil")</f>
        <v>Abrir facsímil</v>
      </c>
      <c r="K959" s="15" t="s">
        <v>22</v>
      </c>
    </row>
    <row r="960" spans="1:11" ht="42" customHeight="1">
      <c r="A960" s="4" t="s">
        <v>2399</v>
      </c>
      <c r="B960" s="5" t="s">
        <v>2399</v>
      </c>
      <c r="C960" s="5" t="s">
        <v>17</v>
      </c>
      <c r="D960" s="5" t="s">
        <v>18</v>
      </c>
      <c r="E960" s="5" t="s">
        <v>163</v>
      </c>
      <c r="F960" s="9">
        <v>77</v>
      </c>
      <c r="G960" s="9">
        <v>819</v>
      </c>
      <c r="H960" s="5" t="s">
        <v>20</v>
      </c>
      <c r="I960" s="5" t="s">
        <v>2400</v>
      </c>
      <c r="J960" s="12" t="str">
        <f>HYPERLINK("https://www.boe.es/gazeta/dias/1805/09/24/pdfs/GMD-1805-77.pdf#page=11","Abrir facsímil")</f>
        <v>Abrir facsímil</v>
      </c>
      <c r="K960" s="15" t="s">
        <v>22</v>
      </c>
    </row>
    <row r="961" spans="1:11" ht="42" customHeight="1">
      <c r="A961" s="4" t="s">
        <v>2401</v>
      </c>
      <c r="B961" s="5" t="s">
        <v>2402</v>
      </c>
      <c r="C961" s="5" t="s">
        <v>35</v>
      </c>
      <c r="D961" s="5" t="s">
        <v>36</v>
      </c>
      <c r="E961" s="5" t="s">
        <v>471</v>
      </c>
      <c r="F961" s="9">
        <v>22</v>
      </c>
      <c r="G961" s="9">
        <v>233</v>
      </c>
      <c r="H961" s="5" t="s">
        <v>20</v>
      </c>
      <c r="I961" s="5" t="s">
        <v>2403</v>
      </c>
      <c r="J961" s="12" t="str">
        <f>HYPERLINK("https://www.boe.es/gazeta/dias/1805/03/15/pdfs/GMD-1805-22.pdf#page=9","Abrir facsímil")</f>
        <v>Abrir facsímil</v>
      </c>
      <c r="K961" s="15" t="s">
        <v>22</v>
      </c>
    </row>
    <row r="962" spans="1:11" ht="42" customHeight="1">
      <c r="A962" s="4" t="s">
        <v>2404</v>
      </c>
      <c r="B962" s="5" t="s">
        <v>2404</v>
      </c>
      <c r="C962" s="5" t="s">
        <v>17</v>
      </c>
      <c r="D962" s="5" t="s">
        <v>18</v>
      </c>
      <c r="E962" s="5" t="s">
        <v>114</v>
      </c>
      <c r="F962" s="9">
        <v>17</v>
      </c>
      <c r="G962" s="9">
        <v>176</v>
      </c>
      <c r="H962" s="5" t="s">
        <v>20</v>
      </c>
      <c r="I962" s="5" t="s">
        <v>2405</v>
      </c>
      <c r="J962" s="12" t="str">
        <f>HYPERLINK("https://www.boe.es/gazeta/dias/1805/02/26/pdfs/GMD-1805-17.pdf#page=8","Abrir facsímil")</f>
        <v>Abrir facsímil</v>
      </c>
      <c r="K962" s="15" t="s">
        <v>22</v>
      </c>
    </row>
    <row r="963" spans="1:11" ht="42" customHeight="1">
      <c r="A963" s="4" t="s">
        <v>2406</v>
      </c>
      <c r="B963" s="5" t="s">
        <v>2407</v>
      </c>
      <c r="C963" s="5" t="s">
        <v>52</v>
      </c>
      <c r="D963" s="5" t="s">
        <v>53</v>
      </c>
      <c r="E963" s="5" t="s">
        <v>144</v>
      </c>
      <c r="F963" s="9">
        <v>85</v>
      </c>
      <c r="G963" s="9" t="s">
        <v>55</v>
      </c>
      <c r="H963" s="5" t="s">
        <v>20</v>
      </c>
      <c r="I963" s="5" t="s">
        <v>2408</v>
      </c>
      <c r="J963" s="12" t="str">
        <f>HYPERLINK("https://www.boe.es/gazeta/dias/1805/10/22/pdfs/GMD-C-1805-85.pdf#page=4","Abrir facsímil")</f>
        <v>Abrir facsímil</v>
      </c>
      <c r="K963" s="15" t="s">
        <v>22</v>
      </c>
    </row>
    <row r="964" spans="1:11" ht="42" customHeight="1">
      <c r="A964" s="4" t="s">
        <v>2409</v>
      </c>
      <c r="B964" s="5" t="s">
        <v>2410</v>
      </c>
      <c r="C964" s="5" t="s">
        <v>35</v>
      </c>
      <c r="D964" s="5" t="s">
        <v>36</v>
      </c>
      <c r="E964" s="5" t="s">
        <v>19</v>
      </c>
      <c r="F964" s="9">
        <v>86</v>
      </c>
      <c r="G964" s="9">
        <v>913</v>
      </c>
      <c r="H964" s="5" t="s">
        <v>20</v>
      </c>
      <c r="I964" s="5" t="s">
        <v>2411</v>
      </c>
      <c r="J964" s="12" t="str">
        <f>HYPERLINK("https://www.boe.es/gazeta/dias/1805/10/25/pdfs/GMD-1805-86.pdf#page=9","Abrir facsímil")</f>
        <v>Abrir facsímil</v>
      </c>
      <c r="K964" s="15" t="s">
        <v>22</v>
      </c>
    </row>
    <row r="965" spans="1:11" ht="42" customHeight="1">
      <c r="A965" s="4" t="s">
        <v>2412</v>
      </c>
      <c r="B965" s="5" t="s">
        <v>2413</v>
      </c>
      <c r="C965" s="5" t="s">
        <v>80</v>
      </c>
      <c r="D965" s="5" t="s">
        <v>81</v>
      </c>
      <c r="E965" s="5" t="s">
        <v>213</v>
      </c>
      <c r="F965" s="9">
        <v>56</v>
      </c>
      <c r="G965" s="9">
        <v>597</v>
      </c>
      <c r="H965" s="5" t="s">
        <v>20</v>
      </c>
      <c r="I965" s="5" t="s">
        <v>2414</v>
      </c>
      <c r="J965" s="12" t="str">
        <f>HYPERLINK("https://www.boe.es/gazeta/dias/1805/07/12/pdfs/GMD-1805-56.pdf#page=5","Abrir facsímil")</f>
        <v>Abrir facsímil</v>
      </c>
      <c r="K965" s="15" t="s">
        <v>22</v>
      </c>
    </row>
    <row r="966" spans="1:11" ht="42" customHeight="1">
      <c r="A966" s="4" t="s">
        <v>2415</v>
      </c>
      <c r="B966" s="5" t="s">
        <v>2416</v>
      </c>
      <c r="C966" s="5" t="s">
        <v>17</v>
      </c>
      <c r="D966" s="5" t="s">
        <v>18</v>
      </c>
      <c r="E966" s="5" t="s">
        <v>585</v>
      </c>
      <c r="F966" s="9">
        <v>64</v>
      </c>
      <c r="G966" s="9">
        <v>687</v>
      </c>
      <c r="H966" s="5" t="s">
        <v>20</v>
      </c>
      <c r="I966" s="5" t="s">
        <v>2417</v>
      </c>
      <c r="J966" s="12" t="str">
        <f>HYPERLINK("https://www.boe.es/gazeta/dias/1805/08/09/pdfs/GMD-1805-64.pdf#page=11","Abrir facsímil")</f>
        <v>Abrir facsímil</v>
      </c>
      <c r="K966" s="15" t="s">
        <v>22</v>
      </c>
    </row>
    <row r="967" spans="1:11" ht="42" customHeight="1">
      <c r="A967" s="4" t="s">
        <v>2418</v>
      </c>
      <c r="B967" s="5" t="s">
        <v>2419</v>
      </c>
      <c r="C967" s="5" t="s">
        <v>80</v>
      </c>
      <c r="D967" s="5" t="s">
        <v>81</v>
      </c>
      <c r="E967" s="5" t="s">
        <v>1022</v>
      </c>
      <c r="F967" s="9">
        <v>52</v>
      </c>
      <c r="G967" s="9">
        <v>556</v>
      </c>
      <c r="H967" s="5" t="s">
        <v>20</v>
      </c>
      <c r="I967" s="5" t="s">
        <v>2420</v>
      </c>
      <c r="J967" s="12" t="str">
        <f>HYPERLINK("https://www.boe.es/gazeta/dias/1805/06/28/pdfs/GMD-1805-52.pdf#page=4","Abrir facsímil")</f>
        <v>Abrir facsímil</v>
      </c>
      <c r="K967" s="15" t="s">
        <v>22</v>
      </c>
    </row>
    <row r="968" spans="1:11" ht="42" customHeight="1">
      <c r="A968" s="4" t="s">
        <v>2421</v>
      </c>
      <c r="B968" s="5" t="s">
        <v>2422</v>
      </c>
      <c r="C968" s="5" t="s">
        <v>80</v>
      </c>
      <c r="D968" s="5" t="s">
        <v>81</v>
      </c>
      <c r="E968" s="5" t="s">
        <v>40</v>
      </c>
      <c r="F968" s="9">
        <v>59</v>
      </c>
      <c r="G968" s="9">
        <v>627</v>
      </c>
      <c r="H968" s="5" t="s">
        <v>20</v>
      </c>
      <c r="I968" s="5" t="s">
        <v>2423</v>
      </c>
      <c r="J968" s="12" t="str">
        <f>HYPERLINK("https://www.boe.es/gazeta/dias/1805/07/23/pdfs/GMD-1805-59.pdf#page=3","Abrir facsímil")</f>
        <v>Abrir facsímil</v>
      </c>
      <c r="K968" s="15" t="s">
        <v>22</v>
      </c>
    </row>
    <row r="969" spans="1:11" ht="42" customHeight="1">
      <c r="A969" s="4" t="s">
        <v>2421</v>
      </c>
      <c r="B969" s="5" t="s">
        <v>2422</v>
      </c>
      <c r="C969" s="5" t="s">
        <v>80</v>
      </c>
      <c r="D969" s="5" t="s">
        <v>81</v>
      </c>
      <c r="E969" s="5" t="s">
        <v>335</v>
      </c>
      <c r="F969" s="9">
        <v>79</v>
      </c>
      <c r="G969" s="9">
        <v>832</v>
      </c>
      <c r="H969" s="5" t="s">
        <v>20</v>
      </c>
      <c r="I969" s="5" t="s">
        <v>2424</v>
      </c>
      <c r="J969" s="12" t="str">
        <f>HYPERLINK("https://www.boe.es/gazeta/dias/1805/10/01/pdfs/GMD-1805-79.pdf#page=4","Abrir facsímil")</f>
        <v>Abrir facsímil</v>
      </c>
      <c r="K969" s="15" t="s">
        <v>22</v>
      </c>
    </row>
    <row r="970" spans="1:11" ht="42" customHeight="1">
      <c r="A970" s="4" t="s">
        <v>2421</v>
      </c>
      <c r="B970" s="5" t="s">
        <v>2422</v>
      </c>
      <c r="C970" s="5" t="s">
        <v>80</v>
      </c>
      <c r="D970" s="5" t="s">
        <v>81</v>
      </c>
      <c r="E970" s="5" t="s">
        <v>215</v>
      </c>
      <c r="F970" s="9">
        <v>87</v>
      </c>
      <c r="G970" s="9">
        <v>919</v>
      </c>
      <c r="H970" s="5" t="s">
        <v>20</v>
      </c>
      <c r="I970" s="5" t="s">
        <v>2425</v>
      </c>
      <c r="J970" s="12" t="str">
        <f>HYPERLINK("https://www.boe.es/gazeta/dias/1805/10/29/pdfs/GMD-1805-87.pdf#page=3","Abrir facsímil")</f>
        <v>Abrir facsímil</v>
      </c>
      <c r="K970" s="15" t="s">
        <v>22</v>
      </c>
    </row>
    <row r="971" spans="1:11" ht="42" customHeight="1">
      <c r="A971" s="4" t="s">
        <v>2426</v>
      </c>
      <c r="B971" s="5" t="s">
        <v>2426</v>
      </c>
      <c r="C971" s="5" t="s">
        <v>29</v>
      </c>
      <c r="D971" s="5" t="s">
        <v>30</v>
      </c>
      <c r="E971" s="5" t="s">
        <v>958</v>
      </c>
      <c r="F971" s="9">
        <v>58</v>
      </c>
      <c r="G971" s="9">
        <v>624</v>
      </c>
      <c r="H971" s="5" t="s">
        <v>20</v>
      </c>
      <c r="I971" s="5" t="s">
        <v>2427</v>
      </c>
      <c r="J971" s="12" t="str">
        <f>HYPERLINK("https://www.boe.es/gazeta/dias/1805/07/19/pdfs/GMD-1805-58.pdf#page=8","Abrir facsímil")</f>
        <v>Abrir facsímil</v>
      </c>
      <c r="K971" s="15" t="s">
        <v>22</v>
      </c>
    </row>
    <row r="972" spans="1:11" ht="42" customHeight="1">
      <c r="A972" s="4" t="s">
        <v>2426</v>
      </c>
      <c r="B972" s="5" t="s">
        <v>2426</v>
      </c>
      <c r="C972" s="5" t="s">
        <v>29</v>
      </c>
      <c r="D972" s="5" t="s">
        <v>30</v>
      </c>
      <c r="E972" s="5" t="s">
        <v>506</v>
      </c>
      <c r="F972" s="9">
        <v>80</v>
      </c>
      <c r="G972" s="9">
        <v>852</v>
      </c>
      <c r="H972" s="5" t="s">
        <v>20</v>
      </c>
      <c r="I972" s="5" t="s">
        <v>2428</v>
      </c>
      <c r="J972" s="12" t="str">
        <f>HYPERLINK("https://www.boe.es/gazeta/dias/1805/10/04/pdfs/GMD-1805-80.pdf#page=12","Abrir facsímil")</f>
        <v>Abrir facsímil</v>
      </c>
      <c r="K972" s="15" t="s">
        <v>22</v>
      </c>
    </row>
    <row r="973" spans="1:11" ht="42" customHeight="1">
      <c r="A973" s="4" t="s">
        <v>2429</v>
      </c>
      <c r="B973" s="5" t="s">
        <v>2430</v>
      </c>
      <c r="C973" s="5" t="s">
        <v>35</v>
      </c>
      <c r="D973" s="5" t="s">
        <v>36</v>
      </c>
      <c r="E973" s="5" t="s">
        <v>122</v>
      </c>
      <c r="F973" s="9">
        <v>38</v>
      </c>
      <c r="G973" s="9">
        <v>411</v>
      </c>
      <c r="H973" s="5" t="s">
        <v>20</v>
      </c>
      <c r="I973" s="5" t="s">
        <v>2431</v>
      </c>
      <c r="J973" s="12" t="str">
        <f>HYPERLINK("https://www.boe.es/gazeta/dias/1805/05/10/pdfs/GMD-1805-38.pdf#page=7","Abrir facsímil")</f>
        <v>Abrir facsímil</v>
      </c>
      <c r="K973" s="15" t="s">
        <v>22</v>
      </c>
    </row>
    <row r="974" spans="1:11" ht="42" customHeight="1">
      <c r="A974" s="4" t="s">
        <v>2432</v>
      </c>
      <c r="B974" s="5" t="s">
        <v>2433</v>
      </c>
      <c r="C974" s="5" t="s">
        <v>35</v>
      </c>
      <c r="D974" s="5" t="s">
        <v>36</v>
      </c>
      <c r="E974" s="5" t="s">
        <v>40</v>
      </c>
      <c r="F974" s="9">
        <v>59</v>
      </c>
      <c r="G974" s="9">
        <v>633</v>
      </c>
      <c r="H974" s="5" t="s">
        <v>20</v>
      </c>
      <c r="I974" s="5" t="s">
        <v>2434</v>
      </c>
      <c r="J974" s="12" t="str">
        <f>HYPERLINK("https://www.boe.es/gazeta/dias/1805/07/23/pdfs/GMD-1805-59.pdf#page=9","Abrir facsímil")</f>
        <v>Abrir facsímil</v>
      </c>
      <c r="K974" s="15" t="s">
        <v>22</v>
      </c>
    </row>
    <row r="975" spans="1:11" ht="42" customHeight="1">
      <c r="A975" s="4" t="s">
        <v>2435</v>
      </c>
      <c r="B975" s="5" t="s">
        <v>2436</v>
      </c>
      <c r="C975" s="5" t="s">
        <v>17</v>
      </c>
      <c r="D975" s="5" t="s">
        <v>18</v>
      </c>
      <c r="E975" s="5" t="s">
        <v>506</v>
      </c>
      <c r="F975" s="9">
        <v>80</v>
      </c>
      <c r="G975" s="9">
        <v>845</v>
      </c>
      <c r="H975" s="5" t="s">
        <v>20</v>
      </c>
      <c r="I975" s="5" t="s">
        <v>2437</v>
      </c>
      <c r="J975" s="12" t="str">
        <f>HYPERLINK("https://www.boe.es/gazeta/dias/1805/10/04/pdfs/GMD-1805-80.pdf#page=5","Abrir facsímil")</f>
        <v>Abrir facsímil</v>
      </c>
      <c r="K975" s="15" t="s">
        <v>22</v>
      </c>
    </row>
    <row r="976" spans="1:11" ht="42" customHeight="1">
      <c r="A976" s="4" t="s">
        <v>2438</v>
      </c>
      <c r="B976" s="5" t="s">
        <v>2439</v>
      </c>
      <c r="C976" s="5" t="s">
        <v>17</v>
      </c>
      <c r="D976" s="5" t="s">
        <v>18</v>
      </c>
      <c r="E976" s="5" t="s">
        <v>31</v>
      </c>
      <c r="F976" s="9">
        <v>65</v>
      </c>
      <c r="G976" s="9">
        <v>695</v>
      </c>
      <c r="H976" s="5" t="s">
        <v>20</v>
      </c>
      <c r="I976" s="5" t="s">
        <v>2440</v>
      </c>
      <c r="J976" s="12" t="str">
        <f>HYPERLINK("https://www.boe.es/gazeta/dias/1805/08/13/pdfs/GMD-1805-65.pdf#page=7","Abrir facsímil")</f>
        <v>Abrir facsímil</v>
      </c>
      <c r="K976" s="15" t="s">
        <v>22</v>
      </c>
    </row>
    <row r="977" spans="1:11" ht="42" customHeight="1">
      <c r="A977" s="4" t="s">
        <v>2441</v>
      </c>
      <c r="B977" s="5" t="s">
        <v>2442</v>
      </c>
      <c r="C977" s="5" t="s">
        <v>85</v>
      </c>
      <c r="D977" s="5" t="s">
        <v>86</v>
      </c>
      <c r="E977" s="5" t="s">
        <v>107</v>
      </c>
      <c r="F977" s="9">
        <v>19</v>
      </c>
      <c r="G977" s="9">
        <v>199</v>
      </c>
      <c r="H977" s="5" t="s">
        <v>20</v>
      </c>
      <c r="I977" s="5" t="s">
        <v>2443</v>
      </c>
      <c r="J977" s="12" t="str">
        <f>HYPERLINK("https://www.boe.es/gazeta/dias/1805/03/05/pdfs/GMD-1805-19.pdf#page=11","Abrir facsímil")</f>
        <v>Abrir facsímil</v>
      </c>
      <c r="K977" s="15" t="s">
        <v>22</v>
      </c>
    </row>
    <row r="978" spans="1:11" ht="42" customHeight="1">
      <c r="A978" s="4" t="s">
        <v>2444</v>
      </c>
      <c r="B978" s="5" t="s">
        <v>2444</v>
      </c>
      <c r="C978" s="5" t="s">
        <v>35</v>
      </c>
      <c r="D978" s="5" t="s">
        <v>36</v>
      </c>
      <c r="E978" s="5" t="s">
        <v>831</v>
      </c>
      <c r="F978" s="9">
        <v>62</v>
      </c>
      <c r="G978" s="9">
        <v>661</v>
      </c>
      <c r="H978" s="5" t="s">
        <v>20</v>
      </c>
      <c r="I978" s="5" t="s">
        <v>2445</v>
      </c>
      <c r="J978" s="12" t="str">
        <f>HYPERLINK("https://www.boe.es/gazeta/dias/1805/08/02/pdfs/GMD-1805-62.pdf#page=5","Abrir facsímil")</f>
        <v>Abrir facsímil</v>
      </c>
      <c r="K978" s="15" t="s">
        <v>22</v>
      </c>
    </row>
    <row r="979" spans="1:11" ht="42" customHeight="1">
      <c r="A979" s="4" t="s">
        <v>2446</v>
      </c>
      <c r="B979" s="5" t="s">
        <v>2446</v>
      </c>
      <c r="C979" s="5" t="s">
        <v>35</v>
      </c>
      <c r="D979" s="5" t="s">
        <v>36</v>
      </c>
      <c r="E979" s="5" t="s">
        <v>217</v>
      </c>
      <c r="F979" s="9">
        <v>96</v>
      </c>
      <c r="G979" s="9">
        <v>1034</v>
      </c>
      <c r="H979" s="5" t="s">
        <v>20</v>
      </c>
      <c r="I979" s="5" t="s">
        <v>2447</v>
      </c>
      <c r="J979" s="12" t="str">
        <f>HYPERLINK("https://www.boe.es/gazeta/dias/1805/11/29/pdfs/GMD-C-1805-96.pdf#page=2","Abrir facsímil")</f>
        <v>Abrir facsímil</v>
      </c>
      <c r="K979" s="15" t="s">
        <v>22</v>
      </c>
    </row>
    <row r="980" spans="1:11" ht="42" customHeight="1">
      <c r="A980" s="4" t="s">
        <v>2448</v>
      </c>
      <c r="B980" s="5" t="s">
        <v>2448</v>
      </c>
      <c r="C980" s="5" t="s">
        <v>29</v>
      </c>
      <c r="D980" s="5" t="s">
        <v>30</v>
      </c>
      <c r="E980" s="5" t="s">
        <v>213</v>
      </c>
      <c r="F980" s="9">
        <v>56</v>
      </c>
      <c r="G980" s="9">
        <v>598</v>
      </c>
      <c r="H980" s="5" t="s">
        <v>20</v>
      </c>
      <c r="I980" s="5" t="s">
        <v>2449</v>
      </c>
      <c r="J980" s="12" t="str">
        <f>HYPERLINK("https://www.boe.es/gazeta/dias/1805/07/12/pdfs/GMD-1805-56.pdf#page=6","Abrir facsímil")</f>
        <v>Abrir facsímil</v>
      </c>
      <c r="K980" s="15" t="s">
        <v>22</v>
      </c>
    </row>
    <row r="981" spans="1:11" ht="42" customHeight="1">
      <c r="A981" s="4" t="s">
        <v>2450</v>
      </c>
      <c r="B981" s="5" t="s">
        <v>2450</v>
      </c>
      <c r="C981" s="5" t="s">
        <v>17</v>
      </c>
      <c r="D981" s="5" t="s">
        <v>18</v>
      </c>
      <c r="E981" s="5" t="s">
        <v>495</v>
      </c>
      <c r="F981" s="9">
        <v>103</v>
      </c>
      <c r="G981" s="9">
        <v>1113</v>
      </c>
      <c r="H981" s="5" t="s">
        <v>20</v>
      </c>
      <c r="I981" s="5" t="s">
        <v>2451</v>
      </c>
      <c r="J981" s="12" t="str">
        <f>HYPERLINK("https://www.boe.es/gazeta/dias/1805/12/24/pdfs/GMD-1805-103.pdf#page=5","Abrir facsímil")</f>
        <v>Abrir facsímil</v>
      </c>
      <c r="K981" s="15" t="s">
        <v>22</v>
      </c>
    </row>
    <row r="982" spans="1:11" ht="42" customHeight="1">
      <c r="A982" s="4" t="s">
        <v>2452</v>
      </c>
      <c r="B982" s="5" t="s">
        <v>2452</v>
      </c>
      <c r="C982" s="5" t="s">
        <v>35</v>
      </c>
      <c r="D982" s="5" t="s">
        <v>36</v>
      </c>
      <c r="E982" s="5" t="s">
        <v>393</v>
      </c>
      <c r="F982" s="9">
        <v>44</v>
      </c>
      <c r="G982" s="9">
        <v>471</v>
      </c>
      <c r="H982" s="5" t="s">
        <v>20</v>
      </c>
      <c r="I982" s="5" t="s">
        <v>2453</v>
      </c>
      <c r="J982" s="12" t="str">
        <f>HYPERLINK("https://www.boe.es/gazeta/dias/1805/05/31/pdfs/GMD-1805-44.pdf#page=7","Abrir facsímil")</f>
        <v>Abrir facsímil</v>
      </c>
      <c r="K982" s="15" t="s">
        <v>22</v>
      </c>
    </row>
    <row r="983" spans="1:11" ht="42" customHeight="1">
      <c r="A983" s="4" t="s">
        <v>2454</v>
      </c>
      <c r="B983" s="5" t="s">
        <v>2454</v>
      </c>
      <c r="C983" s="5" t="s">
        <v>17</v>
      </c>
      <c r="D983" s="5" t="s">
        <v>18</v>
      </c>
      <c r="E983" s="5" t="s">
        <v>352</v>
      </c>
      <c r="F983" s="9">
        <v>60</v>
      </c>
      <c r="G983" s="9">
        <v>644</v>
      </c>
      <c r="H983" s="5" t="s">
        <v>20</v>
      </c>
      <c r="I983" s="5" t="s">
        <v>2455</v>
      </c>
      <c r="J983" s="12" t="str">
        <f>HYPERLINK("https://www.boe.es/gazeta/dias/1805/07/26/pdfs/GMD-1805-60.pdf#page=8","Abrir facsímil")</f>
        <v>Abrir facsímil</v>
      </c>
      <c r="K983" s="15" t="s">
        <v>22</v>
      </c>
    </row>
    <row r="984" spans="1:11" ht="42" customHeight="1">
      <c r="A984" s="4" t="s">
        <v>2456</v>
      </c>
      <c r="B984" s="5" t="s">
        <v>2456</v>
      </c>
      <c r="C984" s="5" t="s">
        <v>80</v>
      </c>
      <c r="D984" s="5" t="s">
        <v>81</v>
      </c>
      <c r="E984" s="5" t="s">
        <v>273</v>
      </c>
      <c r="F984" s="9">
        <v>8</v>
      </c>
      <c r="G984" s="9">
        <v>86</v>
      </c>
      <c r="H984" s="5" t="s">
        <v>20</v>
      </c>
      <c r="I984" s="5" t="s">
        <v>2457</v>
      </c>
      <c r="J984" s="12" t="str">
        <f>HYPERLINK("https://www.boe.es/gazeta/dias/1805/01/25/pdfs/GMD-1805-8.pdf#page=6","Abrir facsímil")</f>
        <v>Abrir facsímil</v>
      </c>
      <c r="K984" s="15" t="s">
        <v>22</v>
      </c>
    </row>
    <row r="985" spans="1:11" ht="42" customHeight="1">
      <c r="A985" s="4" t="s">
        <v>2458</v>
      </c>
      <c r="B985" s="5" t="s">
        <v>2458</v>
      </c>
      <c r="C985" s="5" t="s">
        <v>80</v>
      </c>
      <c r="D985" s="5" t="s">
        <v>81</v>
      </c>
      <c r="E985" s="5" t="s">
        <v>673</v>
      </c>
      <c r="F985" s="9">
        <v>32</v>
      </c>
      <c r="G985" s="9">
        <v>337</v>
      </c>
      <c r="H985" s="5" t="s">
        <v>20</v>
      </c>
      <c r="I985" s="5" t="s">
        <v>2459</v>
      </c>
      <c r="J985" s="12" t="str">
        <f>HYPERLINK("https://www.boe.es/gazeta/dias/1805/04/19/pdfs/GMD-1805-32.pdf#page=1","Abrir facsímil")</f>
        <v>Abrir facsímil</v>
      </c>
      <c r="K985" s="15" t="s">
        <v>22</v>
      </c>
    </row>
    <row r="986" spans="1:11" ht="42" customHeight="1">
      <c r="A986" s="4" t="s">
        <v>2460</v>
      </c>
      <c r="B986" s="5" t="s">
        <v>2460</v>
      </c>
      <c r="C986" s="5" t="s">
        <v>80</v>
      </c>
      <c r="D986" s="5" t="s">
        <v>81</v>
      </c>
      <c r="E986" s="5" t="s">
        <v>19</v>
      </c>
      <c r="F986" s="9">
        <v>86</v>
      </c>
      <c r="G986" s="9">
        <v>905</v>
      </c>
      <c r="H986" s="5" t="s">
        <v>20</v>
      </c>
      <c r="I986" s="5" t="s">
        <v>2461</v>
      </c>
      <c r="J986" s="12" t="str">
        <f>HYPERLINK("https://www.boe.es/gazeta/dias/1805/10/25/pdfs/GMD-1805-86.pdf#page=1","Abrir facsímil")</f>
        <v>Abrir facsímil</v>
      </c>
      <c r="K986" s="15" t="s">
        <v>22</v>
      </c>
    </row>
    <row r="987" spans="1:11" ht="42" customHeight="1">
      <c r="A987" s="4" t="s">
        <v>2462</v>
      </c>
      <c r="B987" s="5" t="s">
        <v>2463</v>
      </c>
      <c r="C987" s="5" t="s">
        <v>35</v>
      </c>
      <c r="D987" s="5" t="s">
        <v>36</v>
      </c>
      <c r="E987" s="5" t="s">
        <v>91</v>
      </c>
      <c r="F987" s="9">
        <v>28</v>
      </c>
      <c r="G987" s="9">
        <v>300</v>
      </c>
      <c r="H987" s="5" t="s">
        <v>20</v>
      </c>
      <c r="I987" s="5" t="s">
        <v>2464</v>
      </c>
      <c r="J987" s="12" t="str">
        <f>HYPERLINK("https://www.boe.es/gazeta/dias/1805/04/05/pdfs/GMD-1805-28.pdf#page=8","Abrir facsímil")</f>
        <v>Abrir facsímil</v>
      </c>
      <c r="K987" s="15" t="s">
        <v>22</v>
      </c>
    </row>
    <row r="988" spans="1:11" ht="42" customHeight="1">
      <c r="A988" s="4" t="s">
        <v>2465</v>
      </c>
      <c r="B988" s="5" t="s">
        <v>2466</v>
      </c>
      <c r="C988" s="5" t="s">
        <v>80</v>
      </c>
      <c r="D988" s="5" t="s">
        <v>81</v>
      </c>
      <c r="E988" s="5" t="s">
        <v>209</v>
      </c>
      <c r="F988" s="9">
        <v>89</v>
      </c>
      <c r="G988" s="9">
        <v>949</v>
      </c>
      <c r="H988" s="5" t="s">
        <v>20</v>
      </c>
      <c r="I988" s="5" t="s">
        <v>2467</v>
      </c>
      <c r="J988" s="12" t="str">
        <f>HYPERLINK("https://www.boe.es/gazeta/dias/1805/11/05/pdfs/GMD-1805-89.pdf#page=9","Abrir facsímil")</f>
        <v>Abrir facsímil</v>
      </c>
      <c r="K988" s="15" t="s">
        <v>22</v>
      </c>
    </row>
    <row r="989" spans="1:11" ht="42" customHeight="1">
      <c r="A989" s="4" t="s">
        <v>2468</v>
      </c>
      <c r="B989" s="5" t="s">
        <v>2469</v>
      </c>
      <c r="C989" s="5" t="s">
        <v>17</v>
      </c>
      <c r="D989" s="5" t="s">
        <v>18</v>
      </c>
      <c r="E989" s="5" t="s">
        <v>363</v>
      </c>
      <c r="F989" s="9">
        <v>1</v>
      </c>
      <c r="G989" s="9">
        <v>9</v>
      </c>
      <c r="H989" s="5" t="s">
        <v>20</v>
      </c>
      <c r="I989" s="5" t="s">
        <v>2470</v>
      </c>
      <c r="J989" s="12" t="str">
        <f>HYPERLINK("https://www.boe.es/gazeta/dias/1805/01/01/pdfs/GMD-1805-1.pdf#page=9","Abrir facsímil")</f>
        <v>Abrir facsímil</v>
      </c>
      <c r="K989" s="15" t="s">
        <v>22</v>
      </c>
    </row>
    <row r="990" spans="1:11" ht="42" customHeight="1">
      <c r="A990" s="4" t="s">
        <v>2471</v>
      </c>
      <c r="B990" s="5" t="s">
        <v>2471</v>
      </c>
      <c r="C990" s="5" t="s">
        <v>35</v>
      </c>
      <c r="D990" s="5" t="s">
        <v>36</v>
      </c>
      <c r="E990" s="5" t="s">
        <v>854</v>
      </c>
      <c r="F990" s="9">
        <v>46</v>
      </c>
      <c r="G990" s="9">
        <v>494</v>
      </c>
      <c r="H990" s="5" t="s">
        <v>20</v>
      </c>
      <c r="I990" s="5" t="s">
        <v>2472</v>
      </c>
      <c r="J990" s="12" t="str">
        <f>HYPERLINK("https://www.boe.es/gazeta/dias/1805/06/07/pdfs/GMD-1805-46.pdf#page=6","Abrir facsímil")</f>
        <v>Abrir facsímil</v>
      </c>
      <c r="K990" s="15" t="s">
        <v>22</v>
      </c>
    </row>
    <row r="991" spans="1:11" ht="42" customHeight="1">
      <c r="A991" s="4" t="s">
        <v>2473</v>
      </c>
      <c r="B991" s="5" t="s">
        <v>2474</v>
      </c>
      <c r="C991" s="5" t="s">
        <v>80</v>
      </c>
      <c r="D991" s="5" t="s">
        <v>81</v>
      </c>
      <c r="E991" s="5" t="s">
        <v>1259</v>
      </c>
      <c r="F991" s="9">
        <v>78</v>
      </c>
      <c r="G991" s="9">
        <v>823</v>
      </c>
      <c r="H991" s="5" t="s">
        <v>20</v>
      </c>
      <c r="I991" s="5" t="s">
        <v>2475</v>
      </c>
      <c r="J991" s="12" t="str">
        <f>HYPERLINK("https://www.boe.es/gazeta/dias/1805/09/27/pdfs/GMD-1805-78.pdf#page=3","Abrir facsímil")</f>
        <v>Abrir facsímil</v>
      </c>
      <c r="K991" s="15" t="s">
        <v>22</v>
      </c>
    </row>
    <row r="992" spans="1:11" ht="42" customHeight="1">
      <c r="A992" s="4" t="s">
        <v>2476</v>
      </c>
      <c r="B992" s="5" t="s">
        <v>2477</v>
      </c>
      <c r="C992" s="5" t="s">
        <v>35</v>
      </c>
      <c r="D992" s="5" t="s">
        <v>36</v>
      </c>
      <c r="E992" s="5" t="s">
        <v>44</v>
      </c>
      <c r="F992" s="9">
        <v>29</v>
      </c>
      <c r="G992" s="9">
        <v>313</v>
      </c>
      <c r="H992" s="5" t="s">
        <v>20</v>
      </c>
      <c r="I992" s="5" t="s">
        <v>2478</v>
      </c>
      <c r="J992" s="12" t="str">
        <f>HYPERLINK("https://www.boe.es/gazeta/dias/1805/04/09/pdfs/GMD-1805-29.pdf#page=9","Abrir facsímil")</f>
        <v>Abrir facsímil</v>
      </c>
      <c r="K992" s="15" t="s">
        <v>22</v>
      </c>
    </row>
    <row r="993" spans="1:11" ht="42" customHeight="1">
      <c r="A993" s="4" t="s">
        <v>2479</v>
      </c>
      <c r="B993" s="5" t="s">
        <v>2480</v>
      </c>
      <c r="C993" s="5" t="s">
        <v>35</v>
      </c>
      <c r="D993" s="5" t="s">
        <v>36</v>
      </c>
      <c r="E993" s="5" t="s">
        <v>163</v>
      </c>
      <c r="F993" s="9">
        <v>77</v>
      </c>
      <c r="G993" s="9">
        <v>812</v>
      </c>
      <c r="H993" s="5" t="s">
        <v>20</v>
      </c>
      <c r="I993" s="5" t="s">
        <v>2481</v>
      </c>
      <c r="J993" s="12" t="str">
        <f>HYPERLINK("https://www.boe.es/gazeta/dias/1805/09/24/pdfs/GMD-1805-77.pdf#page=4","Abrir facsímil")</f>
        <v>Abrir facsímil</v>
      </c>
      <c r="K993" s="15" t="s">
        <v>22</v>
      </c>
    </row>
    <row r="994" spans="1:11" ht="42" customHeight="1">
      <c r="A994" s="4" t="s">
        <v>2482</v>
      </c>
      <c r="B994" s="5" t="s">
        <v>2483</v>
      </c>
      <c r="C994" s="5" t="s">
        <v>80</v>
      </c>
      <c r="D994" s="5" t="s">
        <v>81</v>
      </c>
      <c r="E994" s="5" t="s">
        <v>711</v>
      </c>
      <c r="F994" s="9">
        <v>63</v>
      </c>
      <c r="G994" s="9">
        <v>668</v>
      </c>
      <c r="H994" s="5" t="s">
        <v>20</v>
      </c>
      <c r="I994" s="5" t="s">
        <v>2484</v>
      </c>
      <c r="J994" s="12" t="str">
        <f>HYPERLINK("https://www.boe.es/gazeta/dias/1805/08/06/pdfs/GMD-1805-63.pdf#page=4","Abrir facsímil")</f>
        <v>Abrir facsímil</v>
      </c>
      <c r="K994" s="15" t="s">
        <v>22</v>
      </c>
    </row>
    <row r="995" spans="1:11" ht="42" customHeight="1">
      <c r="A995" s="4" t="s">
        <v>2485</v>
      </c>
      <c r="B995" s="5" t="s">
        <v>2486</v>
      </c>
      <c r="C995" s="5" t="s">
        <v>35</v>
      </c>
      <c r="D995" s="5" t="s">
        <v>36</v>
      </c>
      <c r="E995" s="5" t="s">
        <v>506</v>
      </c>
      <c r="F995" s="9">
        <v>80</v>
      </c>
      <c r="G995" s="9">
        <v>849</v>
      </c>
      <c r="H995" s="5" t="s">
        <v>20</v>
      </c>
      <c r="I995" s="5" t="s">
        <v>2487</v>
      </c>
      <c r="J995" s="12" t="str">
        <f>HYPERLINK("https://www.boe.es/gazeta/dias/1805/10/04/pdfs/GMD-1805-80.pdf#page=9","Abrir facsímil")</f>
        <v>Abrir facsímil</v>
      </c>
      <c r="K995" s="15" t="s">
        <v>22</v>
      </c>
    </row>
    <row r="996" spans="1:11" ht="42" customHeight="1">
      <c r="A996" s="4" t="s">
        <v>2488</v>
      </c>
      <c r="B996" s="5" t="s">
        <v>2489</v>
      </c>
      <c r="C996" s="5" t="s">
        <v>17</v>
      </c>
      <c r="D996" s="5" t="s">
        <v>18</v>
      </c>
      <c r="E996" s="5" t="s">
        <v>356</v>
      </c>
      <c r="F996" s="9">
        <v>12</v>
      </c>
      <c r="G996" s="9">
        <v>131</v>
      </c>
      <c r="H996" s="5" t="s">
        <v>20</v>
      </c>
      <c r="I996" s="5" t="s">
        <v>2490</v>
      </c>
      <c r="J996" s="12" t="str">
        <f>HYPERLINK("https://www.boe.es/gazeta/dias/1805/02/08/pdfs/GMD-1805-12.pdf#page=7","Abrir facsímil")</f>
        <v>Abrir facsímil</v>
      </c>
      <c r="K996" s="15" t="s">
        <v>22</v>
      </c>
    </row>
    <row r="997" spans="1:11" ht="42" customHeight="1">
      <c r="A997" s="4" t="s">
        <v>2491</v>
      </c>
      <c r="B997" s="5" t="s">
        <v>2492</v>
      </c>
      <c r="C997" s="5" t="s">
        <v>80</v>
      </c>
      <c r="D997" s="5" t="s">
        <v>81</v>
      </c>
      <c r="E997" s="5" t="s">
        <v>67</v>
      </c>
      <c r="F997" s="9">
        <v>98</v>
      </c>
      <c r="G997" s="9">
        <v>1051</v>
      </c>
      <c r="H997" s="5" t="s">
        <v>20</v>
      </c>
      <c r="I997" s="5" t="s">
        <v>2493</v>
      </c>
      <c r="J997" s="12" t="str">
        <f>HYPERLINK("https://www.boe.es/gazeta/dias/1805/12/06/pdfs/GMD-1805-98.pdf#page=3","Abrir facsímil")</f>
        <v>Abrir facsímil</v>
      </c>
      <c r="K997" s="15" t="s">
        <v>22</v>
      </c>
    </row>
    <row r="998" spans="1:11" ht="42" customHeight="1">
      <c r="A998" s="4" t="s">
        <v>2494</v>
      </c>
      <c r="B998" s="5" t="s">
        <v>2495</v>
      </c>
      <c r="C998" s="5" t="s">
        <v>35</v>
      </c>
      <c r="D998" s="5" t="s">
        <v>36</v>
      </c>
      <c r="E998" s="5" t="s">
        <v>495</v>
      </c>
      <c r="F998" s="9">
        <v>103</v>
      </c>
      <c r="G998" s="9">
        <v>1111</v>
      </c>
      <c r="H998" s="5" t="s">
        <v>20</v>
      </c>
      <c r="I998" s="5" t="s">
        <v>2496</v>
      </c>
      <c r="J998" s="12" t="str">
        <f>HYPERLINK("https://www.boe.es/gazeta/dias/1805/12/24/pdfs/GMD-1805-103.pdf#page=3","Abrir facsímil")</f>
        <v>Abrir facsímil</v>
      </c>
      <c r="K998" s="15" t="s">
        <v>22</v>
      </c>
    </row>
    <row r="999" spans="1:11" ht="42" customHeight="1">
      <c r="A999" s="4" t="s">
        <v>2497</v>
      </c>
      <c r="B999" s="5" t="s">
        <v>2498</v>
      </c>
      <c r="C999" s="5" t="s">
        <v>35</v>
      </c>
      <c r="D999" s="5" t="s">
        <v>36</v>
      </c>
      <c r="E999" s="5" t="s">
        <v>539</v>
      </c>
      <c r="F999" s="9">
        <v>97</v>
      </c>
      <c r="G999" s="9">
        <v>1040</v>
      </c>
      <c r="H999" s="5" t="s">
        <v>20</v>
      </c>
      <c r="I999" s="5" t="s">
        <v>2499</v>
      </c>
      <c r="J999" s="12" t="str">
        <f>HYPERLINK("https://www.boe.es/gazeta/dias/1805/12/03/pdfs/GMD-1805-97.pdf#page=4","Abrir facsímil")</f>
        <v>Abrir facsímil</v>
      </c>
      <c r="K999" s="15" t="s">
        <v>22</v>
      </c>
    </row>
    <row r="1000" spans="1:11" ht="42" customHeight="1">
      <c r="A1000" s="4" t="s">
        <v>2497</v>
      </c>
      <c r="B1000" s="5" t="s">
        <v>2498</v>
      </c>
      <c r="C1000" s="5" t="s">
        <v>35</v>
      </c>
      <c r="D1000" s="5" t="s">
        <v>36</v>
      </c>
      <c r="E1000" s="5" t="s">
        <v>512</v>
      </c>
      <c r="F1000" s="9">
        <v>100</v>
      </c>
      <c r="G1000" s="9">
        <v>1077</v>
      </c>
      <c r="H1000" s="5" t="s">
        <v>20</v>
      </c>
      <c r="I1000" s="5" t="s">
        <v>2500</v>
      </c>
      <c r="J1000" s="12" t="str">
        <f>HYPERLINK("https://www.boe.es/gazeta/dias/1805/12/13/pdfs/GMD-1805-100.pdf#page=5","Abrir facsímil")</f>
        <v>Abrir facsímil</v>
      </c>
      <c r="K1000" s="15" t="s">
        <v>22</v>
      </c>
    </row>
    <row r="1001" spans="1:11" ht="42" customHeight="1">
      <c r="A1001" s="4" t="s">
        <v>2501</v>
      </c>
      <c r="B1001" s="5" t="s">
        <v>2502</v>
      </c>
      <c r="C1001" s="5" t="s">
        <v>80</v>
      </c>
      <c r="D1001" s="5" t="s">
        <v>81</v>
      </c>
      <c r="E1001" s="5" t="s">
        <v>787</v>
      </c>
      <c r="F1001" s="9">
        <v>95</v>
      </c>
      <c r="G1001" s="9">
        <v>1015</v>
      </c>
      <c r="H1001" s="5" t="s">
        <v>20</v>
      </c>
      <c r="I1001" s="5" t="s">
        <v>2503</v>
      </c>
      <c r="J1001" s="12" t="str">
        <f>HYPERLINK("https://www.boe.es/gazeta/dias/1805/11/26/pdfs/GMD-1805-95.pdf#page=3","Abrir facsímil")</f>
        <v>Abrir facsímil</v>
      </c>
      <c r="K1001" s="15" t="s">
        <v>22</v>
      </c>
    </row>
    <row r="1002" spans="1:11" ht="42" customHeight="1">
      <c r="A1002" s="4" t="s">
        <v>2504</v>
      </c>
      <c r="B1002" s="5" t="s">
        <v>2505</v>
      </c>
      <c r="C1002" s="5" t="s">
        <v>35</v>
      </c>
      <c r="D1002" s="5" t="s">
        <v>36</v>
      </c>
      <c r="E1002" s="5" t="s">
        <v>217</v>
      </c>
      <c r="F1002" s="9">
        <v>96</v>
      </c>
      <c r="G1002" s="9">
        <v>1030</v>
      </c>
      <c r="H1002" s="5" t="s">
        <v>20</v>
      </c>
      <c r="I1002" s="5" t="s">
        <v>2506</v>
      </c>
      <c r="J1002" s="12" t="str">
        <f>HYPERLINK("https://www.boe.es/gazeta/dias/1805/11/29/pdfs/GMD-1805-96.pdf#page=6","Abrir facsímil")</f>
        <v>Abrir facsímil</v>
      </c>
      <c r="K1002" s="15" t="s">
        <v>22</v>
      </c>
    </row>
    <row r="1003" spans="1:11" ht="42" customHeight="1">
      <c r="A1003" s="4" t="s">
        <v>2507</v>
      </c>
      <c r="B1003" s="5" t="s">
        <v>2508</v>
      </c>
      <c r="C1003" s="5" t="s">
        <v>29</v>
      </c>
      <c r="D1003" s="5" t="s">
        <v>30</v>
      </c>
      <c r="E1003" s="5" t="s">
        <v>512</v>
      </c>
      <c r="F1003" s="9">
        <v>100</v>
      </c>
      <c r="G1003" s="9">
        <v>1078</v>
      </c>
      <c r="H1003" s="5" t="s">
        <v>20</v>
      </c>
      <c r="I1003" s="5" t="s">
        <v>2509</v>
      </c>
      <c r="J1003" s="12" t="str">
        <f>HYPERLINK("https://www.boe.es/gazeta/dias/1805/12/13/pdfs/GMD-1805-100.pdf#page=6","Abrir facsímil")</f>
        <v>Abrir facsímil</v>
      </c>
      <c r="K1003" s="15" t="s">
        <v>22</v>
      </c>
    </row>
    <row r="1004" spans="1:11" ht="42" customHeight="1">
      <c r="A1004" s="4" t="s">
        <v>2510</v>
      </c>
      <c r="B1004" s="5" t="s">
        <v>2511</v>
      </c>
      <c r="C1004" s="5" t="s">
        <v>35</v>
      </c>
      <c r="D1004" s="5" t="s">
        <v>36</v>
      </c>
      <c r="E1004" s="5" t="s">
        <v>864</v>
      </c>
      <c r="F1004" s="9">
        <v>88</v>
      </c>
      <c r="G1004" s="9">
        <v>936</v>
      </c>
      <c r="H1004" s="5" t="s">
        <v>20</v>
      </c>
      <c r="I1004" s="5" t="s">
        <v>2512</v>
      </c>
      <c r="J1004" s="12" t="str">
        <f>HYPERLINK("https://www.boe.es/gazeta/dias/1805/11/01/pdfs/GMD-1805-88.pdf#page=8","Abrir facsímil")</f>
        <v>Abrir facsímil</v>
      </c>
      <c r="K1004" s="15" t="s">
        <v>22</v>
      </c>
    </row>
    <row r="1005" spans="1:11" ht="42" customHeight="1">
      <c r="A1005" s="4" t="s">
        <v>2513</v>
      </c>
      <c r="B1005" s="5" t="s">
        <v>2514</v>
      </c>
      <c r="C1005" s="5" t="s">
        <v>80</v>
      </c>
      <c r="D1005" s="5" t="s">
        <v>81</v>
      </c>
      <c r="E1005" s="5" t="s">
        <v>67</v>
      </c>
      <c r="F1005" s="9">
        <v>98</v>
      </c>
      <c r="G1005" s="9">
        <v>1055</v>
      </c>
      <c r="H1005" s="5" t="s">
        <v>20</v>
      </c>
      <c r="I1005" s="5" t="s">
        <v>2515</v>
      </c>
      <c r="J1005" s="12" t="str">
        <f>HYPERLINK("https://www.boe.es/gazeta/dias/1805/12/06/pdfs/GMD-1805-98.pdf#page=7","Abrir facsímil")</f>
        <v>Abrir facsímil</v>
      </c>
      <c r="K1005" s="15" t="s">
        <v>22</v>
      </c>
    </row>
    <row r="1006" spans="1:11" ht="42" customHeight="1">
      <c r="A1006" s="4" t="s">
        <v>2516</v>
      </c>
      <c r="B1006" s="5" t="s">
        <v>2517</v>
      </c>
      <c r="C1006" s="5" t="s">
        <v>80</v>
      </c>
      <c r="D1006" s="5" t="s">
        <v>81</v>
      </c>
      <c r="E1006" s="5" t="s">
        <v>170</v>
      </c>
      <c r="F1006" s="9">
        <v>9</v>
      </c>
      <c r="G1006" s="9">
        <v>96</v>
      </c>
      <c r="H1006" s="5" t="s">
        <v>20</v>
      </c>
      <c r="I1006" s="5" t="s">
        <v>2518</v>
      </c>
      <c r="J1006" s="12" t="str">
        <f>HYPERLINK("https://www.boe.es/gazeta/dias/1805/01/29/pdfs/GMD-1805-9.pdf#page=4","Abrir facsímil")</f>
        <v>Abrir facsímil</v>
      </c>
      <c r="K1006" s="15" t="s">
        <v>22</v>
      </c>
    </row>
    <row r="1007" spans="1:11" ht="42" customHeight="1">
      <c r="A1007" s="4" t="s">
        <v>2519</v>
      </c>
      <c r="B1007" s="5" t="s">
        <v>2520</v>
      </c>
      <c r="C1007" s="5" t="s">
        <v>80</v>
      </c>
      <c r="D1007" s="5" t="s">
        <v>81</v>
      </c>
      <c r="E1007" s="5" t="s">
        <v>886</v>
      </c>
      <c r="F1007" s="9">
        <v>93</v>
      </c>
      <c r="G1007" s="9">
        <v>990</v>
      </c>
      <c r="H1007" s="5" t="s">
        <v>20</v>
      </c>
      <c r="I1007" s="5" t="s">
        <v>2521</v>
      </c>
      <c r="J1007" s="12" t="str">
        <f>HYPERLINK("https://www.boe.es/gazeta/dias/1805/11/19/pdfs/GMD-1805-93.pdf#page=2","Abrir facsímil")</f>
        <v>Abrir facsímil</v>
      </c>
      <c r="K1007" s="15" t="s">
        <v>22</v>
      </c>
    </row>
    <row r="1008" spans="1:11" ht="42" customHeight="1">
      <c r="A1008" s="4" t="s">
        <v>2522</v>
      </c>
      <c r="B1008" s="5" t="s">
        <v>2523</v>
      </c>
      <c r="C1008" s="5" t="s">
        <v>80</v>
      </c>
      <c r="D1008" s="5" t="s">
        <v>81</v>
      </c>
      <c r="E1008" s="5" t="s">
        <v>787</v>
      </c>
      <c r="F1008" s="9">
        <v>95</v>
      </c>
      <c r="G1008" s="9">
        <v>1015</v>
      </c>
      <c r="H1008" s="5" t="s">
        <v>20</v>
      </c>
      <c r="I1008" s="5" t="s">
        <v>2524</v>
      </c>
      <c r="J1008" s="12" t="str">
        <f>HYPERLINK("https://www.boe.es/gazeta/dias/1805/11/26/pdfs/GMD-1805-95.pdf#page=3","Abrir facsímil")</f>
        <v>Abrir facsímil</v>
      </c>
      <c r="K1008" s="15" t="s">
        <v>22</v>
      </c>
    </row>
    <row r="1009" spans="1:11" ht="42" customHeight="1">
      <c r="A1009" s="4" t="s">
        <v>2525</v>
      </c>
      <c r="B1009" s="5" t="s">
        <v>2526</v>
      </c>
      <c r="C1009" s="5" t="s">
        <v>80</v>
      </c>
      <c r="D1009" s="5" t="s">
        <v>81</v>
      </c>
      <c r="E1009" s="5" t="s">
        <v>144</v>
      </c>
      <c r="F1009" s="9">
        <v>85</v>
      </c>
      <c r="G1009" s="9">
        <v>895</v>
      </c>
      <c r="H1009" s="5" t="s">
        <v>20</v>
      </c>
      <c r="I1009" s="5" t="s">
        <v>2527</v>
      </c>
      <c r="J1009" s="12" t="str">
        <f>HYPERLINK("https://www.boe.es/gazeta/dias/1805/10/22/pdfs/GMD-1805-85.pdf#page=3","Abrir facsímil")</f>
        <v>Abrir facsímil</v>
      </c>
      <c r="K1009" s="15" t="s">
        <v>22</v>
      </c>
    </row>
    <row r="1010" spans="1:11" ht="42" customHeight="1">
      <c r="A1010" s="4" t="s">
        <v>2528</v>
      </c>
      <c r="B1010" s="5" t="s">
        <v>2529</v>
      </c>
      <c r="C1010" s="5" t="s">
        <v>52</v>
      </c>
      <c r="D1010" s="5" t="s">
        <v>53</v>
      </c>
      <c r="E1010" s="5" t="s">
        <v>54</v>
      </c>
      <c r="F1010" s="9">
        <v>99</v>
      </c>
      <c r="G1010" s="9" t="s">
        <v>159</v>
      </c>
      <c r="H1010" s="5" t="s">
        <v>20</v>
      </c>
      <c r="I1010" s="5" t="s">
        <v>2530</v>
      </c>
      <c r="J1010" s="12" t="str">
        <f>HYPERLINK("https://www.boe.es/gazeta/dias/1805/12/10/pdfs/GMD-C-1805-99.pdf#page=3","Abrir facsímil")</f>
        <v>Abrir facsímil</v>
      </c>
      <c r="K1010" s="15" t="s">
        <v>22</v>
      </c>
    </row>
    <row r="1011" spans="1:11" ht="42" customHeight="1">
      <c r="A1011" s="4" t="s">
        <v>2531</v>
      </c>
      <c r="B1011" s="5" t="s">
        <v>2532</v>
      </c>
      <c r="C1011" s="5" t="s">
        <v>80</v>
      </c>
      <c r="D1011" s="5" t="s">
        <v>81</v>
      </c>
      <c r="E1011" s="5" t="s">
        <v>67</v>
      </c>
      <c r="F1011" s="9">
        <v>98</v>
      </c>
      <c r="G1011" s="9">
        <v>1055</v>
      </c>
      <c r="H1011" s="5" t="s">
        <v>20</v>
      </c>
      <c r="I1011" s="5" t="s">
        <v>2533</v>
      </c>
      <c r="J1011" s="12" t="str">
        <f>HYPERLINK("https://www.boe.es/gazeta/dias/1805/12/06/pdfs/GMD-1805-98.pdf#page=7","Abrir facsímil")</f>
        <v>Abrir facsímil</v>
      </c>
      <c r="K1011" s="15" t="s">
        <v>22</v>
      </c>
    </row>
    <row r="1012" spans="1:11" ht="42" customHeight="1">
      <c r="A1012" s="4" t="s">
        <v>2534</v>
      </c>
      <c r="B1012" s="5" t="s">
        <v>2535</v>
      </c>
      <c r="C1012" s="5" t="s">
        <v>52</v>
      </c>
      <c r="D1012" s="5" t="s">
        <v>53</v>
      </c>
      <c r="E1012" s="5" t="s">
        <v>54</v>
      </c>
      <c r="F1012" s="9">
        <v>99</v>
      </c>
      <c r="G1012" s="9" t="s">
        <v>159</v>
      </c>
      <c r="H1012" s="5" t="s">
        <v>20</v>
      </c>
      <c r="I1012" s="5" t="s">
        <v>2536</v>
      </c>
      <c r="J1012" s="12" t="str">
        <f>HYPERLINK("https://www.boe.es/gazeta/dias/1805/12/10/pdfs/GMD-C-1805-99.pdf#page=3","Abrir facsímil")</f>
        <v>Abrir facsímil</v>
      </c>
      <c r="K1012" s="15" t="s">
        <v>22</v>
      </c>
    </row>
    <row r="1013" spans="1:11" ht="42" customHeight="1">
      <c r="A1013" s="4" t="s">
        <v>2537</v>
      </c>
      <c r="B1013" s="5" t="s">
        <v>2537</v>
      </c>
      <c r="C1013" s="5" t="s">
        <v>35</v>
      </c>
      <c r="D1013" s="5" t="s">
        <v>36</v>
      </c>
      <c r="E1013" s="5" t="s">
        <v>854</v>
      </c>
      <c r="F1013" s="9">
        <v>46</v>
      </c>
      <c r="G1013" s="9">
        <v>499</v>
      </c>
      <c r="H1013" s="5" t="s">
        <v>20</v>
      </c>
      <c r="I1013" s="5" t="s">
        <v>2538</v>
      </c>
      <c r="J1013" s="12" t="str">
        <f>HYPERLINK("https://www.boe.es/gazeta/dias/1805/06/07/pdfs/GMD-1805-46.pdf#page=11","Abrir facsímil")</f>
        <v>Abrir facsímil</v>
      </c>
      <c r="K1013" s="15" t="s">
        <v>22</v>
      </c>
    </row>
    <row r="1014" spans="1:11" ht="42" customHeight="1">
      <c r="A1014" s="4" t="s">
        <v>2539</v>
      </c>
      <c r="B1014" s="5" t="s">
        <v>2540</v>
      </c>
      <c r="C1014" s="5" t="s">
        <v>35</v>
      </c>
      <c r="D1014" s="5" t="s">
        <v>36</v>
      </c>
      <c r="E1014" s="5" t="s">
        <v>456</v>
      </c>
      <c r="F1014" s="9">
        <v>70</v>
      </c>
      <c r="G1014" s="9">
        <v>741</v>
      </c>
      <c r="H1014" s="5" t="s">
        <v>20</v>
      </c>
      <c r="I1014" s="5" t="s">
        <v>2541</v>
      </c>
      <c r="J1014" s="12" t="str">
        <f>HYPERLINK("https://www.boe.es/gazeta/dias/1805/08/30/pdfs/GMD-1805-70.pdf#page=1","Abrir facsímil")</f>
        <v>Abrir facsímil</v>
      </c>
      <c r="K1014" s="15" t="s">
        <v>22</v>
      </c>
    </row>
    <row r="1015" spans="1:11" ht="42" customHeight="1">
      <c r="A1015" s="4" t="s">
        <v>2542</v>
      </c>
      <c r="B1015" s="5" t="s">
        <v>2543</v>
      </c>
      <c r="C1015" s="5" t="s">
        <v>17</v>
      </c>
      <c r="D1015" s="5" t="s">
        <v>18</v>
      </c>
      <c r="E1015" s="5" t="s">
        <v>44</v>
      </c>
      <c r="F1015" s="9">
        <v>29</v>
      </c>
      <c r="G1015" s="9">
        <v>312</v>
      </c>
      <c r="H1015" s="5" t="s">
        <v>20</v>
      </c>
      <c r="I1015" s="5" t="s">
        <v>2544</v>
      </c>
      <c r="J1015" s="12" t="str">
        <f>HYPERLINK("https://www.boe.es/gazeta/dias/1805/04/09/pdfs/GMD-1805-29.pdf#page=8","Abrir facsímil")</f>
        <v>Abrir facsímil</v>
      </c>
      <c r="K1015" s="15" t="s">
        <v>22</v>
      </c>
    </row>
    <row r="1016" spans="1:11" ht="42" customHeight="1">
      <c r="A1016" s="4" t="s">
        <v>2545</v>
      </c>
      <c r="B1016" s="5" t="s">
        <v>2546</v>
      </c>
      <c r="C1016" s="5" t="s">
        <v>17</v>
      </c>
      <c r="D1016" s="5" t="s">
        <v>18</v>
      </c>
      <c r="E1016" s="5" t="s">
        <v>281</v>
      </c>
      <c r="F1016" s="9">
        <v>15</v>
      </c>
      <c r="G1016" s="9">
        <v>152</v>
      </c>
      <c r="H1016" s="5" t="s">
        <v>20</v>
      </c>
      <c r="I1016" s="5" t="s">
        <v>2547</v>
      </c>
      <c r="J1016" s="12" t="str">
        <f>HYPERLINK("https://www.boe.es/gazeta/dias/1805/02/19/pdfs/GMD-1805-15.pdf#page=4","Abrir facsímil")</f>
        <v>Abrir facsímil</v>
      </c>
      <c r="K1016" s="15" t="s">
        <v>22</v>
      </c>
    </row>
    <row r="1017" spans="1:11" ht="42" customHeight="1">
      <c r="A1017" s="4" t="s">
        <v>2548</v>
      </c>
      <c r="B1017" s="5" t="s">
        <v>2549</v>
      </c>
      <c r="C1017" s="5" t="s">
        <v>80</v>
      </c>
      <c r="D1017" s="5" t="s">
        <v>81</v>
      </c>
      <c r="E1017" s="5" t="s">
        <v>59</v>
      </c>
      <c r="F1017" s="9">
        <v>21</v>
      </c>
      <c r="G1017" s="9">
        <v>213</v>
      </c>
      <c r="H1017" s="5" t="s">
        <v>20</v>
      </c>
      <c r="I1017" s="5" t="s">
        <v>2550</v>
      </c>
      <c r="J1017" s="12" t="str">
        <f>HYPERLINK("https://www.boe.es/gazeta/dias/1805/03/12/pdfs/GMD-1805-21.pdf#page=1","Abrir facsímil")</f>
        <v>Abrir facsímil</v>
      </c>
      <c r="K1017" s="15" t="s">
        <v>22</v>
      </c>
    </row>
    <row r="1018" spans="1:11" ht="42" customHeight="1">
      <c r="A1018" s="4" t="s">
        <v>2548</v>
      </c>
      <c r="B1018" s="5" t="s">
        <v>2549</v>
      </c>
      <c r="C1018" s="5" t="s">
        <v>80</v>
      </c>
      <c r="D1018" s="5" t="s">
        <v>81</v>
      </c>
      <c r="E1018" s="5" t="s">
        <v>44</v>
      </c>
      <c r="F1018" s="9">
        <v>29</v>
      </c>
      <c r="G1018" s="9">
        <v>305</v>
      </c>
      <c r="H1018" s="5" t="s">
        <v>20</v>
      </c>
      <c r="I1018" s="5" t="s">
        <v>2551</v>
      </c>
      <c r="J1018" s="12" t="str">
        <f>HYPERLINK("https://www.boe.es/gazeta/dias/1805/04/09/pdfs/GMD-1805-29.pdf#page=1","Abrir facsímil")</f>
        <v>Abrir facsímil</v>
      </c>
      <c r="K1018" s="15" t="s">
        <v>22</v>
      </c>
    </row>
    <row r="1019" spans="1:11" ht="42" customHeight="1">
      <c r="A1019" s="4" t="s">
        <v>2548</v>
      </c>
      <c r="B1019" s="5" t="s">
        <v>2549</v>
      </c>
      <c r="C1019" s="5" t="s">
        <v>80</v>
      </c>
      <c r="D1019" s="5" t="s">
        <v>81</v>
      </c>
      <c r="E1019" s="5" t="s">
        <v>1187</v>
      </c>
      <c r="F1019" s="9">
        <v>40</v>
      </c>
      <c r="G1019" s="9">
        <v>425</v>
      </c>
      <c r="H1019" s="5" t="s">
        <v>20</v>
      </c>
      <c r="I1019" s="5" t="s">
        <v>2552</v>
      </c>
      <c r="J1019" s="12" t="str">
        <f>HYPERLINK("https://www.boe.es/gazeta/dias/1805/05/17/pdfs/GMD-1805-40.pdf#page=1","Abrir facsímil")</f>
        <v>Abrir facsímil</v>
      </c>
      <c r="K1019" s="15" t="s">
        <v>22</v>
      </c>
    </row>
    <row r="1020" spans="1:11" ht="42" customHeight="1">
      <c r="A1020" s="4" t="s">
        <v>2548</v>
      </c>
      <c r="B1020" s="5" t="s">
        <v>2549</v>
      </c>
      <c r="C1020" s="5" t="s">
        <v>17</v>
      </c>
      <c r="D1020" s="5" t="s">
        <v>18</v>
      </c>
      <c r="E1020" s="5" t="s">
        <v>1292</v>
      </c>
      <c r="F1020" s="9">
        <v>43</v>
      </c>
      <c r="G1020" s="9">
        <v>462</v>
      </c>
      <c r="H1020" s="5" t="s">
        <v>20</v>
      </c>
      <c r="I1020" s="5" t="s">
        <v>2553</v>
      </c>
      <c r="J1020" s="12" t="str">
        <f>HYPERLINK("https://www.boe.es/gazeta/dias/1805/05/28/pdfs/GMD-1805-43.pdf#page=6","Abrir facsímil")</f>
        <v>Abrir facsímil</v>
      </c>
      <c r="K1020" s="15" t="s">
        <v>22</v>
      </c>
    </row>
    <row r="1021" spans="1:11" ht="42" customHeight="1">
      <c r="A1021" s="4" t="s">
        <v>2548</v>
      </c>
      <c r="B1021" s="5" t="s">
        <v>2549</v>
      </c>
      <c r="C1021" s="5" t="s">
        <v>184</v>
      </c>
      <c r="D1021" s="5" t="s">
        <v>86</v>
      </c>
      <c r="E1021" s="5" t="s">
        <v>567</v>
      </c>
      <c r="F1021" s="9">
        <v>49</v>
      </c>
      <c r="G1021" s="9">
        <v>526</v>
      </c>
      <c r="H1021" s="5" t="s">
        <v>20</v>
      </c>
      <c r="I1021" s="5" t="s">
        <v>2554</v>
      </c>
      <c r="J1021" s="12" t="str">
        <f>HYPERLINK("https://www.boe.es/gazeta/dias/1805/06/18/pdfs/GMD-1805-49.pdf#page=2","Abrir facsímil")</f>
        <v>Abrir facsímil</v>
      </c>
      <c r="K1021" s="15" t="s">
        <v>22</v>
      </c>
    </row>
    <row r="1022" spans="1:11" ht="42" customHeight="1">
      <c r="A1022" s="4" t="s">
        <v>2548</v>
      </c>
      <c r="B1022" s="5" t="s">
        <v>2549</v>
      </c>
      <c r="C1022" s="5" t="s">
        <v>80</v>
      </c>
      <c r="D1022" s="5" t="s">
        <v>81</v>
      </c>
      <c r="E1022" s="5" t="s">
        <v>506</v>
      </c>
      <c r="F1022" s="9">
        <v>80</v>
      </c>
      <c r="G1022" s="9">
        <v>841</v>
      </c>
      <c r="H1022" s="5" t="s">
        <v>20</v>
      </c>
      <c r="I1022" s="5" t="s">
        <v>2555</v>
      </c>
      <c r="J1022" s="12" t="str">
        <f>HYPERLINK("https://www.boe.es/gazeta/dias/1805/10/04/pdfs/GMD-1805-80.pdf#page=1","Abrir facsímil")</f>
        <v>Abrir facsímil</v>
      </c>
      <c r="K1022" s="15" t="s">
        <v>22</v>
      </c>
    </row>
    <row r="1023" spans="1:11" ht="42" customHeight="1">
      <c r="A1023" s="4" t="s">
        <v>2548</v>
      </c>
      <c r="B1023" s="5" t="s">
        <v>2549</v>
      </c>
      <c r="C1023" s="5" t="s">
        <v>80</v>
      </c>
      <c r="D1023" s="5" t="s">
        <v>81</v>
      </c>
      <c r="E1023" s="5" t="s">
        <v>99</v>
      </c>
      <c r="F1023" s="9">
        <v>83</v>
      </c>
      <c r="G1023" s="9">
        <v>875</v>
      </c>
      <c r="H1023" s="5" t="s">
        <v>20</v>
      </c>
      <c r="I1023" s="5" t="s">
        <v>2556</v>
      </c>
      <c r="J1023" s="12" t="str">
        <f>HYPERLINK("https://www.boe.es/gazeta/dias/1805/10/15/pdfs/GMD-1805-83.pdf#page=3","Abrir facsímil")</f>
        <v>Abrir facsímil</v>
      </c>
      <c r="K1023" s="15" t="s">
        <v>22</v>
      </c>
    </row>
    <row r="1024" spans="1:11" ht="42" customHeight="1">
      <c r="A1024" s="4" t="s">
        <v>2548</v>
      </c>
      <c r="B1024" s="5" t="s">
        <v>2549</v>
      </c>
      <c r="C1024" s="5" t="s">
        <v>80</v>
      </c>
      <c r="D1024" s="5" t="s">
        <v>81</v>
      </c>
      <c r="E1024" s="5" t="s">
        <v>669</v>
      </c>
      <c r="F1024" s="9">
        <v>84</v>
      </c>
      <c r="G1024" s="9">
        <v>888</v>
      </c>
      <c r="H1024" s="5" t="s">
        <v>20</v>
      </c>
      <c r="I1024" s="5" t="s">
        <v>2557</v>
      </c>
      <c r="J1024" s="12" t="str">
        <f>HYPERLINK("https://www.boe.es/gazeta/dias/1805/10/18/pdfs/GMD-1805-84.pdf#page=4","Abrir facsímil")</f>
        <v>Abrir facsímil</v>
      </c>
      <c r="K1024" s="15" t="s">
        <v>22</v>
      </c>
    </row>
    <row r="1025" spans="1:11" ht="42" customHeight="1">
      <c r="A1025" s="4" t="s">
        <v>2548</v>
      </c>
      <c r="B1025" s="5" t="s">
        <v>2549</v>
      </c>
      <c r="C1025" s="5" t="s">
        <v>80</v>
      </c>
      <c r="D1025" s="5" t="s">
        <v>81</v>
      </c>
      <c r="E1025" s="5" t="s">
        <v>63</v>
      </c>
      <c r="F1025" s="9">
        <v>101</v>
      </c>
      <c r="G1025" s="9">
        <v>1085</v>
      </c>
      <c r="H1025" s="5" t="s">
        <v>20</v>
      </c>
      <c r="I1025" s="5" t="s">
        <v>2558</v>
      </c>
      <c r="J1025" s="12" t="str">
        <f>HYPERLINK("https://www.boe.es/gazeta/dias/1805/12/17/pdfs/GMD-1805-101.pdf#page=1","Abrir facsímil")</f>
        <v>Abrir facsímil</v>
      </c>
      <c r="K1025" s="15" t="s">
        <v>22</v>
      </c>
    </row>
    <row r="1026" spans="1:11" ht="42" customHeight="1">
      <c r="A1026" s="4" t="s">
        <v>2548</v>
      </c>
      <c r="B1026" s="5" t="s">
        <v>2549</v>
      </c>
      <c r="C1026" s="5" t="s">
        <v>80</v>
      </c>
      <c r="D1026" s="5" t="s">
        <v>81</v>
      </c>
      <c r="E1026" s="5" t="s">
        <v>789</v>
      </c>
      <c r="F1026" s="9">
        <v>104</v>
      </c>
      <c r="G1026" s="9">
        <v>1117</v>
      </c>
      <c r="H1026" s="5" t="s">
        <v>20</v>
      </c>
      <c r="I1026" s="5" t="s">
        <v>2559</v>
      </c>
      <c r="J1026" s="12" t="str">
        <f>HYPERLINK("https://www.boe.es/gazeta/dias/1805/12/27/pdfs/GMD-1805-104.pdf#page=1","Abrir facsímil")</f>
        <v>Abrir facsímil</v>
      </c>
      <c r="K1026" s="15" t="s">
        <v>22</v>
      </c>
    </row>
    <row r="1027" spans="1:11" ht="42" customHeight="1">
      <c r="A1027" s="4" t="s">
        <v>2548</v>
      </c>
      <c r="B1027" s="5" t="s">
        <v>2549</v>
      </c>
      <c r="C1027" s="5" t="s">
        <v>80</v>
      </c>
      <c r="D1027" s="5" t="s">
        <v>81</v>
      </c>
      <c r="E1027" s="5" t="s">
        <v>789</v>
      </c>
      <c r="F1027" s="9">
        <v>104</v>
      </c>
      <c r="G1027" s="9">
        <v>1121</v>
      </c>
      <c r="H1027" s="5" t="s">
        <v>20</v>
      </c>
      <c r="I1027" s="5" t="s">
        <v>2560</v>
      </c>
      <c r="J1027" s="12" t="str">
        <f>HYPERLINK("https://www.boe.es/gazeta/dias/1805/12/27/pdfs/GMD-1805-104.pdf#page=5","Abrir facsímil")</f>
        <v>Abrir facsímil</v>
      </c>
      <c r="K1027" s="15" t="s">
        <v>22</v>
      </c>
    </row>
    <row r="1028" spans="1:11" ht="42" customHeight="1">
      <c r="A1028" s="4" t="s">
        <v>2561</v>
      </c>
      <c r="B1028" s="5" t="s">
        <v>2561</v>
      </c>
      <c r="C1028" s="5" t="s">
        <v>80</v>
      </c>
      <c r="D1028" s="5" t="s">
        <v>81</v>
      </c>
      <c r="E1028" s="5" t="s">
        <v>1132</v>
      </c>
      <c r="F1028" s="9">
        <v>72</v>
      </c>
      <c r="G1028" s="9">
        <v>763</v>
      </c>
      <c r="H1028" s="5" t="s">
        <v>20</v>
      </c>
      <c r="I1028" s="5" t="s">
        <v>2562</v>
      </c>
      <c r="J1028" s="12" t="str">
        <f>HYPERLINK("https://www.boe.es/gazeta/dias/1805/09/06/pdfs/GMD-1805-72.pdf#page=3","Abrir facsímil")</f>
        <v>Abrir facsímil</v>
      </c>
      <c r="K1028" s="15" t="s">
        <v>22</v>
      </c>
    </row>
    <row r="1029" spans="1:11" ht="42" customHeight="1">
      <c r="A1029" s="4" t="s">
        <v>2563</v>
      </c>
      <c r="B1029" s="5" t="s">
        <v>2563</v>
      </c>
      <c r="C1029" s="5" t="s">
        <v>35</v>
      </c>
      <c r="D1029" s="5" t="s">
        <v>36</v>
      </c>
      <c r="E1029" s="5" t="s">
        <v>1432</v>
      </c>
      <c r="F1029" s="9">
        <v>53</v>
      </c>
      <c r="G1029" s="9">
        <v>565</v>
      </c>
      <c r="H1029" s="5" t="s">
        <v>20</v>
      </c>
      <c r="I1029" s="5" t="s">
        <v>2564</v>
      </c>
      <c r="J1029" s="12" t="str">
        <f>HYPERLINK("https://www.boe.es/gazeta/dias/1805/07/02/pdfs/GMD-1805-53.pdf#page=1","Abrir facsímil")</f>
        <v>Abrir facsímil</v>
      </c>
      <c r="K1029" s="15" t="s">
        <v>22</v>
      </c>
    </row>
    <row r="1030" spans="1:11" ht="42" customHeight="1">
      <c r="A1030" s="4" t="s">
        <v>2565</v>
      </c>
      <c r="B1030" s="5" t="s">
        <v>2565</v>
      </c>
      <c r="C1030" s="5" t="s">
        <v>35</v>
      </c>
      <c r="D1030" s="5" t="s">
        <v>36</v>
      </c>
      <c r="E1030" s="5" t="s">
        <v>1292</v>
      </c>
      <c r="F1030" s="9">
        <v>43</v>
      </c>
      <c r="G1030" s="9">
        <v>460</v>
      </c>
      <c r="H1030" s="5" t="s">
        <v>20</v>
      </c>
      <c r="I1030" s="5" t="s">
        <v>2566</v>
      </c>
      <c r="J1030" s="12" t="str">
        <f>HYPERLINK("https://www.boe.es/gazeta/dias/1805/05/28/pdfs/GMD-1805-43.pdf#page=4","Abrir facsímil")</f>
        <v>Abrir facsímil</v>
      </c>
      <c r="K1030" s="15" t="s">
        <v>22</v>
      </c>
    </row>
    <row r="1031" spans="1:11" ht="42" customHeight="1">
      <c r="A1031" s="4" t="s">
        <v>2567</v>
      </c>
      <c r="B1031" s="5" t="s">
        <v>2567</v>
      </c>
      <c r="C1031" s="5" t="s">
        <v>80</v>
      </c>
      <c r="D1031" s="5" t="s">
        <v>81</v>
      </c>
      <c r="E1031" s="5" t="s">
        <v>645</v>
      </c>
      <c r="F1031" s="9">
        <v>55</v>
      </c>
      <c r="G1031" s="9">
        <v>581</v>
      </c>
      <c r="H1031" s="5" t="s">
        <v>20</v>
      </c>
      <c r="I1031" s="5" t="s">
        <v>2568</v>
      </c>
      <c r="J1031" s="12" t="str">
        <f>HYPERLINK("https://www.boe.es/gazeta/dias/1805/07/09/pdfs/GMD-1805-55.pdf#page=1","Abrir facsímil")</f>
        <v>Abrir facsímil</v>
      </c>
      <c r="K1031" s="15" t="s">
        <v>22</v>
      </c>
    </row>
    <row r="1032" spans="1:11" ht="42" customHeight="1">
      <c r="A1032" s="4" t="s">
        <v>2569</v>
      </c>
      <c r="B1032" s="5" t="s">
        <v>2569</v>
      </c>
      <c r="C1032" s="5" t="s">
        <v>17</v>
      </c>
      <c r="D1032" s="5" t="s">
        <v>18</v>
      </c>
      <c r="E1032" s="5" t="s">
        <v>91</v>
      </c>
      <c r="F1032" s="9">
        <v>28</v>
      </c>
      <c r="G1032" s="9">
        <v>298</v>
      </c>
      <c r="H1032" s="5" t="s">
        <v>20</v>
      </c>
      <c r="I1032" s="5" t="s">
        <v>2570</v>
      </c>
      <c r="J1032" s="12" t="str">
        <f>HYPERLINK("https://www.boe.es/gazeta/dias/1805/04/05/pdfs/GMD-1805-28.pdf#page=6","Abrir facsímil")</f>
        <v>Abrir facsímil</v>
      </c>
      <c r="K1032" s="15" t="s">
        <v>22</v>
      </c>
    </row>
    <row r="1033" spans="1:11" ht="42" customHeight="1">
      <c r="A1033" s="4" t="s">
        <v>2571</v>
      </c>
      <c r="B1033" s="5" t="s">
        <v>2571</v>
      </c>
      <c r="C1033" s="5" t="s">
        <v>35</v>
      </c>
      <c r="D1033" s="5" t="s">
        <v>36</v>
      </c>
      <c r="E1033" s="5" t="s">
        <v>1292</v>
      </c>
      <c r="F1033" s="9">
        <v>43</v>
      </c>
      <c r="G1033" s="9">
        <v>460</v>
      </c>
      <c r="H1033" s="5" t="s">
        <v>20</v>
      </c>
      <c r="I1033" s="5" t="s">
        <v>2572</v>
      </c>
      <c r="J1033" s="12" t="str">
        <f>HYPERLINK("https://www.boe.es/gazeta/dias/1805/05/28/pdfs/GMD-1805-43.pdf#page=4","Abrir facsímil")</f>
        <v>Abrir facsímil</v>
      </c>
      <c r="K1033" s="15" t="s">
        <v>22</v>
      </c>
    </row>
    <row r="1034" spans="1:11" ht="42" customHeight="1">
      <c r="A1034" s="4" t="s">
        <v>2573</v>
      </c>
      <c r="B1034" s="5" t="s">
        <v>2573</v>
      </c>
      <c r="C1034" s="5" t="s">
        <v>17</v>
      </c>
      <c r="D1034" s="5" t="s">
        <v>18</v>
      </c>
      <c r="E1034" s="5" t="s">
        <v>59</v>
      </c>
      <c r="F1034" s="9">
        <v>21</v>
      </c>
      <c r="G1034" s="9">
        <v>216</v>
      </c>
      <c r="H1034" s="5" t="s">
        <v>20</v>
      </c>
      <c r="I1034" s="5" t="s">
        <v>2574</v>
      </c>
      <c r="J1034" s="12" t="str">
        <f>HYPERLINK("https://www.boe.es/gazeta/dias/1805/03/12/pdfs/GMD-1805-21.pdf#page=4","Abrir facsímil")</f>
        <v>Abrir facsímil</v>
      </c>
      <c r="K1034" s="15" t="s">
        <v>22</v>
      </c>
    </row>
    <row r="1035" spans="1:11" ht="42" customHeight="1">
      <c r="A1035" s="4" t="s">
        <v>2575</v>
      </c>
      <c r="B1035" s="5" t="s">
        <v>2576</v>
      </c>
      <c r="C1035" s="5" t="s">
        <v>52</v>
      </c>
      <c r="D1035" s="5" t="s">
        <v>53</v>
      </c>
      <c r="E1035" s="5" t="s">
        <v>144</v>
      </c>
      <c r="F1035" s="9">
        <v>85</v>
      </c>
      <c r="G1035" s="9" t="s">
        <v>222</v>
      </c>
      <c r="H1035" s="5" t="s">
        <v>20</v>
      </c>
      <c r="I1035" s="5" t="s">
        <v>2577</v>
      </c>
      <c r="J1035" s="12" t="str">
        <f>HYPERLINK("https://www.boe.es/gazeta/dias/1805/10/22/pdfs/GMD-C-1805-85.pdf#page=1","Abrir facsímil")</f>
        <v>Abrir facsímil</v>
      </c>
      <c r="K1035" s="15" t="s">
        <v>22</v>
      </c>
    </row>
    <row r="1036" spans="1:11" ht="42" customHeight="1">
      <c r="A1036" s="4" t="s">
        <v>2578</v>
      </c>
      <c r="B1036" s="5" t="s">
        <v>2579</v>
      </c>
      <c r="C1036" s="5" t="s">
        <v>80</v>
      </c>
      <c r="D1036" s="5" t="s">
        <v>81</v>
      </c>
      <c r="E1036" s="5" t="s">
        <v>87</v>
      </c>
      <c r="F1036" s="9">
        <v>14</v>
      </c>
      <c r="G1036" s="9">
        <v>142</v>
      </c>
      <c r="H1036" s="5" t="s">
        <v>20</v>
      </c>
      <c r="I1036" s="5" t="s">
        <v>2580</v>
      </c>
      <c r="J1036" s="12" t="str">
        <f>HYPERLINK("https://www.boe.es/gazeta/dias/1805/02/15/pdfs/GMD-1805-14.pdf#page=2","Abrir facsímil")</f>
        <v>Abrir facsímil</v>
      </c>
      <c r="K1036" s="15" t="s">
        <v>22</v>
      </c>
    </row>
    <row r="1037" spans="1:11" ht="42" customHeight="1">
      <c r="A1037" s="4" t="s">
        <v>2578</v>
      </c>
      <c r="B1037" s="5" t="s">
        <v>2579</v>
      </c>
      <c r="C1037" s="5" t="s">
        <v>80</v>
      </c>
      <c r="D1037" s="5" t="s">
        <v>81</v>
      </c>
      <c r="E1037" s="5" t="s">
        <v>335</v>
      </c>
      <c r="F1037" s="9">
        <v>79</v>
      </c>
      <c r="G1037" s="9">
        <v>833</v>
      </c>
      <c r="H1037" s="5" t="s">
        <v>20</v>
      </c>
      <c r="I1037" s="5" t="s">
        <v>2581</v>
      </c>
      <c r="J1037" s="12" t="str">
        <f>HYPERLINK("https://www.boe.es/gazeta/dias/1805/10/01/pdfs/GMD-1805-79.pdf#page=5","Abrir facsímil")</f>
        <v>Abrir facsímil</v>
      </c>
      <c r="K1037" s="15" t="s">
        <v>22</v>
      </c>
    </row>
    <row r="1038" spans="1:11" ht="42" customHeight="1">
      <c r="A1038" s="4" t="s">
        <v>2582</v>
      </c>
      <c r="B1038" s="5" t="s">
        <v>2583</v>
      </c>
      <c r="C1038" s="5" t="s">
        <v>85</v>
      </c>
      <c r="D1038" s="5" t="s">
        <v>86</v>
      </c>
      <c r="E1038" s="5" t="s">
        <v>1445</v>
      </c>
      <c r="F1038" s="9">
        <v>6</v>
      </c>
      <c r="G1038" s="9">
        <v>66</v>
      </c>
      <c r="H1038" s="5" t="s">
        <v>20</v>
      </c>
      <c r="I1038" s="5" t="s">
        <v>2584</v>
      </c>
      <c r="J1038" s="12" t="str">
        <f>HYPERLINK("https://www.boe.es/gazeta/dias/1805/01/18/pdfs/GMD-1805-6.pdf#page=10","Abrir facsímil")</f>
        <v>Abrir facsímil</v>
      </c>
      <c r="K1038" s="15" t="s">
        <v>22</v>
      </c>
    </row>
    <row r="1039" spans="1:11" ht="42" customHeight="1">
      <c r="A1039" s="4" t="s">
        <v>2585</v>
      </c>
      <c r="B1039" s="5" t="s">
        <v>2586</v>
      </c>
      <c r="C1039" s="5" t="s">
        <v>52</v>
      </c>
      <c r="D1039" s="5" t="s">
        <v>53</v>
      </c>
      <c r="E1039" s="5" t="s">
        <v>54</v>
      </c>
      <c r="F1039" s="9">
        <v>99</v>
      </c>
      <c r="G1039" s="9" t="s">
        <v>159</v>
      </c>
      <c r="H1039" s="5" t="s">
        <v>20</v>
      </c>
      <c r="I1039" s="5" t="s">
        <v>2587</v>
      </c>
      <c r="J1039" s="12" t="str">
        <f>HYPERLINK("https://www.boe.es/gazeta/dias/1805/12/10/pdfs/GMD-C-1805-99.pdf#page=3","Abrir facsímil")</f>
        <v>Abrir facsímil</v>
      </c>
      <c r="K1039" s="15" t="s">
        <v>22</v>
      </c>
    </row>
    <row r="1040" spans="1:11" ht="42" customHeight="1">
      <c r="A1040" s="4" t="s">
        <v>2588</v>
      </c>
      <c r="B1040" s="5" t="s">
        <v>2589</v>
      </c>
      <c r="C1040" s="5" t="s">
        <v>85</v>
      </c>
      <c r="D1040" s="5" t="s">
        <v>86</v>
      </c>
      <c r="E1040" s="5" t="s">
        <v>138</v>
      </c>
      <c r="F1040" s="9">
        <v>102</v>
      </c>
      <c r="G1040" s="9">
        <v>1103</v>
      </c>
      <c r="H1040" s="5" t="s">
        <v>20</v>
      </c>
      <c r="I1040" s="5" t="s">
        <v>2590</v>
      </c>
      <c r="J1040" s="12" t="str">
        <f>HYPERLINK("https://www.boe.es/gazeta/dias/1805/12/20/pdfs/GMD-1805-102.pdf#page=7","Abrir facsímil")</f>
        <v>Abrir facsímil</v>
      </c>
      <c r="K1040" s="15" t="s">
        <v>22</v>
      </c>
    </row>
    <row r="1041" spans="1:11" ht="42" customHeight="1">
      <c r="A1041" s="4" t="s">
        <v>2591</v>
      </c>
      <c r="B1041" s="5" t="s">
        <v>2592</v>
      </c>
      <c r="C1041" s="5" t="s">
        <v>17</v>
      </c>
      <c r="D1041" s="5" t="s">
        <v>18</v>
      </c>
      <c r="E1041" s="5" t="s">
        <v>495</v>
      </c>
      <c r="F1041" s="9">
        <v>103</v>
      </c>
      <c r="G1041" s="9">
        <v>1113</v>
      </c>
      <c r="H1041" s="5" t="s">
        <v>20</v>
      </c>
      <c r="I1041" s="5" t="s">
        <v>2593</v>
      </c>
      <c r="J1041" s="12" t="str">
        <f>HYPERLINK("https://www.boe.es/gazeta/dias/1805/12/24/pdfs/GMD-1805-103.pdf#page=5","Abrir facsímil")</f>
        <v>Abrir facsímil</v>
      </c>
      <c r="K1041" s="15" t="s">
        <v>22</v>
      </c>
    </row>
    <row r="1042" spans="1:11" ht="42" customHeight="1">
      <c r="A1042" s="4" t="s">
        <v>2594</v>
      </c>
      <c r="B1042" s="5" t="s">
        <v>2595</v>
      </c>
      <c r="C1042" s="5" t="s">
        <v>35</v>
      </c>
      <c r="D1042" s="5" t="s">
        <v>36</v>
      </c>
      <c r="E1042" s="5" t="s">
        <v>456</v>
      </c>
      <c r="F1042" s="9">
        <v>70</v>
      </c>
      <c r="G1042" s="9">
        <v>743</v>
      </c>
      <c r="H1042" s="5" t="s">
        <v>20</v>
      </c>
      <c r="I1042" s="5" t="s">
        <v>2596</v>
      </c>
      <c r="J1042" s="12" t="str">
        <f>HYPERLINK("https://www.boe.es/gazeta/dias/1805/08/30/pdfs/GMD-1805-70.pdf#page=3","Abrir facsímil")</f>
        <v>Abrir facsímil</v>
      </c>
      <c r="K1042" s="15" t="s">
        <v>22</v>
      </c>
    </row>
    <row r="1043" spans="1:11" ht="42" customHeight="1">
      <c r="A1043" s="4" t="s">
        <v>2597</v>
      </c>
      <c r="B1043" s="5" t="s">
        <v>2598</v>
      </c>
      <c r="C1043" s="5" t="s">
        <v>80</v>
      </c>
      <c r="D1043" s="5" t="s">
        <v>81</v>
      </c>
      <c r="E1043" s="5" t="s">
        <v>135</v>
      </c>
      <c r="F1043" s="9">
        <v>71</v>
      </c>
      <c r="G1043" s="9">
        <v>751</v>
      </c>
      <c r="H1043" s="5" t="s">
        <v>20</v>
      </c>
      <c r="I1043" s="5" t="s">
        <v>2599</v>
      </c>
      <c r="J1043" s="12" t="str">
        <f>HYPERLINK("https://www.boe.es/gazeta/dias/1805/09/03/pdfs/GMD-1805-71.pdf#page=3","Abrir facsímil")</f>
        <v>Abrir facsímil</v>
      </c>
      <c r="K1043" s="15" t="s">
        <v>22</v>
      </c>
    </row>
    <row r="1044" spans="1:11" ht="42" customHeight="1">
      <c r="A1044" s="4" t="s">
        <v>2600</v>
      </c>
      <c r="B1044" s="5" t="s">
        <v>2601</v>
      </c>
      <c r="C1044" s="5" t="s">
        <v>80</v>
      </c>
      <c r="D1044" s="5" t="s">
        <v>81</v>
      </c>
      <c r="E1044" s="5" t="s">
        <v>209</v>
      </c>
      <c r="F1044" s="9">
        <v>89</v>
      </c>
      <c r="G1044" s="9">
        <v>944</v>
      </c>
      <c r="H1044" s="5" t="s">
        <v>20</v>
      </c>
      <c r="I1044" s="5" t="s">
        <v>2602</v>
      </c>
      <c r="J1044" s="12" t="str">
        <f>HYPERLINK("https://www.boe.es/gazeta/dias/1805/11/05/pdfs/GMD-1805-89.pdf#page=4","Abrir facsímil")</f>
        <v>Abrir facsímil</v>
      </c>
      <c r="K1044" s="15" t="s">
        <v>22</v>
      </c>
    </row>
    <row r="1045" spans="1:11" ht="42" customHeight="1">
      <c r="A1045" s="4" t="s">
        <v>2603</v>
      </c>
      <c r="B1045" s="5" t="s">
        <v>2604</v>
      </c>
      <c r="C1045" s="5" t="s">
        <v>29</v>
      </c>
      <c r="D1045" s="5" t="s">
        <v>30</v>
      </c>
      <c r="E1045" s="5" t="s">
        <v>293</v>
      </c>
      <c r="F1045" s="9">
        <v>5</v>
      </c>
      <c r="G1045" s="9">
        <v>47</v>
      </c>
      <c r="H1045" s="5" t="s">
        <v>20</v>
      </c>
      <c r="I1045" s="5" t="s">
        <v>2605</v>
      </c>
      <c r="J1045" s="12" t="str">
        <f>HYPERLINK("https://www.boe.es/gazeta/dias/1805/01/15/pdfs/GMD-1805-5.pdf#page=3","Abrir facsímil")</f>
        <v>Abrir facsímil</v>
      </c>
      <c r="K1045" s="15" t="s">
        <v>22</v>
      </c>
    </row>
    <row r="1046" spans="1:11" ht="42" customHeight="1">
      <c r="A1046" s="4" t="s">
        <v>2603</v>
      </c>
      <c r="B1046" s="5" t="s">
        <v>2604</v>
      </c>
      <c r="C1046" s="5" t="s">
        <v>17</v>
      </c>
      <c r="D1046" s="5" t="s">
        <v>18</v>
      </c>
      <c r="E1046" s="5" t="s">
        <v>440</v>
      </c>
      <c r="F1046" s="9">
        <v>27</v>
      </c>
      <c r="G1046" s="9">
        <v>283</v>
      </c>
      <c r="H1046" s="5" t="s">
        <v>20</v>
      </c>
      <c r="I1046" s="5" t="s">
        <v>2606</v>
      </c>
      <c r="J1046" s="12" t="str">
        <f>HYPERLINK("https://www.boe.es/gazeta/dias/1805/04/02/pdfs/GMD-1805-27.pdf#page=3","Abrir facsímil")</f>
        <v>Abrir facsímil</v>
      </c>
      <c r="K1046" s="15" t="s">
        <v>22</v>
      </c>
    </row>
    <row r="1047" spans="1:11" ht="42" customHeight="1">
      <c r="A1047" s="4" t="s">
        <v>2603</v>
      </c>
      <c r="B1047" s="5" t="s">
        <v>2604</v>
      </c>
      <c r="C1047" s="5" t="s">
        <v>184</v>
      </c>
      <c r="D1047" s="5" t="s">
        <v>86</v>
      </c>
      <c r="E1047" s="5" t="s">
        <v>1494</v>
      </c>
      <c r="F1047" s="9">
        <v>31</v>
      </c>
      <c r="G1047" s="9">
        <v>328</v>
      </c>
      <c r="H1047" s="5" t="s">
        <v>20</v>
      </c>
      <c r="I1047" s="5" t="s">
        <v>2607</v>
      </c>
      <c r="J1047" s="12" t="str">
        <f>HYPERLINK("https://www.boe.es/gazeta/dias/1805/04/16/pdfs/GMD-1805-31.pdf#page=4","Abrir facsímil")</f>
        <v>Abrir facsímil</v>
      </c>
      <c r="K1047" s="15" t="s">
        <v>22</v>
      </c>
    </row>
    <row r="1048" spans="1:11" ht="42" customHeight="1">
      <c r="A1048" s="4" t="s">
        <v>2603</v>
      </c>
      <c r="B1048" s="5" t="s">
        <v>2604</v>
      </c>
      <c r="C1048" s="5" t="s">
        <v>80</v>
      </c>
      <c r="D1048" s="5" t="s">
        <v>81</v>
      </c>
      <c r="E1048" s="5" t="s">
        <v>673</v>
      </c>
      <c r="F1048" s="9">
        <v>32</v>
      </c>
      <c r="G1048" s="9">
        <v>339</v>
      </c>
      <c r="H1048" s="5" t="s">
        <v>20</v>
      </c>
      <c r="I1048" s="5" t="s">
        <v>2608</v>
      </c>
      <c r="J1048" s="12" t="str">
        <f>HYPERLINK("https://www.boe.es/gazeta/dias/1805/04/19/pdfs/GMD-1805-32.pdf#page=3","Abrir facsímil")</f>
        <v>Abrir facsímil</v>
      </c>
      <c r="K1048" s="15" t="s">
        <v>22</v>
      </c>
    </row>
    <row r="1049" spans="1:11" ht="42" customHeight="1">
      <c r="A1049" s="4" t="s">
        <v>2603</v>
      </c>
      <c r="B1049" s="5" t="s">
        <v>2604</v>
      </c>
      <c r="C1049" s="5" t="s">
        <v>17</v>
      </c>
      <c r="D1049" s="5" t="s">
        <v>18</v>
      </c>
      <c r="E1049" s="5" t="s">
        <v>1292</v>
      </c>
      <c r="F1049" s="9">
        <v>43</v>
      </c>
      <c r="G1049" s="9">
        <v>458</v>
      </c>
      <c r="H1049" s="5" t="s">
        <v>20</v>
      </c>
      <c r="I1049" s="5" t="s">
        <v>2609</v>
      </c>
      <c r="J1049" s="12" t="str">
        <f>HYPERLINK("https://www.boe.es/gazeta/dias/1805/05/28/pdfs/GMD-1805-43.pdf#page=2","Abrir facsímil")</f>
        <v>Abrir facsímil</v>
      </c>
      <c r="K1049" s="15" t="s">
        <v>22</v>
      </c>
    </row>
    <row r="1050" spans="1:11" ht="42" customHeight="1">
      <c r="A1050" s="4" t="s">
        <v>2603</v>
      </c>
      <c r="B1050" s="5" t="s">
        <v>2604</v>
      </c>
      <c r="C1050" s="5" t="s">
        <v>17</v>
      </c>
      <c r="D1050" s="5" t="s">
        <v>18</v>
      </c>
      <c r="E1050" s="5" t="s">
        <v>567</v>
      </c>
      <c r="F1050" s="9">
        <v>49</v>
      </c>
      <c r="G1050" s="9">
        <v>526</v>
      </c>
      <c r="H1050" s="5" t="s">
        <v>20</v>
      </c>
      <c r="I1050" s="5" t="s">
        <v>2610</v>
      </c>
      <c r="J1050" s="12" t="str">
        <f>HYPERLINK("https://www.boe.es/gazeta/dias/1805/06/18/pdfs/GMD-1805-49.pdf#page=2","Abrir facsímil")</f>
        <v>Abrir facsímil</v>
      </c>
      <c r="K1050" s="15" t="s">
        <v>22</v>
      </c>
    </row>
    <row r="1051" spans="1:11" ht="42" customHeight="1">
      <c r="A1051" s="4" t="s">
        <v>2603</v>
      </c>
      <c r="B1051" s="5" t="s">
        <v>2604</v>
      </c>
      <c r="C1051" s="5" t="s">
        <v>80</v>
      </c>
      <c r="D1051" s="5" t="s">
        <v>81</v>
      </c>
      <c r="E1051" s="5" t="s">
        <v>456</v>
      </c>
      <c r="F1051" s="9">
        <v>70</v>
      </c>
      <c r="G1051" s="9">
        <v>742</v>
      </c>
      <c r="H1051" s="5" t="s">
        <v>20</v>
      </c>
      <c r="I1051" s="5" t="s">
        <v>2611</v>
      </c>
      <c r="J1051" s="12" t="str">
        <f>HYPERLINK("https://www.boe.es/gazeta/dias/1805/08/30/pdfs/GMD-1805-70.pdf#page=2","Abrir facsímil")</f>
        <v>Abrir facsímil</v>
      </c>
      <c r="K1051" s="15" t="s">
        <v>22</v>
      </c>
    </row>
    <row r="1052" spans="1:11" ht="42" customHeight="1">
      <c r="A1052" s="4" t="s">
        <v>2603</v>
      </c>
      <c r="B1052" s="5" t="s">
        <v>2604</v>
      </c>
      <c r="C1052" s="5" t="s">
        <v>17</v>
      </c>
      <c r="D1052" s="5" t="s">
        <v>18</v>
      </c>
      <c r="E1052" s="5" t="s">
        <v>163</v>
      </c>
      <c r="F1052" s="9">
        <v>77</v>
      </c>
      <c r="G1052" s="9">
        <v>813</v>
      </c>
      <c r="H1052" s="5" t="s">
        <v>20</v>
      </c>
      <c r="I1052" s="5" t="s">
        <v>2612</v>
      </c>
      <c r="J1052" s="12" t="str">
        <f>HYPERLINK("https://www.boe.es/gazeta/dias/1805/09/24/pdfs/GMD-1805-77.pdf#page=5","Abrir facsímil")</f>
        <v>Abrir facsímil</v>
      </c>
      <c r="K1052" s="15" t="s">
        <v>22</v>
      </c>
    </row>
    <row r="1053" spans="1:11" ht="42" customHeight="1">
      <c r="A1053" s="4" t="s">
        <v>2603</v>
      </c>
      <c r="B1053" s="5" t="s">
        <v>2604</v>
      </c>
      <c r="C1053" s="5" t="s">
        <v>17</v>
      </c>
      <c r="D1053" s="5" t="s">
        <v>18</v>
      </c>
      <c r="E1053" s="5" t="s">
        <v>163</v>
      </c>
      <c r="F1053" s="9">
        <v>77</v>
      </c>
      <c r="G1053" s="9">
        <v>814</v>
      </c>
      <c r="H1053" s="5" t="s">
        <v>20</v>
      </c>
      <c r="I1053" s="5" t="s">
        <v>2613</v>
      </c>
      <c r="J1053" s="12" t="str">
        <f>HYPERLINK("https://www.boe.es/gazeta/dias/1805/09/24/pdfs/GMD-1805-77.pdf#page=6","Abrir facsímil")</f>
        <v>Abrir facsímil</v>
      </c>
      <c r="K1053" s="15" t="s">
        <v>22</v>
      </c>
    </row>
    <row r="1054" spans="1:11" ht="42" customHeight="1">
      <c r="A1054" s="4" t="s">
        <v>2603</v>
      </c>
      <c r="B1054" s="5" t="s">
        <v>2604</v>
      </c>
      <c r="C1054" s="5" t="s">
        <v>184</v>
      </c>
      <c r="D1054" s="5" t="s">
        <v>86</v>
      </c>
      <c r="E1054" s="5" t="s">
        <v>209</v>
      </c>
      <c r="F1054" s="9">
        <v>89</v>
      </c>
      <c r="G1054" s="9">
        <v>944</v>
      </c>
      <c r="H1054" s="5" t="s">
        <v>20</v>
      </c>
      <c r="I1054" s="5" t="s">
        <v>2614</v>
      </c>
      <c r="J1054" s="12" t="str">
        <f>HYPERLINK("https://www.boe.es/gazeta/dias/1805/11/05/pdfs/GMD-1805-89.pdf#page=4","Abrir facsímil")</f>
        <v>Abrir facsímil</v>
      </c>
      <c r="K1054" s="15" t="s">
        <v>22</v>
      </c>
    </row>
    <row r="1055" spans="1:11" ht="42" customHeight="1">
      <c r="A1055" s="4" t="s">
        <v>2615</v>
      </c>
      <c r="B1055" s="5" t="s">
        <v>2616</v>
      </c>
      <c r="C1055" s="5" t="s">
        <v>80</v>
      </c>
      <c r="D1055" s="5" t="s">
        <v>81</v>
      </c>
      <c r="E1055" s="5" t="s">
        <v>48</v>
      </c>
      <c r="F1055" s="9">
        <v>35</v>
      </c>
      <c r="G1055" s="9">
        <v>373</v>
      </c>
      <c r="H1055" s="5" t="s">
        <v>20</v>
      </c>
      <c r="I1055" s="5" t="s">
        <v>2617</v>
      </c>
      <c r="J1055" s="12" t="str">
        <f>HYPERLINK("https://www.boe.es/gazeta/dias/1805/04/30/pdfs/GMD-1805-35.pdf#page=5","Abrir facsímil")</f>
        <v>Abrir facsímil</v>
      </c>
      <c r="K1055" s="15" t="s">
        <v>22</v>
      </c>
    </row>
    <row r="1056" spans="1:11" ht="42" customHeight="1">
      <c r="A1056" s="4" t="s">
        <v>2615</v>
      </c>
      <c r="B1056" s="5" t="s">
        <v>2616</v>
      </c>
      <c r="C1056" s="5" t="s">
        <v>80</v>
      </c>
      <c r="D1056" s="5" t="s">
        <v>81</v>
      </c>
      <c r="E1056" s="5" t="s">
        <v>426</v>
      </c>
      <c r="F1056" s="9">
        <v>75</v>
      </c>
      <c r="G1056" s="9">
        <v>795</v>
      </c>
      <c r="H1056" s="5" t="s">
        <v>20</v>
      </c>
      <c r="I1056" s="5" t="s">
        <v>2618</v>
      </c>
      <c r="J1056" s="12" t="str">
        <f>HYPERLINK("https://www.boe.es/gazeta/dias/1805/09/17/pdfs/GMD-1805-75.pdf#page=7","Abrir facsímil")</f>
        <v>Abrir facsímil</v>
      </c>
      <c r="K1056" s="15" t="s">
        <v>22</v>
      </c>
    </row>
    <row r="1057" spans="1:11" ht="42" customHeight="1">
      <c r="A1057" s="4" t="s">
        <v>2619</v>
      </c>
      <c r="B1057" s="5" t="s">
        <v>2620</v>
      </c>
      <c r="C1057" s="5" t="s">
        <v>184</v>
      </c>
      <c r="D1057" s="5" t="s">
        <v>86</v>
      </c>
      <c r="E1057" s="5" t="s">
        <v>1445</v>
      </c>
      <c r="F1057" s="9">
        <v>6</v>
      </c>
      <c r="G1057" s="9">
        <v>59</v>
      </c>
      <c r="H1057" s="5" t="s">
        <v>20</v>
      </c>
      <c r="I1057" s="5" t="s">
        <v>2621</v>
      </c>
      <c r="J1057" s="12" t="str">
        <f>HYPERLINK("https://www.boe.es/gazeta/dias/1805/01/18/pdfs/GMD-1805-6.pdf#page=3","Abrir facsímil")</f>
        <v>Abrir facsímil</v>
      </c>
      <c r="K1057" s="15" t="s">
        <v>22</v>
      </c>
    </row>
    <row r="1058" spans="1:11" ht="42" customHeight="1">
      <c r="A1058" s="4" t="s">
        <v>2622</v>
      </c>
      <c r="B1058" s="5" t="s">
        <v>2623</v>
      </c>
      <c r="C1058" s="5" t="s">
        <v>80</v>
      </c>
      <c r="D1058" s="5" t="s">
        <v>81</v>
      </c>
      <c r="E1058" s="5" t="s">
        <v>132</v>
      </c>
      <c r="F1058" s="9">
        <v>2</v>
      </c>
      <c r="G1058" s="9">
        <v>16</v>
      </c>
      <c r="H1058" s="5" t="s">
        <v>20</v>
      </c>
      <c r="I1058" s="5" t="s">
        <v>2624</v>
      </c>
      <c r="J1058" s="12" t="str">
        <f>HYPERLINK("https://www.boe.es/gazeta/dias/1805/01/04/pdfs/GMD-1805-2.pdf#page=4","Abrir facsímil")</f>
        <v>Abrir facsímil</v>
      </c>
      <c r="K1058" s="15" t="s">
        <v>22</v>
      </c>
    </row>
    <row r="1059" spans="1:11" ht="42" customHeight="1">
      <c r="A1059" s="4" t="s">
        <v>2625</v>
      </c>
      <c r="B1059" s="5" t="s">
        <v>2626</v>
      </c>
      <c r="C1059" s="5" t="s">
        <v>29</v>
      </c>
      <c r="D1059" s="5" t="s">
        <v>30</v>
      </c>
      <c r="E1059" s="5" t="s">
        <v>352</v>
      </c>
      <c r="F1059" s="9">
        <v>60</v>
      </c>
      <c r="G1059" s="9">
        <v>645</v>
      </c>
      <c r="H1059" s="5" t="s">
        <v>20</v>
      </c>
      <c r="I1059" s="5" t="s">
        <v>2627</v>
      </c>
      <c r="J1059" s="12" t="str">
        <f>HYPERLINK("https://www.boe.es/gazeta/dias/1805/07/26/pdfs/GMD-1805-60.pdf#page=9","Abrir facsímil")</f>
        <v>Abrir facsímil</v>
      </c>
      <c r="K1059" s="15" t="s">
        <v>22</v>
      </c>
    </row>
    <row r="1060" spans="1:11" ht="42" customHeight="1">
      <c r="A1060" s="4" t="s">
        <v>2628</v>
      </c>
      <c r="B1060" s="5" t="s">
        <v>2629</v>
      </c>
      <c r="C1060" s="5" t="s">
        <v>35</v>
      </c>
      <c r="D1060" s="5" t="s">
        <v>36</v>
      </c>
      <c r="E1060" s="5" t="s">
        <v>209</v>
      </c>
      <c r="F1060" s="9">
        <v>89</v>
      </c>
      <c r="G1060" s="9">
        <v>956</v>
      </c>
      <c r="H1060" s="5" t="s">
        <v>20</v>
      </c>
      <c r="I1060" s="5" t="s">
        <v>2630</v>
      </c>
      <c r="J1060" s="12" t="str">
        <f>HYPERLINK("https://www.boe.es/gazeta/dias/1805/11/05/pdfs/GMD-1805-89.pdf#page=16","Abrir facsímil")</f>
        <v>Abrir facsímil</v>
      </c>
      <c r="K1060" s="15" t="s">
        <v>22</v>
      </c>
    </row>
    <row r="1061" spans="1:11" ht="42" customHeight="1">
      <c r="A1061" s="4" t="s">
        <v>2628</v>
      </c>
      <c r="B1061" s="5" t="s">
        <v>2629</v>
      </c>
      <c r="C1061" s="5" t="s">
        <v>35</v>
      </c>
      <c r="D1061" s="5" t="s">
        <v>36</v>
      </c>
      <c r="E1061" s="5" t="s">
        <v>495</v>
      </c>
      <c r="F1061" s="9">
        <v>103</v>
      </c>
      <c r="G1061" s="9">
        <v>1115</v>
      </c>
      <c r="H1061" s="5" t="s">
        <v>20</v>
      </c>
      <c r="I1061" s="5" t="s">
        <v>2631</v>
      </c>
      <c r="J1061" s="12" t="str">
        <f>HYPERLINK("https://www.boe.es/gazeta/dias/1805/12/24/pdfs/GMD-1805-103.pdf#page=7","Abrir facsímil")</f>
        <v>Abrir facsímil</v>
      </c>
      <c r="K1061" s="15" t="s">
        <v>22</v>
      </c>
    </row>
    <row r="1062" spans="1:11" ht="42" customHeight="1">
      <c r="A1062" s="4" t="s">
        <v>2632</v>
      </c>
      <c r="B1062" s="5" t="s">
        <v>2633</v>
      </c>
      <c r="C1062" s="5" t="s">
        <v>35</v>
      </c>
      <c r="D1062" s="5" t="s">
        <v>36</v>
      </c>
      <c r="E1062" s="5" t="s">
        <v>213</v>
      </c>
      <c r="F1062" s="9">
        <v>56</v>
      </c>
      <c r="G1062" s="9">
        <v>600</v>
      </c>
      <c r="H1062" s="5" t="s">
        <v>20</v>
      </c>
      <c r="I1062" s="5" t="s">
        <v>2634</v>
      </c>
      <c r="J1062" s="12" t="str">
        <f>HYPERLINK("https://www.boe.es/gazeta/dias/1805/07/12/pdfs/GMD-1805-56.pdf#page=8","Abrir facsímil")</f>
        <v>Abrir facsímil</v>
      </c>
      <c r="K1062" s="15" t="s">
        <v>22</v>
      </c>
    </row>
    <row r="1063" spans="1:11" ht="42" customHeight="1">
      <c r="A1063" s="4" t="s">
        <v>2635</v>
      </c>
      <c r="B1063" s="5" t="s">
        <v>2636</v>
      </c>
      <c r="C1063" s="5" t="s">
        <v>80</v>
      </c>
      <c r="D1063" s="5" t="s">
        <v>81</v>
      </c>
      <c r="E1063" s="5" t="s">
        <v>711</v>
      </c>
      <c r="F1063" s="9">
        <v>63</v>
      </c>
      <c r="G1063" s="9">
        <v>669</v>
      </c>
      <c r="H1063" s="5" t="s">
        <v>20</v>
      </c>
      <c r="I1063" s="5" t="s">
        <v>2637</v>
      </c>
      <c r="J1063" s="12" t="str">
        <f>HYPERLINK("https://www.boe.es/gazeta/dias/1805/08/06/pdfs/GMD-1805-63.pdf#page=5","Abrir facsímil")</f>
        <v>Abrir facsímil</v>
      </c>
      <c r="K1063" s="15" t="s">
        <v>22</v>
      </c>
    </row>
    <row r="1064" spans="1:11" ht="42" customHeight="1">
      <c r="A1064" s="4" t="s">
        <v>2635</v>
      </c>
      <c r="B1064" s="5" t="s">
        <v>2636</v>
      </c>
      <c r="C1064" s="5" t="s">
        <v>184</v>
      </c>
      <c r="D1064" s="5" t="s">
        <v>86</v>
      </c>
      <c r="E1064" s="5" t="s">
        <v>409</v>
      </c>
      <c r="F1064" s="9">
        <v>69</v>
      </c>
      <c r="G1064" s="9">
        <v>734</v>
      </c>
      <c r="H1064" s="5" t="s">
        <v>20</v>
      </c>
      <c r="I1064" s="5" t="s">
        <v>2638</v>
      </c>
      <c r="J1064" s="12" t="str">
        <f>HYPERLINK("https://www.boe.es/gazeta/dias/1805/08/27/pdfs/GMD-1805-69.pdf#page=2","Abrir facsímil")</f>
        <v>Abrir facsímil</v>
      </c>
      <c r="K1064" s="15" t="s">
        <v>22</v>
      </c>
    </row>
    <row r="1065" spans="1:11" ht="42" customHeight="1">
      <c r="A1065" s="4" t="s">
        <v>2639</v>
      </c>
      <c r="B1065" s="5" t="s">
        <v>2640</v>
      </c>
      <c r="C1065" s="5" t="s">
        <v>35</v>
      </c>
      <c r="D1065" s="5" t="s">
        <v>36</v>
      </c>
      <c r="E1065" s="5" t="s">
        <v>850</v>
      </c>
      <c r="F1065" s="9">
        <v>42</v>
      </c>
      <c r="G1065" s="9">
        <v>452</v>
      </c>
      <c r="H1065" s="5" t="s">
        <v>20</v>
      </c>
      <c r="I1065" s="5" t="s">
        <v>2641</v>
      </c>
      <c r="J1065" s="12" t="str">
        <f>HYPERLINK("https://www.boe.es/gazeta/dias/1805/05/24/pdfs/GMD-1805-42.pdf#page=8","Abrir facsímil")</f>
        <v>Abrir facsímil</v>
      </c>
      <c r="K1065" s="15" t="s">
        <v>22</v>
      </c>
    </row>
    <row r="1066" spans="1:11" ht="42" customHeight="1">
      <c r="A1066" s="4" t="s">
        <v>2639</v>
      </c>
      <c r="B1066" s="5" t="s">
        <v>2640</v>
      </c>
      <c r="C1066" s="5" t="s">
        <v>80</v>
      </c>
      <c r="D1066" s="5" t="s">
        <v>81</v>
      </c>
      <c r="E1066" s="5" t="s">
        <v>286</v>
      </c>
      <c r="F1066" s="9">
        <v>48</v>
      </c>
      <c r="G1066" s="9">
        <v>519</v>
      </c>
      <c r="H1066" s="5" t="s">
        <v>20</v>
      </c>
      <c r="I1066" s="5" t="s">
        <v>2642</v>
      </c>
      <c r="J1066" s="12" t="str">
        <f>HYPERLINK("https://www.boe.es/gazeta/dias/1805/06/14/pdfs/GMD-1805-48.pdf#page=7","Abrir facsímil")</f>
        <v>Abrir facsímil</v>
      </c>
      <c r="K1066" s="15" t="s">
        <v>22</v>
      </c>
    </row>
    <row r="1067" spans="1:11" ht="42" customHeight="1">
      <c r="A1067" s="4" t="s">
        <v>2643</v>
      </c>
      <c r="B1067" s="5" t="s">
        <v>2644</v>
      </c>
      <c r="C1067" s="5" t="s">
        <v>85</v>
      </c>
      <c r="D1067" s="5" t="s">
        <v>86</v>
      </c>
      <c r="E1067" s="5" t="s">
        <v>71</v>
      </c>
      <c r="F1067" s="9">
        <v>33</v>
      </c>
      <c r="G1067" s="9">
        <v>351</v>
      </c>
      <c r="H1067" s="5" t="s">
        <v>20</v>
      </c>
      <c r="I1067" s="5" t="s">
        <v>2645</v>
      </c>
      <c r="J1067" s="12" t="str">
        <f>HYPERLINK("https://www.boe.es/gazeta/dias/1805/04/23/pdfs/GMD-1805-33.pdf#page=7","Abrir facsímil")</f>
        <v>Abrir facsímil</v>
      </c>
      <c r="K1067" s="15" t="s">
        <v>22</v>
      </c>
    </row>
    <row r="1068" spans="1:11" ht="42" customHeight="1">
      <c r="A1068" s="4" t="s">
        <v>2646</v>
      </c>
      <c r="B1068" s="5" t="s">
        <v>2647</v>
      </c>
      <c r="C1068" s="5" t="s">
        <v>35</v>
      </c>
      <c r="D1068" s="5" t="s">
        <v>36</v>
      </c>
      <c r="E1068" s="5" t="s">
        <v>552</v>
      </c>
      <c r="F1068" s="9">
        <v>94</v>
      </c>
      <c r="G1068" s="9">
        <v>1008</v>
      </c>
      <c r="H1068" s="5" t="s">
        <v>20</v>
      </c>
      <c r="I1068" s="5" t="s">
        <v>2648</v>
      </c>
      <c r="J1068" s="12" t="str">
        <f>HYPERLINK("https://www.boe.es/gazeta/dias/1805/11/22/pdfs/GMD-1805-94.pdf#page=8","Abrir facsímil")</f>
        <v>Abrir facsímil</v>
      </c>
      <c r="K1068" s="15" t="s">
        <v>22</v>
      </c>
    </row>
    <row r="1069" spans="1:11" ht="42" customHeight="1">
      <c r="A1069" s="4" t="s">
        <v>2649</v>
      </c>
      <c r="B1069" s="5" t="s">
        <v>2650</v>
      </c>
      <c r="C1069" s="5" t="s">
        <v>29</v>
      </c>
      <c r="D1069" s="5" t="s">
        <v>30</v>
      </c>
      <c r="E1069" s="5" t="s">
        <v>1494</v>
      </c>
      <c r="F1069" s="9">
        <v>31</v>
      </c>
      <c r="G1069" s="9">
        <v>335</v>
      </c>
      <c r="H1069" s="5" t="s">
        <v>20</v>
      </c>
      <c r="I1069" s="5" t="s">
        <v>2651</v>
      </c>
      <c r="J1069" s="12" t="str">
        <f>HYPERLINK("https://www.boe.es/gazeta/dias/1805/04/16/pdfs/GMD-1805-31.pdf#page=11","Abrir facsímil")</f>
        <v>Abrir facsímil</v>
      </c>
      <c r="K1069" s="15" t="s">
        <v>22</v>
      </c>
    </row>
    <row r="1070" spans="1:11" ht="42" customHeight="1">
      <c r="A1070" s="4" t="s">
        <v>2652</v>
      </c>
      <c r="B1070" s="5" t="s">
        <v>2653</v>
      </c>
      <c r="C1070" s="5" t="s">
        <v>35</v>
      </c>
      <c r="D1070" s="5" t="s">
        <v>36</v>
      </c>
      <c r="E1070" s="5" t="s">
        <v>163</v>
      </c>
      <c r="F1070" s="9">
        <v>77</v>
      </c>
      <c r="G1070" s="9">
        <v>817</v>
      </c>
      <c r="H1070" s="5" t="s">
        <v>20</v>
      </c>
      <c r="I1070" s="5" t="s">
        <v>2654</v>
      </c>
      <c r="J1070" s="12" t="str">
        <f>HYPERLINK("https://www.boe.es/gazeta/dias/1805/09/24/pdfs/GMD-1805-77.pdf#page=9","Abrir facsímil")</f>
        <v>Abrir facsímil</v>
      </c>
      <c r="K1070" s="15" t="s">
        <v>22</v>
      </c>
    </row>
    <row r="1071" spans="1:11" ht="42" customHeight="1">
      <c r="A1071" s="4" t="s">
        <v>2655</v>
      </c>
      <c r="B1071" s="5" t="s">
        <v>2656</v>
      </c>
      <c r="C1071" s="5" t="s">
        <v>35</v>
      </c>
      <c r="D1071" s="5" t="s">
        <v>36</v>
      </c>
      <c r="E1071" s="5" t="s">
        <v>293</v>
      </c>
      <c r="F1071" s="9">
        <v>5</v>
      </c>
      <c r="G1071" s="9">
        <v>53</v>
      </c>
      <c r="H1071" s="5" t="s">
        <v>20</v>
      </c>
      <c r="I1071" s="5" t="s">
        <v>2657</v>
      </c>
      <c r="J1071" s="12" t="str">
        <f>HYPERLINK("https://www.boe.es/gazeta/dias/1805/01/15/pdfs/GMD-1805-5.pdf#page=9","Abrir facsímil")</f>
        <v>Abrir facsímil</v>
      </c>
      <c r="K1071" s="15" t="s">
        <v>22</v>
      </c>
    </row>
    <row r="1072" spans="1:11" ht="42" customHeight="1">
      <c r="A1072" s="4" t="s">
        <v>2658</v>
      </c>
      <c r="B1072" s="5" t="s">
        <v>2658</v>
      </c>
      <c r="C1072" s="5" t="s">
        <v>17</v>
      </c>
      <c r="D1072" s="5" t="s">
        <v>18</v>
      </c>
      <c r="E1072" s="5" t="s">
        <v>200</v>
      </c>
      <c r="F1072" s="9">
        <v>91</v>
      </c>
      <c r="G1072" s="9">
        <v>977</v>
      </c>
      <c r="H1072" s="5" t="s">
        <v>20</v>
      </c>
      <c r="I1072" s="5" t="s">
        <v>2659</v>
      </c>
      <c r="J1072" s="12" t="str">
        <f>HYPERLINK("https://www.boe.es/gazeta/dias/1805/11/12/pdfs/GMD-1805-91.pdf#page=9","Abrir facsímil")</f>
        <v>Abrir facsímil</v>
      </c>
      <c r="K1072" s="15" t="s">
        <v>22</v>
      </c>
    </row>
    <row r="1073" spans="1:11" ht="42" customHeight="1">
      <c r="A1073" s="4" t="s">
        <v>2660</v>
      </c>
      <c r="B1073" s="5" t="s">
        <v>2660</v>
      </c>
      <c r="C1073" s="5" t="s">
        <v>17</v>
      </c>
      <c r="D1073" s="5" t="s">
        <v>18</v>
      </c>
      <c r="E1073" s="5" t="s">
        <v>63</v>
      </c>
      <c r="F1073" s="9">
        <v>101</v>
      </c>
      <c r="G1073" s="9">
        <v>1095</v>
      </c>
      <c r="H1073" s="5" t="s">
        <v>20</v>
      </c>
      <c r="I1073" s="5" t="s">
        <v>2661</v>
      </c>
      <c r="J1073" s="12" t="str">
        <f>HYPERLINK("https://www.boe.es/gazeta/dias/1805/12/17/pdfs/GMD-1805-101.pdf#page=11","Abrir facsímil")</f>
        <v>Abrir facsímil</v>
      </c>
      <c r="K1073" s="15" t="s">
        <v>22</v>
      </c>
    </row>
    <row r="1074" spans="1:11" ht="42" customHeight="1">
      <c r="A1074" s="4" t="s">
        <v>2662</v>
      </c>
      <c r="B1074" s="5" t="s">
        <v>2662</v>
      </c>
      <c r="C1074" s="5" t="s">
        <v>35</v>
      </c>
      <c r="D1074" s="5" t="s">
        <v>36</v>
      </c>
      <c r="E1074" s="5" t="s">
        <v>170</v>
      </c>
      <c r="F1074" s="9">
        <v>9</v>
      </c>
      <c r="G1074" s="9">
        <v>99</v>
      </c>
      <c r="H1074" s="5" t="s">
        <v>20</v>
      </c>
      <c r="I1074" s="5" t="s">
        <v>2663</v>
      </c>
      <c r="J1074" s="12" t="str">
        <f>HYPERLINK("https://www.boe.es/gazeta/dias/1805/01/29/pdfs/GMD-1805-9.pdf#page=7","Abrir facsímil")</f>
        <v>Abrir facsímil</v>
      </c>
      <c r="K1074" s="15" t="s">
        <v>22</v>
      </c>
    </row>
    <row r="1075" spans="1:11" ht="42" customHeight="1">
      <c r="A1075" s="4" t="s">
        <v>2664</v>
      </c>
      <c r="B1075" s="5" t="s">
        <v>2664</v>
      </c>
      <c r="C1075" s="5" t="s">
        <v>85</v>
      </c>
      <c r="D1075" s="5" t="s">
        <v>86</v>
      </c>
      <c r="E1075" s="5" t="s">
        <v>144</v>
      </c>
      <c r="F1075" s="9">
        <v>85</v>
      </c>
      <c r="G1075" s="9">
        <v>902</v>
      </c>
      <c r="H1075" s="5" t="s">
        <v>20</v>
      </c>
      <c r="I1075" s="5" t="s">
        <v>2665</v>
      </c>
      <c r="J1075" s="12" t="str">
        <f>HYPERLINK("https://www.boe.es/gazeta/dias/1805/10/22/pdfs/GMD-1805-85.pdf#page=10","Abrir facsímil")</f>
        <v>Abrir facsímil</v>
      </c>
      <c r="K1075" s="15" t="s">
        <v>22</v>
      </c>
    </row>
    <row r="1076" spans="1:11" ht="42" customHeight="1">
      <c r="A1076" s="4" t="s">
        <v>2666</v>
      </c>
      <c r="B1076" s="5" t="s">
        <v>2666</v>
      </c>
      <c r="C1076" s="5" t="s">
        <v>35</v>
      </c>
      <c r="D1076" s="5" t="s">
        <v>36</v>
      </c>
      <c r="E1076" s="5" t="s">
        <v>163</v>
      </c>
      <c r="F1076" s="9">
        <v>77</v>
      </c>
      <c r="G1076" s="9">
        <v>817</v>
      </c>
      <c r="H1076" s="5" t="s">
        <v>20</v>
      </c>
      <c r="I1076" s="5" t="s">
        <v>2667</v>
      </c>
      <c r="J1076" s="12" t="str">
        <f>HYPERLINK("https://www.boe.es/gazeta/dias/1805/09/24/pdfs/GMD-1805-77.pdf#page=9","Abrir facsímil")</f>
        <v>Abrir facsímil</v>
      </c>
      <c r="K1076" s="15" t="s">
        <v>22</v>
      </c>
    </row>
    <row r="1077" spans="1:11" ht="42" customHeight="1">
      <c r="A1077" s="4" t="s">
        <v>2668</v>
      </c>
      <c r="B1077" s="5" t="s">
        <v>2668</v>
      </c>
      <c r="C1077" s="5" t="s">
        <v>17</v>
      </c>
      <c r="D1077" s="5" t="s">
        <v>18</v>
      </c>
      <c r="E1077" s="5" t="s">
        <v>31</v>
      </c>
      <c r="F1077" s="9">
        <v>65</v>
      </c>
      <c r="G1077" s="9">
        <v>695</v>
      </c>
      <c r="H1077" s="5" t="s">
        <v>20</v>
      </c>
      <c r="I1077" s="5" t="s">
        <v>2669</v>
      </c>
      <c r="J1077" s="12" t="str">
        <f>HYPERLINK("https://www.boe.es/gazeta/dias/1805/08/13/pdfs/GMD-1805-65.pdf#page=7","Abrir facsímil")</f>
        <v>Abrir facsímil</v>
      </c>
      <c r="K1077" s="15" t="s">
        <v>22</v>
      </c>
    </row>
    <row r="1078" spans="1:11" ht="42" customHeight="1">
      <c r="A1078" s="4" t="s">
        <v>2670</v>
      </c>
      <c r="B1078" s="5" t="s">
        <v>2671</v>
      </c>
      <c r="C1078" s="5" t="s">
        <v>35</v>
      </c>
      <c r="D1078" s="5" t="s">
        <v>36</v>
      </c>
      <c r="E1078" s="5" t="s">
        <v>192</v>
      </c>
      <c r="F1078" s="9">
        <v>105</v>
      </c>
      <c r="G1078" s="9">
        <v>1138</v>
      </c>
      <c r="H1078" s="5" t="s">
        <v>20</v>
      </c>
      <c r="I1078" s="5" t="s">
        <v>2672</v>
      </c>
      <c r="J1078" s="12" t="str">
        <f>HYPERLINK("https://www.boe.es/gazeta/dias/1805/12/31/pdfs/GMD-1805-105.pdf#page=10","Abrir facsímil")</f>
        <v>Abrir facsímil</v>
      </c>
      <c r="K1078" s="15" t="s">
        <v>22</v>
      </c>
    </row>
    <row r="1079" spans="1:11" ht="42" customHeight="1">
      <c r="A1079" s="4" t="s">
        <v>2673</v>
      </c>
      <c r="B1079" s="5" t="s">
        <v>2674</v>
      </c>
      <c r="C1079" s="5" t="s">
        <v>35</v>
      </c>
      <c r="D1079" s="5" t="s">
        <v>36</v>
      </c>
      <c r="E1079" s="5" t="s">
        <v>19</v>
      </c>
      <c r="F1079" s="9">
        <v>86</v>
      </c>
      <c r="G1079" s="9">
        <v>913</v>
      </c>
      <c r="H1079" s="5" t="s">
        <v>20</v>
      </c>
      <c r="I1079" s="5" t="s">
        <v>2675</v>
      </c>
      <c r="J1079" s="12" t="str">
        <f>HYPERLINK("https://www.boe.es/gazeta/dias/1805/10/25/pdfs/GMD-1805-86.pdf#page=9","Abrir facsímil")</f>
        <v>Abrir facsímil</v>
      </c>
      <c r="K1079" s="15" t="s">
        <v>22</v>
      </c>
    </row>
    <row r="1080" spans="1:11" ht="42" customHeight="1">
      <c r="A1080" s="4" t="s">
        <v>2676</v>
      </c>
      <c r="B1080" s="5" t="s">
        <v>2677</v>
      </c>
      <c r="C1080" s="5" t="s">
        <v>17</v>
      </c>
      <c r="D1080" s="5" t="s">
        <v>18</v>
      </c>
      <c r="E1080" s="5" t="s">
        <v>787</v>
      </c>
      <c r="F1080" s="9">
        <v>95</v>
      </c>
      <c r="G1080" s="9">
        <v>1018</v>
      </c>
      <c r="H1080" s="5" t="s">
        <v>20</v>
      </c>
      <c r="I1080" s="5" t="s">
        <v>2678</v>
      </c>
      <c r="J1080" s="12" t="str">
        <f>HYPERLINK("https://www.boe.es/gazeta/dias/1805/11/26/pdfs/GMD-1805-95.pdf#page=6","Abrir facsímil")</f>
        <v>Abrir facsímil</v>
      </c>
      <c r="K1080" s="15" t="s">
        <v>22</v>
      </c>
    </row>
    <row r="1081" spans="1:11" ht="42" customHeight="1">
      <c r="A1081" s="4" t="s">
        <v>2679</v>
      </c>
      <c r="B1081" s="5" t="s">
        <v>2680</v>
      </c>
      <c r="C1081" s="5" t="s">
        <v>17</v>
      </c>
      <c r="D1081" s="5" t="s">
        <v>18</v>
      </c>
      <c r="E1081" s="5" t="s">
        <v>128</v>
      </c>
      <c r="F1081" s="9">
        <v>23</v>
      </c>
      <c r="G1081" s="9">
        <v>240</v>
      </c>
      <c r="H1081" s="5" t="s">
        <v>20</v>
      </c>
      <c r="I1081" s="5" t="s">
        <v>2681</v>
      </c>
      <c r="J1081" s="12" t="str">
        <f>HYPERLINK("https://www.boe.es/gazeta/dias/1805/03/19/pdfs/GMD-1805-23.pdf#page=4","Abrir facsímil")</f>
        <v>Abrir facsímil</v>
      </c>
      <c r="K1081" s="15" t="s">
        <v>22</v>
      </c>
    </row>
    <row r="1082" spans="1:11" ht="42" customHeight="1">
      <c r="A1082" s="4" t="s">
        <v>2682</v>
      </c>
      <c r="B1082" s="5" t="s">
        <v>2682</v>
      </c>
      <c r="C1082" s="5" t="s">
        <v>17</v>
      </c>
      <c r="D1082" s="5" t="s">
        <v>18</v>
      </c>
      <c r="E1082" s="5" t="s">
        <v>107</v>
      </c>
      <c r="F1082" s="9">
        <v>19</v>
      </c>
      <c r="G1082" s="9">
        <v>199</v>
      </c>
      <c r="H1082" s="5" t="s">
        <v>20</v>
      </c>
      <c r="I1082" s="5" t="s">
        <v>2683</v>
      </c>
      <c r="J1082" s="12" t="str">
        <f>HYPERLINK("https://www.boe.es/gazeta/dias/1805/03/05/pdfs/GMD-1805-19.pdf#page=11","Abrir facsímil")</f>
        <v>Abrir facsímil</v>
      </c>
      <c r="K1082" s="15" t="s">
        <v>22</v>
      </c>
    </row>
    <row r="1083" spans="1:11" ht="42" customHeight="1">
      <c r="A1083" s="4" t="s">
        <v>2684</v>
      </c>
      <c r="B1083" s="5" t="s">
        <v>2684</v>
      </c>
      <c r="C1083" s="5" t="s">
        <v>80</v>
      </c>
      <c r="D1083" s="5" t="s">
        <v>81</v>
      </c>
      <c r="E1083" s="5" t="s">
        <v>303</v>
      </c>
      <c r="F1083" s="9">
        <v>57</v>
      </c>
      <c r="G1083" s="9">
        <v>607</v>
      </c>
      <c r="H1083" s="5" t="s">
        <v>20</v>
      </c>
      <c r="I1083" s="5" t="s">
        <v>2685</v>
      </c>
      <c r="J1083" s="12" t="str">
        <f>HYPERLINK("https://www.boe.es/gazeta/dias/1805/07/16/pdfs/GMD-1805-57.pdf#page=3","Abrir facsímil")</f>
        <v>Abrir facsímil</v>
      </c>
      <c r="K1083" s="15" t="s">
        <v>22</v>
      </c>
    </row>
    <row r="1084" spans="1:11" ht="42" customHeight="1">
      <c r="A1084" s="4" t="s">
        <v>2686</v>
      </c>
      <c r="B1084" s="5" t="s">
        <v>2687</v>
      </c>
      <c r="C1084" s="5" t="s">
        <v>35</v>
      </c>
      <c r="D1084" s="5" t="s">
        <v>36</v>
      </c>
      <c r="E1084" s="5" t="s">
        <v>188</v>
      </c>
      <c r="F1084" s="9">
        <v>68</v>
      </c>
      <c r="G1084" s="9">
        <v>729</v>
      </c>
      <c r="H1084" s="5" t="s">
        <v>20</v>
      </c>
      <c r="I1084" s="5" t="s">
        <v>2688</v>
      </c>
      <c r="J1084" s="12" t="str">
        <f>HYPERLINK("https://www.boe.es/gazeta/dias/1805/08/23/pdfs/GMD-1805-68.pdf#page=9","Abrir facsímil")</f>
        <v>Abrir facsímil</v>
      </c>
      <c r="K1084" s="15" t="s">
        <v>22</v>
      </c>
    </row>
    <row r="1085" spans="1:11" ht="42" customHeight="1">
      <c r="A1085" s="4" t="s">
        <v>2689</v>
      </c>
      <c r="B1085" s="5" t="s">
        <v>2690</v>
      </c>
      <c r="C1085" s="5" t="s">
        <v>80</v>
      </c>
      <c r="D1085" s="5" t="s">
        <v>81</v>
      </c>
      <c r="E1085" s="5" t="s">
        <v>122</v>
      </c>
      <c r="F1085" s="9">
        <v>38</v>
      </c>
      <c r="G1085" s="9">
        <v>406</v>
      </c>
      <c r="H1085" s="5" t="s">
        <v>20</v>
      </c>
      <c r="I1085" s="5" t="s">
        <v>2691</v>
      </c>
      <c r="J1085" s="12" t="str">
        <f>HYPERLINK("https://www.boe.es/gazeta/dias/1805/05/10/pdfs/GMD-1805-38.pdf#page=2","Abrir facsímil")</f>
        <v>Abrir facsímil</v>
      </c>
      <c r="K1085" s="15" t="s">
        <v>22</v>
      </c>
    </row>
    <row r="1086" spans="1:11" ht="42" customHeight="1">
      <c r="A1086" s="4" t="s">
        <v>2692</v>
      </c>
      <c r="B1086" s="5" t="s">
        <v>2693</v>
      </c>
      <c r="C1086" s="5" t="s">
        <v>80</v>
      </c>
      <c r="D1086" s="5" t="s">
        <v>81</v>
      </c>
      <c r="E1086" s="5" t="s">
        <v>286</v>
      </c>
      <c r="F1086" s="9">
        <v>48</v>
      </c>
      <c r="G1086" s="9">
        <v>517</v>
      </c>
      <c r="H1086" s="5" t="s">
        <v>20</v>
      </c>
      <c r="I1086" s="5" t="s">
        <v>2694</v>
      </c>
      <c r="J1086" s="12" t="str">
        <f>HYPERLINK("https://www.boe.es/gazeta/dias/1805/06/14/pdfs/GMD-1805-48.pdf#page=5","Abrir facsímil")</f>
        <v>Abrir facsímil</v>
      </c>
      <c r="K1086" s="15" t="s">
        <v>22</v>
      </c>
    </row>
    <row r="1087" spans="1:11" ht="42" customHeight="1">
      <c r="A1087" s="4" t="s">
        <v>2692</v>
      </c>
      <c r="B1087" s="5" t="s">
        <v>2693</v>
      </c>
      <c r="C1087" s="5" t="s">
        <v>80</v>
      </c>
      <c r="D1087" s="5" t="s">
        <v>81</v>
      </c>
      <c r="E1087" s="5" t="s">
        <v>40</v>
      </c>
      <c r="F1087" s="9">
        <v>59</v>
      </c>
      <c r="G1087" s="9">
        <v>628</v>
      </c>
      <c r="H1087" s="5" t="s">
        <v>20</v>
      </c>
      <c r="I1087" s="5" t="s">
        <v>2695</v>
      </c>
      <c r="J1087" s="12" t="str">
        <f>HYPERLINK("https://www.boe.es/gazeta/dias/1805/07/23/pdfs/GMD-1805-59.pdf#page=4","Abrir facsímil")</f>
        <v>Abrir facsímil</v>
      </c>
      <c r="K1087" s="15" t="s">
        <v>22</v>
      </c>
    </row>
    <row r="1088" spans="1:11" ht="42" customHeight="1">
      <c r="A1088" s="4" t="s">
        <v>2692</v>
      </c>
      <c r="B1088" s="5" t="s">
        <v>2693</v>
      </c>
      <c r="C1088" s="5" t="s">
        <v>80</v>
      </c>
      <c r="D1088" s="5" t="s">
        <v>81</v>
      </c>
      <c r="E1088" s="5" t="s">
        <v>76</v>
      </c>
      <c r="F1088" s="9">
        <v>66</v>
      </c>
      <c r="G1088" s="9">
        <v>704</v>
      </c>
      <c r="H1088" s="5" t="s">
        <v>20</v>
      </c>
      <c r="I1088" s="5" t="s">
        <v>2696</v>
      </c>
      <c r="J1088" s="12" t="str">
        <f>HYPERLINK("https://www.boe.es/gazeta/dias/1805/08/16/pdfs/GMD-1805-66.pdf#page=4","Abrir facsímil")</f>
        <v>Abrir facsímil</v>
      </c>
      <c r="K1088" s="15" t="s">
        <v>22</v>
      </c>
    </row>
    <row r="1089" spans="1:11" ht="42" customHeight="1">
      <c r="A1089" s="4" t="s">
        <v>2692</v>
      </c>
      <c r="B1089" s="5" t="s">
        <v>2693</v>
      </c>
      <c r="C1089" s="5" t="s">
        <v>80</v>
      </c>
      <c r="D1089" s="5" t="s">
        <v>81</v>
      </c>
      <c r="E1089" s="5" t="s">
        <v>1132</v>
      </c>
      <c r="F1089" s="9">
        <v>72</v>
      </c>
      <c r="G1089" s="9">
        <v>763</v>
      </c>
      <c r="H1089" s="5" t="s">
        <v>20</v>
      </c>
      <c r="I1089" s="5" t="s">
        <v>2697</v>
      </c>
      <c r="J1089" s="12" t="str">
        <f>HYPERLINK("https://www.boe.es/gazeta/dias/1805/09/06/pdfs/GMD-1805-72.pdf#page=3","Abrir facsímil")</f>
        <v>Abrir facsímil</v>
      </c>
      <c r="K1089" s="15" t="s">
        <v>22</v>
      </c>
    </row>
    <row r="1090" spans="1:11" ht="42" customHeight="1">
      <c r="A1090" s="4" t="s">
        <v>2692</v>
      </c>
      <c r="B1090" s="5" t="s">
        <v>2693</v>
      </c>
      <c r="C1090" s="5" t="s">
        <v>80</v>
      </c>
      <c r="D1090" s="5" t="s">
        <v>81</v>
      </c>
      <c r="E1090" s="5" t="s">
        <v>99</v>
      </c>
      <c r="F1090" s="9">
        <v>83</v>
      </c>
      <c r="G1090" s="9">
        <v>876</v>
      </c>
      <c r="H1090" s="5" t="s">
        <v>20</v>
      </c>
      <c r="I1090" s="5" t="s">
        <v>2698</v>
      </c>
      <c r="J1090" s="12" t="str">
        <f>HYPERLINK("https://www.boe.es/gazeta/dias/1805/10/15/pdfs/GMD-1805-83.pdf#page=4","Abrir facsímil")</f>
        <v>Abrir facsímil</v>
      </c>
      <c r="K1090" s="15" t="s">
        <v>22</v>
      </c>
    </row>
    <row r="1091" spans="1:11" ht="42" customHeight="1">
      <c r="A1091" s="4" t="s">
        <v>2699</v>
      </c>
      <c r="B1091" s="5" t="s">
        <v>2700</v>
      </c>
      <c r="C1091" s="5" t="s">
        <v>80</v>
      </c>
      <c r="D1091" s="5" t="s">
        <v>81</v>
      </c>
      <c r="E1091" s="5" t="s">
        <v>300</v>
      </c>
      <c r="F1091" s="9">
        <v>81</v>
      </c>
      <c r="G1091" s="9">
        <v>856</v>
      </c>
      <c r="H1091" s="5" t="s">
        <v>20</v>
      </c>
      <c r="I1091" s="5" t="s">
        <v>2701</v>
      </c>
      <c r="J1091" s="12" t="str">
        <f>HYPERLINK("https://www.boe.es/gazeta/dias/1805/10/08/pdfs/GMD-1805-81.pdf#page=4","Abrir facsímil")</f>
        <v>Abrir facsímil</v>
      </c>
      <c r="K1091" s="15" t="s">
        <v>22</v>
      </c>
    </row>
    <row r="1092" spans="1:11" ht="42" customHeight="1">
      <c r="A1092" s="4" t="s">
        <v>2702</v>
      </c>
      <c r="B1092" s="5" t="s">
        <v>2702</v>
      </c>
      <c r="C1092" s="5" t="s">
        <v>80</v>
      </c>
      <c r="D1092" s="5" t="s">
        <v>81</v>
      </c>
      <c r="E1092" s="5" t="s">
        <v>711</v>
      </c>
      <c r="F1092" s="9">
        <v>63</v>
      </c>
      <c r="G1092" s="9">
        <v>669</v>
      </c>
      <c r="H1092" s="5" t="s">
        <v>20</v>
      </c>
      <c r="I1092" s="5" t="s">
        <v>2703</v>
      </c>
      <c r="J1092" s="12" t="str">
        <f>HYPERLINK("https://www.boe.es/gazeta/dias/1805/08/06/pdfs/GMD-1805-63.pdf#page=5","Abrir facsímil")</f>
        <v>Abrir facsímil</v>
      </c>
      <c r="K1092" s="15" t="s">
        <v>22</v>
      </c>
    </row>
    <row r="1093" spans="1:11" ht="42" customHeight="1">
      <c r="A1093" s="4" t="s">
        <v>2704</v>
      </c>
      <c r="B1093" s="5" t="s">
        <v>2705</v>
      </c>
      <c r="C1093" s="5" t="s">
        <v>17</v>
      </c>
      <c r="D1093" s="5" t="s">
        <v>18</v>
      </c>
      <c r="E1093" s="5" t="s">
        <v>352</v>
      </c>
      <c r="F1093" s="9">
        <v>60</v>
      </c>
      <c r="G1093" s="9">
        <v>641</v>
      </c>
      <c r="H1093" s="5" t="s">
        <v>20</v>
      </c>
      <c r="I1093" s="5" t="s">
        <v>2706</v>
      </c>
      <c r="J1093" s="12" t="str">
        <f>HYPERLINK("https://www.boe.es/gazeta/dias/1805/07/26/pdfs/GMD-1805-60.pdf#page=5","Abrir facsímil")</f>
        <v>Abrir facsímil</v>
      </c>
      <c r="K1093" s="15" t="s">
        <v>22</v>
      </c>
    </row>
    <row r="1094" spans="1:11" ht="42" customHeight="1">
      <c r="A1094" s="4" t="s">
        <v>2704</v>
      </c>
      <c r="B1094" s="5" t="s">
        <v>2705</v>
      </c>
      <c r="C1094" s="5" t="s">
        <v>184</v>
      </c>
      <c r="D1094" s="5" t="s">
        <v>86</v>
      </c>
      <c r="E1094" s="5" t="s">
        <v>711</v>
      </c>
      <c r="F1094" s="9">
        <v>63</v>
      </c>
      <c r="G1094" s="9">
        <v>668</v>
      </c>
      <c r="H1094" s="5" t="s">
        <v>20</v>
      </c>
      <c r="I1094" s="5" t="s">
        <v>2707</v>
      </c>
      <c r="J1094" s="12" t="str">
        <f>HYPERLINK("https://www.boe.es/gazeta/dias/1805/08/06/pdfs/GMD-1805-63.pdf#page=4","Abrir facsímil")</f>
        <v>Abrir facsímil</v>
      </c>
      <c r="K1094" s="15" t="s">
        <v>22</v>
      </c>
    </row>
    <row r="1095" spans="1:11" ht="42" customHeight="1">
      <c r="A1095" s="4" t="s">
        <v>2704</v>
      </c>
      <c r="B1095" s="5" t="s">
        <v>2705</v>
      </c>
      <c r="C1095" s="5" t="s">
        <v>80</v>
      </c>
      <c r="D1095" s="5" t="s">
        <v>81</v>
      </c>
      <c r="E1095" s="5" t="s">
        <v>711</v>
      </c>
      <c r="F1095" s="9">
        <v>63</v>
      </c>
      <c r="G1095" s="9">
        <v>669</v>
      </c>
      <c r="H1095" s="5" t="s">
        <v>20</v>
      </c>
      <c r="I1095" s="5" t="s">
        <v>2708</v>
      </c>
      <c r="J1095" s="12" t="str">
        <f>HYPERLINK("https://www.boe.es/gazeta/dias/1805/08/06/pdfs/GMD-1805-63.pdf#page=5","Abrir facsímil")</f>
        <v>Abrir facsímil</v>
      </c>
      <c r="K1095" s="15" t="s">
        <v>22</v>
      </c>
    </row>
    <row r="1096" spans="1:11" ht="42" customHeight="1">
      <c r="A1096" s="4" t="s">
        <v>2709</v>
      </c>
      <c r="B1096" s="5" t="s">
        <v>2710</v>
      </c>
      <c r="C1096" s="5" t="s">
        <v>85</v>
      </c>
      <c r="D1096" s="5" t="s">
        <v>86</v>
      </c>
      <c r="E1096" s="5" t="s">
        <v>904</v>
      </c>
      <c r="F1096" s="9">
        <v>47</v>
      </c>
      <c r="G1096" s="9">
        <v>509</v>
      </c>
      <c r="H1096" s="5" t="s">
        <v>20</v>
      </c>
      <c r="I1096" s="5" t="s">
        <v>2711</v>
      </c>
      <c r="J1096" s="12" t="str">
        <f>HYPERLINK("https://www.boe.es/gazeta/dias/1805/06/11/pdfs/GMD-1805-47.pdf#page=9","Abrir facsímil")</f>
        <v>Abrir facsímil</v>
      </c>
      <c r="K1096" s="15" t="s">
        <v>22</v>
      </c>
    </row>
    <row r="1097" spans="1:11" ht="42" customHeight="1">
      <c r="A1097" s="4" t="s">
        <v>2712</v>
      </c>
      <c r="B1097" s="5" t="s">
        <v>2713</v>
      </c>
      <c r="C1097" s="5" t="s">
        <v>35</v>
      </c>
      <c r="D1097" s="5" t="s">
        <v>36</v>
      </c>
      <c r="E1097" s="5" t="s">
        <v>426</v>
      </c>
      <c r="F1097" s="9">
        <v>75</v>
      </c>
      <c r="G1097" s="9">
        <v>798</v>
      </c>
      <c r="H1097" s="5" t="s">
        <v>20</v>
      </c>
      <c r="I1097" s="5" t="s">
        <v>2714</v>
      </c>
      <c r="J1097" s="12" t="str">
        <f>HYPERLINK("https://www.boe.es/gazeta/dias/1805/09/17/pdfs/GMD-1805-75.pdf#page=10","Abrir facsímil")</f>
        <v>Abrir facsímil</v>
      </c>
      <c r="K1097" s="15" t="s">
        <v>22</v>
      </c>
    </row>
    <row r="1098" spans="1:11" ht="42" customHeight="1">
      <c r="A1098" s="4" t="s">
        <v>2715</v>
      </c>
      <c r="B1098" s="5" t="s">
        <v>2716</v>
      </c>
      <c r="C1098" s="5" t="s">
        <v>85</v>
      </c>
      <c r="D1098" s="5" t="s">
        <v>86</v>
      </c>
      <c r="E1098" s="5" t="s">
        <v>426</v>
      </c>
      <c r="F1098" s="9">
        <v>75</v>
      </c>
      <c r="G1098" s="9">
        <v>798</v>
      </c>
      <c r="H1098" s="5" t="s">
        <v>20</v>
      </c>
      <c r="I1098" s="5" t="s">
        <v>2717</v>
      </c>
      <c r="J1098" s="12" t="str">
        <f>HYPERLINK("https://www.boe.es/gazeta/dias/1805/09/17/pdfs/GMD-1805-75.pdf#page=10","Abrir facsímil")</f>
        <v>Abrir facsímil</v>
      </c>
      <c r="K1098" s="15" t="s">
        <v>22</v>
      </c>
    </row>
    <row r="1099" spans="1:11" ht="42" customHeight="1">
      <c r="A1099" s="4" t="s">
        <v>2718</v>
      </c>
      <c r="B1099" s="5" t="s">
        <v>2719</v>
      </c>
      <c r="C1099" s="5" t="s">
        <v>35</v>
      </c>
      <c r="D1099" s="5" t="s">
        <v>36</v>
      </c>
      <c r="E1099" s="5" t="s">
        <v>365</v>
      </c>
      <c r="F1099" s="9">
        <v>3</v>
      </c>
      <c r="G1099" s="9">
        <v>29</v>
      </c>
      <c r="H1099" s="5" t="s">
        <v>20</v>
      </c>
      <c r="I1099" s="5" t="s">
        <v>2720</v>
      </c>
      <c r="J1099" s="12" t="str">
        <f>HYPERLINK("https://www.boe.es/gazeta/dias/1805/01/08/pdfs/GMD-1805-3.pdf#page=5","Abrir facsímil")</f>
        <v>Abrir facsímil</v>
      </c>
      <c r="K1099" s="15" t="s">
        <v>22</v>
      </c>
    </row>
    <row r="1100" spans="1:11" ht="42" customHeight="1">
      <c r="A1100" s="4" t="s">
        <v>2721</v>
      </c>
      <c r="B1100" s="5" t="s">
        <v>2721</v>
      </c>
      <c r="C1100" s="5" t="s">
        <v>17</v>
      </c>
      <c r="D1100" s="5" t="s">
        <v>18</v>
      </c>
      <c r="E1100" s="5" t="s">
        <v>864</v>
      </c>
      <c r="F1100" s="9">
        <v>88</v>
      </c>
      <c r="G1100" s="9">
        <v>938</v>
      </c>
      <c r="H1100" s="5" t="s">
        <v>20</v>
      </c>
      <c r="I1100" s="5" t="s">
        <v>2722</v>
      </c>
      <c r="J1100" s="12" t="str">
        <f>HYPERLINK("https://www.boe.es/gazeta/dias/1805/11/01/pdfs/GMD-1805-88.pdf#page=10","Abrir facsímil")</f>
        <v>Abrir facsímil</v>
      </c>
      <c r="K1100" s="15" t="s">
        <v>22</v>
      </c>
    </row>
    <row r="1101" spans="1:11" ht="42" customHeight="1">
      <c r="A1101" s="4" t="s">
        <v>2723</v>
      </c>
      <c r="B1101" s="5" t="s">
        <v>2724</v>
      </c>
      <c r="C1101" s="5" t="s">
        <v>85</v>
      </c>
      <c r="D1101" s="5" t="s">
        <v>86</v>
      </c>
      <c r="E1101" s="5" t="s">
        <v>276</v>
      </c>
      <c r="F1101" s="9">
        <v>51</v>
      </c>
      <c r="G1101" s="9">
        <v>545</v>
      </c>
      <c r="H1101" s="5" t="s">
        <v>20</v>
      </c>
      <c r="I1101" s="5" t="s">
        <v>2725</v>
      </c>
      <c r="J1101" s="12" t="str">
        <f>HYPERLINK("https://www.boe.es/gazeta/dias/1805/06/25/pdfs/GMD-1805-51.pdf#page=1","Abrir facsímil")</f>
        <v>Abrir facsímil</v>
      </c>
      <c r="K1101" s="15" t="s">
        <v>22</v>
      </c>
    </row>
    <row r="1102" spans="1:11" ht="42" customHeight="1">
      <c r="A1102" s="4" t="s">
        <v>2726</v>
      </c>
      <c r="B1102" s="5" t="s">
        <v>2726</v>
      </c>
      <c r="C1102" s="5" t="s">
        <v>184</v>
      </c>
      <c r="D1102" s="5" t="s">
        <v>86</v>
      </c>
      <c r="E1102" s="5" t="s">
        <v>539</v>
      </c>
      <c r="F1102" s="9">
        <v>97</v>
      </c>
      <c r="G1102" s="9">
        <v>1047</v>
      </c>
      <c r="H1102" s="5" t="s">
        <v>20</v>
      </c>
      <c r="I1102" s="5" t="s">
        <v>2727</v>
      </c>
      <c r="J1102" s="12" t="str">
        <f>HYPERLINK("https://www.boe.es/gazeta/dias/1805/12/03/pdfs/GMD-1805-97.pdf#page=11","Abrir facsímil")</f>
        <v>Abrir facsímil</v>
      </c>
      <c r="K1102" s="15" t="s">
        <v>22</v>
      </c>
    </row>
    <row r="1103" spans="1:11" ht="42" customHeight="1">
      <c r="A1103" s="4" t="s">
        <v>2728</v>
      </c>
      <c r="B1103" s="5" t="s">
        <v>2728</v>
      </c>
      <c r="C1103" s="5" t="s">
        <v>35</v>
      </c>
      <c r="D1103" s="5" t="s">
        <v>36</v>
      </c>
      <c r="E1103" s="5" t="s">
        <v>1445</v>
      </c>
      <c r="F1103" s="9">
        <v>6</v>
      </c>
      <c r="G1103" s="9">
        <v>66</v>
      </c>
      <c r="H1103" s="5" t="s">
        <v>20</v>
      </c>
      <c r="I1103" s="5" t="s">
        <v>2729</v>
      </c>
      <c r="J1103" s="12" t="str">
        <f>HYPERLINK("https://www.boe.es/gazeta/dias/1805/01/18/pdfs/GMD-1805-6.pdf#page=10","Abrir facsímil")</f>
        <v>Abrir facsímil</v>
      </c>
      <c r="K1103" s="15" t="s">
        <v>22</v>
      </c>
    </row>
    <row r="1104" spans="1:11" ht="42" customHeight="1">
      <c r="A1104" s="4" t="s">
        <v>2730</v>
      </c>
      <c r="B1104" s="5" t="s">
        <v>2730</v>
      </c>
      <c r="C1104" s="5" t="s">
        <v>17</v>
      </c>
      <c r="D1104" s="5" t="s">
        <v>18</v>
      </c>
      <c r="E1104" s="5" t="s">
        <v>733</v>
      </c>
      <c r="F1104" s="9">
        <v>45</v>
      </c>
      <c r="G1104" s="9">
        <v>488</v>
      </c>
      <c r="H1104" s="5" t="s">
        <v>20</v>
      </c>
      <c r="I1104" s="5" t="s">
        <v>2731</v>
      </c>
      <c r="J1104" s="12" t="str">
        <f>HYPERLINK("https://www.boe.es/gazeta/dias/1805/06/04/pdfs/GMD-1805-45.pdf#page=12","Abrir facsímil")</f>
        <v>Abrir facsímil</v>
      </c>
      <c r="K1104" s="15" t="s">
        <v>22</v>
      </c>
    </row>
    <row r="1105" spans="1:11" ht="42" customHeight="1">
      <c r="A1105" s="4" t="s">
        <v>2732</v>
      </c>
      <c r="B1105" s="5" t="s">
        <v>2732</v>
      </c>
      <c r="C1105" s="5" t="s">
        <v>29</v>
      </c>
      <c r="D1105" s="5" t="s">
        <v>30</v>
      </c>
      <c r="E1105" s="5" t="s">
        <v>1494</v>
      </c>
      <c r="F1105" s="9">
        <v>31</v>
      </c>
      <c r="G1105" s="9">
        <v>336</v>
      </c>
      <c r="H1105" s="5" t="s">
        <v>20</v>
      </c>
      <c r="I1105" s="5" t="s">
        <v>2733</v>
      </c>
      <c r="J1105" s="12" t="str">
        <f>HYPERLINK("https://www.boe.es/gazeta/dias/1805/04/16/pdfs/GMD-1805-31.pdf#page=12","Abrir facsímil")</f>
        <v>Abrir facsímil</v>
      </c>
      <c r="K1105" s="15" t="s">
        <v>22</v>
      </c>
    </row>
    <row r="1106" spans="1:11" ht="42" customHeight="1">
      <c r="A1106" s="4" t="s">
        <v>2734</v>
      </c>
      <c r="B1106" s="5" t="s">
        <v>2734</v>
      </c>
      <c r="C1106" s="5" t="s">
        <v>17</v>
      </c>
      <c r="D1106" s="5" t="s">
        <v>18</v>
      </c>
      <c r="E1106" s="5" t="s">
        <v>132</v>
      </c>
      <c r="F1106" s="9">
        <v>2</v>
      </c>
      <c r="G1106" s="9">
        <v>21</v>
      </c>
      <c r="H1106" s="5" t="s">
        <v>20</v>
      </c>
      <c r="I1106" s="5" t="s">
        <v>2735</v>
      </c>
      <c r="J1106" s="12" t="str">
        <f>HYPERLINK("https://www.boe.es/gazeta/dias/1805/01/04/pdfs/GMD-1805-2.pdf#page=9","Abrir facsímil")</f>
        <v>Abrir facsímil</v>
      </c>
      <c r="K1106" s="15" t="s">
        <v>22</v>
      </c>
    </row>
    <row r="1107" spans="1:11" ht="42" customHeight="1">
      <c r="A1107" s="4" t="s">
        <v>2736</v>
      </c>
      <c r="B1107" s="5" t="s">
        <v>2736</v>
      </c>
      <c r="C1107" s="5" t="s">
        <v>184</v>
      </c>
      <c r="D1107" s="5" t="s">
        <v>86</v>
      </c>
      <c r="E1107" s="5" t="s">
        <v>87</v>
      </c>
      <c r="F1107" s="9">
        <v>14</v>
      </c>
      <c r="G1107" s="9">
        <v>147</v>
      </c>
      <c r="H1107" s="5" t="s">
        <v>20</v>
      </c>
      <c r="I1107" s="5" t="s">
        <v>2737</v>
      </c>
      <c r="J1107" s="12" t="str">
        <f>HYPERLINK("https://www.boe.es/gazeta/dias/1805/02/15/pdfs/GMD-1805-14.pdf#page=7","Abrir facsímil")</f>
        <v>Abrir facsímil</v>
      </c>
      <c r="K1107" s="15" t="s">
        <v>22</v>
      </c>
    </row>
    <row r="1108" spans="1:11" ht="42" customHeight="1">
      <c r="A1108" s="4" t="s">
        <v>2736</v>
      </c>
      <c r="B1108" s="5" t="s">
        <v>2736</v>
      </c>
      <c r="C1108" s="5" t="s">
        <v>35</v>
      </c>
      <c r="D1108" s="5" t="s">
        <v>36</v>
      </c>
      <c r="E1108" s="5" t="s">
        <v>1187</v>
      </c>
      <c r="F1108" s="9">
        <v>40</v>
      </c>
      <c r="G1108" s="9">
        <v>432</v>
      </c>
      <c r="H1108" s="5" t="s">
        <v>20</v>
      </c>
      <c r="I1108" s="5" t="s">
        <v>2738</v>
      </c>
      <c r="J1108" s="12" t="str">
        <f>HYPERLINK("https://www.boe.es/gazeta/dias/1805/05/17/pdfs/GMD-1805-40.pdf#page=8","Abrir facsímil")</f>
        <v>Abrir facsímil</v>
      </c>
      <c r="K1108" s="15" t="s">
        <v>22</v>
      </c>
    </row>
    <row r="1109" spans="1:11" ht="42" customHeight="1">
      <c r="A1109" s="4" t="s">
        <v>2736</v>
      </c>
      <c r="B1109" s="5" t="s">
        <v>2736</v>
      </c>
      <c r="C1109" s="5" t="s">
        <v>29</v>
      </c>
      <c r="D1109" s="5" t="s">
        <v>30</v>
      </c>
      <c r="E1109" s="5" t="s">
        <v>148</v>
      </c>
      <c r="F1109" s="9">
        <v>50</v>
      </c>
      <c r="G1109" s="9">
        <v>542</v>
      </c>
      <c r="H1109" s="5" t="s">
        <v>20</v>
      </c>
      <c r="I1109" s="5" t="s">
        <v>2739</v>
      </c>
      <c r="J1109" s="12" t="str">
        <f>HYPERLINK("https://www.boe.es/gazeta/dias/1805/06/21/pdfs/GMD-1805-50.pdf#page=10","Abrir facsímil")</f>
        <v>Abrir facsímil</v>
      </c>
      <c r="K1109" s="15" t="s">
        <v>22</v>
      </c>
    </row>
    <row r="1110" spans="1:11" ht="42" customHeight="1">
      <c r="A1110" s="4" t="s">
        <v>2736</v>
      </c>
      <c r="B1110" s="5" t="s">
        <v>2736</v>
      </c>
      <c r="C1110" s="5" t="s">
        <v>35</v>
      </c>
      <c r="D1110" s="5" t="s">
        <v>36</v>
      </c>
      <c r="E1110" s="5" t="s">
        <v>99</v>
      </c>
      <c r="F1110" s="9">
        <v>83</v>
      </c>
      <c r="G1110" s="9">
        <v>883</v>
      </c>
      <c r="H1110" s="5" t="s">
        <v>20</v>
      </c>
      <c r="I1110" s="5" t="s">
        <v>2740</v>
      </c>
      <c r="J1110" s="12" t="str">
        <f>HYPERLINK("https://www.boe.es/gazeta/dias/1805/10/15/pdfs/GMD-1805-83.pdf#page=11","Abrir facsímil")</f>
        <v>Abrir facsímil</v>
      </c>
      <c r="K1110" s="15" t="s">
        <v>22</v>
      </c>
    </row>
    <row r="1111" spans="1:11" ht="42" customHeight="1">
      <c r="A1111" s="4" t="s">
        <v>2736</v>
      </c>
      <c r="B1111" s="5" t="s">
        <v>2736</v>
      </c>
      <c r="C1111" s="5" t="s">
        <v>184</v>
      </c>
      <c r="D1111" s="5" t="s">
        <v>86</v>
      </c>
      <c r="E1111" s="5" t="s">
        <v>19</v>
      </c>
      <c r="F1111" s="9">
        <v>86</v>
      </c>
      <c r="G1111" s="9">
        <v>915</v>
      </c>
      <c r="H1111" s="5" t="s">
        <v>20</v>
      </c>
      <c r="I1111" s="5" t="s">
        <v>2741</v>
      </c>
      <c r="J1111" s="12" t="str">
        <f>HYPERLINK("https://www.boe.es/gazeta/dias/1805/10/25/pdfs/GMD-1805-86.pdf#page=11","Abrir facsímil")</f>
        <v>Abrir facsímil</v>
      </c>
      <c r="K1111" s="15" t="s">
        <v>22</v>
      </c>
    </row>
    <row r="1112" spans="1:11" ht="42" customHeight="1">
      <c r="A1112" s="4" t="s">
        <v>2736</v>
      </c>
      <c r="B1112" s="5" t="s">
        <v>2736</v>
      </c>
      <c r="C1112" s="5" t="s">
        <v>35</v>
      </c>
      <c r="D1112" s="5" t="s">
        <v>36</v>
      </c>
      <c r="E1112" s="5" t="s">
        <v>495</v>
      </c>
      <c r="F1112" s="9">
        <v>103</v>
      </c>
      <c r="G1112" s="9">
        <v>1115</v>
      </c>
      <c r="H1112" s="5" t="s">
        <v>20</v>
      </c>
      <c r="I1112" s="5" t="s">
        <v>2742</v>
      </c>
      <c r="J1112" s="12" t="str">
        <f>HYPERLINK("https://www.boe.es/gazeta/dias/1805/12/24/pdfs/GMD-1805-103.pdf#page=7","Abrir facsímil")</f>
        <v>Abrir facsímil</v>
      </c>
      <c r="K1112" s="15" t="s">
        <v>22</v>
      </c>
    </row>
    <row r="1113" spans="1:11" ht="42" customHeight="1">
      <c r="A1113" s="4" t="s">
        <v>2743</v>
      </c>
      <c r="B1113" s="5" t="s">
        <v>2743</v>
      </c>
      <c r="C1113" s="5" t="s">
        <v>35</v>
      </c>
      <c r="D1113" s="5" t="s">
        <v>36</v>
      </c>
      <c r="E1113" s="5" t="s">
        <v>471</v>
      </c>
      <c r="F1113" s="9">
        <v>22</v>
      </c>
      <c r="G1113" s="9">
        <v>233</v>
      </c>
      <c r="H1113" s="5" t="s">
        <v>20</v>
      </c>
      <c r="I1113" s="5" t="s">
        <v>2744</v>
      </c>
      <c r="J1113" s="12" t="str">
        <f>HYPERLINK("https://www.boe.es/gazeta/dias/1805/03/15/pdfs/GMD-1805-22.pdf#page=9","Abrir facsímil")</f>
        <v>Abrir facsímil</v>
      </c>
      <c r="K1113" s="15" t="s">
        <v>22</v>
      </c>
    </row>
    <row r="1114" spans="1:11" ht="42" customHeight="1">
      <c r="A1114" s="4" t="s">
        <v>2745</v>
      </c>
      <c r="B1114" s="5" t="s">
        <v>2745</v>
      </c>
      <c r="C1114" s="5" t="s">
        <v>85</v>
      </c>
      <c r="D1114" s="5" t="s">
        <v>86</v>
      </c>
      <c r="E1114" s="5" t="s">
        <v>226</v>
      </c>
      <c r="F1114" s="9">
        <v>73</v>
      </c>
      <c r="G1114" s="9">
        <v>773</v>
      </c>
      <c r="H1114" s="5" t="s">
        <v>20</v>
      </c>
      <c r="I1114" s="5" t="s">
        <v>2746</v>
      </c>
      <c r="J1114" s="12" t="str">
        <f>HYPERLINK("https://www.boe.es/gazeta/dias/1805/09/10/pdfs/GMD-1805-73.pdf#page=5","Abrir facsímil")</f>
        <v>Abrir facsímil</v>
      </c>
      <c r="K1114" s="15" t="s">
        <v>22</v>
      </c>
    </row>
    <row r="1115" spans="1:11" ht="42" customHeight="1">
      <c r="A1115" s="4" t="s">
        <v>2747</v>
      </c>
      <c r="B1115" s="5" t="s">
        <v>2747</v>
      </c>
      <c r="C1115" s="5" t="s">
        <v>52</v>
      </c>
      <c r="D1115" s="5" t="s">
        <v>53</v>
      </c>
      <c r="E1115" s="5" t="s">
        <v>54</v>
      </c>
      <c r="F1115" s="9">
        <v>99</v>
      </c>
      <c r="G1115" s="9" t="s">
        <v>55</v>
      </c>
      <c r="H1115" s="5" t="s">
        <v>20</v>
      </c>
      <c r="I1115" s="5" t="s">
        <v>2748</v>
      </c>
      <c r="J1115" s="12" t="str">
        <f>HYPERLINK("https://www.boe.es/gazeta/dias/1805/12/10/pdfs/GMD-C-1805-99.pdf#page=4","Abrir facsímil")</f>
        <v>Abrir facsímil</v>
      </c>
      <c r="K1115" s="15" t="s">
        <v>22</v>
      </c>
    </row>
    <row r="1116" spans="1:11" ht="42" customHeight="1">
      <c r="A1116" s="4" t="s">
        <v>2749</v>
      </c>
      <c r="B1116" s="5" t="s">
        <v>2749</v>
      </c>
      <c r="C1116" s="5" t="s">
        <v>17</v>
      </c>
      <c r="D1116" s="5" t="s">
        <v>18</v>
      </c>
      <c r="E1116" s="5" t="s">
        <v>1132</v>
      </c>
      <c r="F1116" s="9">
        <v>72</v>
      </c>
      <c r="G1116" s="9">
        <v>767</v>
      </c>
      <c r="H1116" s="5" t="s">
        <v>20</v>
      </c>
      <c r="I1116" s="5" t="s">
        <v>2750</v>
      </c>
      <c r="J1116" s="12" t="str">
        <f>HYPERLINK("https://www.boe.es/gazeta/dias/1805/09/06/pdfs/GMD-1805-72.pdf#page=7","Abrir facsímil")</f>
        <v>Abrir facsímil</v>
      </c>
      <c r="K1116" s="15" t="s">
        <v>22</v>
      </c>
    </row>
    <row r="1117" spans="1:11" ht="42" customHeight="1">
      <c r="A1117" s="4" t="s">
        <v>2751</v>
      </c>
      <c r="B1117" s="5" t="s">
        <v>2751</v>
      </c>
      <c r="C1117" s="5" t="s">
        <v>80</v>
      </c>
      <c r="D1117" s="5" t="s">
        <v>81</v>
      </c>
      <c r="E1117" s="5" t="s">
        <v>76</v>
      </c>
      <c r="F1117" s="9">
        <v>66</v>
      </c>
      <c r="G1117" s="9">
        <v>703</v>
      </c>
      <c r="H1117" s="5" t="s">
        <v>20</v>
      </c>
      <c r="I1117" s="5" t="s">
        <v>2752</v>
      </c>
      <c r="J1117" s="12" t="str">
        <f>HYPERLINK("https://www.boe.es/gazeta/dias/1805/08/16/pdfs/GMD-1805-66.pdf#page=3","Abrir facsímil")</f>
        <v>Abrir facsímil</v>
      </c>
      <c r="K1117" s="15" t="s">
        <v>22</v>
      </c>
    </row>
    <row r="1118" spans="1:11" ht="42" customHeight="1">
      <c r="A1118" s="4" t="s">
        <v>2753</v>
      </c>
      <c r="B1118" s="5" t="s">
        <v>2754</v>
      </c>
      <c r="C1118" s="5" t="s">
        <v>35</v>
      </c>
      <c r="D1118" s="5" t="s">
        <v>36</v>
      </c>
      <c r="E1118" s="5" t="s">
        <v>19</v>
      </c>
      <c r="F1118" s="9">
        <v>86</v>
      </c>
      <c r="G1118" s="9">
        <v>913</v>
      </c>
      <c r="H1118" s="5" t="s">
        <v>20</v>
      </c>
      <c r="I1118" s="5" t="s">
        <v>2755</v>
      </c>
      <c r="J1118" s="12" t="str">
        <f>HYPERLINK("https://www.boe.es/gazeta/dias/1805/10/25/pdfs/GMD-1805-86.pdf#page=9","Abrir facsímil")</f>
        <v>Abrir facsímil</v>
      </c>
      <c r="K1118" s="15" t="s">
        <v>22</v>
      </c>
    </row>
    <row r="1119" spans="1:11" ht="42" customHeight="1">
      <c r="A1119" s="4" t="s">
        <v>2756</v>
      </c>
      <c r="B1119" s="5" t="s">
        <v>2756</v>
      </c>
      <c r="C1119" s="5" t="s">
        <v>17</v>
      </c>
      <c r="D1119" s="5" t="s">
        <v>18</v>
      </c>
      <c r="E1119" s="5" t="s">
        <v>37</v>
      </c>
      <c r="F1119" s="9">
        <v>54</v>
      </c>
      <c r="G1119" s="9">
        <v>577</v>
      </c>
      <c r="H1119" s="5" t="s">
        <v>20</v>
      </c>
      <c r="I1119" s="5" t="s">
        <v>2757</v>
      </c>
      <c r="J1119" s="12" t="str">
        <f>HYPERLINK("https://www.boe.es/gazeta/dias/1805/07/05/pdfs/GMD-1805-54.pdf#page=5","Abrir facsímil")</f>
        <v>Abrir facsímil</v>
      </c>
      <c r="K1119" s="15" t="s">
        <v>22</v>
      </c>
    </row>
    <row r="1120" spans="1:11" ht="42" customHeight="1">
      <c r="A1120" s="4" t="s">
        <v>2758</v>
      </c>
      <c r="B1120" s="5" t="s">
        <v>2759</v>
      </c>
      <c r="C1120" s="5" t="s">
        <v>35</v>
      </c>
      <c r="D1120" s="5" t="s">
        <v>36</v>
      </c>
      <c r="E1120" s="5" t="s">
        <v>91</v>
      </c>
      <c r="F1120" s="9">
        <v>28</v>
      </c>
      <c r="G1120" s="9">
        <v>300</v>
      </c>
      <c r="H1120" s="5" t="s">
        <v>20</v>
      </c>
      <c r="I1120" s="5" t="s">
        <v>2760</v>
      </c>
      <c r="J1120" s="12" t="str">
        <f>HYPERLINK("https://www.boe.es/gazeta/dias/1805/04/05/pdfs/GMD-1805-28.pdf#page=8","Abrir facsímil")</f>
        <v>Abrir facsímil</v>
      </c>
      <c r="K1120" s="15" t="s">
        <v>22</v>
      </c>
    </row>
    <row r="1121" spans="1:11" ht="42" customHeight="1">
      <c r="A1121" s="4" t="s">
        <v>2761</v>
      </c>
      <c r="B1121" s="5" t="s">
        <v>2762</v>
      </c>
      <c r="C1121" s="5" t="s">
        <v>17</v>
      </c>
      <c r="D1121" s="5" t="s">
        <v>18</v>
      </c>
      <c r="E1121" s="5" t="s">
        <v>196</v>
      </c>
      <c r="F1121" s="9">
        <v>67</v>
      </c>
      <c r="G1121" s="9">
        <v>717</v>
      </c>
      <c r="H1121" s="5" t="s">
        <v>20</v>
      </c>
      <c r="I1121" s="5" t="s">
        <v>2763</v>
      </c>
      <c r="J1121" s="12" t="str">
        <f>HYPERLINK("https://www.boe.es/gazeta/dias/1805/08/20/pdfs/GMD-1805-67.pdf#page=5","Abrir facsímil")</f>
        <v>Abrir facsímil</v>
      </c>
      <c r="K1121" s="15" t="s">
        <v>22</v>
      </c>
    </row>
    <row r="1122" spans="1:11" ht="42" customHeight="1">
      <c r="A1122" s="4" t="s">
        <v>2764</v>
      </c>
      <c r="B1122" s="5" t="s">
        <v>2765</v>
      </c>
      <c r="C1122" s="5" t="s">
        <v>17</v>
      </c>
      <c r="D1122" s="5" t="s">
        <v>18</v>
      </c>
      <c r="E1122" s="5" t="s">
        <v>132</v>
      </c>
      <c r="F1122" s="9">
        <v>2</v>
      </c>
      <c r="G1122" s="9">
        <v>21</v>
      </c>
      <c r="H1122" s="5" t="s">
        <v>20</v>
      </c>
      <c r="I1122" s="5" t="s">
        <v>2766</v>
      </c>
      <c r="J1122" s="12" t="str">
        <f>HYPERLINK("https://www.boe.es/gazeta/dias/1805/01/04/pdfs/GMD-1805-2.pdf#page=9","Abrir facsímil")</f>
        <v>Abrir facsímil</v>
      </c>
      <c r="K1122" s="15" t="s">
        <v>22</v>
      </c>
    </row>
    <row r="1123" spans="1:11" ht="42" customHeight="1">
      <c r="A1123" s="4" t="s">
        <v>2767</v>
      </c>
      <c r="B1123" s="5" t="s">
        <v>2768</v>
      </c>
      <c r="C1123" s="5" t="s">
        <v>17</v>
      </c>
      <c r="D1123" s="5" t="s">
        <v>18</v>
      </c>
      <c r="E1123" s="5" t="s">
        <v>63</v>
      </c>
      <c r="F1123" s="9">
        <v>101</v>
      </c>
      <c r="G1123" s="9">
        <v>1093</v>
      </c>
      <c r="H1123" s="5" t="s">
        <v>20</v>
      </c>
      <c r="I1123" s="5" t="s">
        <v>2769</v>
      </c>
      <c r="J1123" s="12" t="str">
        <f>HYPERLINK("https://www.boe.es/gazeta/dias/1805/12/17/pdfs/GMD-1805-101.pdf#page=9","Abrir facsímil")</f>
        <v>Abrir facsímil</v>
      </c>
      <c r="K1123" s="15" t="s">
        <v>22</v>
      </c>
    </row>
    <row r="1124" spans="1:11" ht="42" customHeight="1">
      <c r="A1124" s="4" t="s">
        <v>2770</v>
      </c>
      <c r="B1124" s="5" t="s">
        <v>2771</v>
      </c>
      <c r="C1124" s="5" t="s">
        <v>35</v>
      </c>
      <c r="D1124" s="5" t="s">
        <v>36</v>
      </c>
      <c r="E1124" s="5" t="s">
        <v>132</v>
      </c>
      <c r="F1124" s="9">
        <v>2</v>
      </c>
      <c r="G1124" s="9">
        <v>21</v>
      </c>
      <c r="H1124" s="5" t="s">
        <v>20</v>
      </c>
      <c r="I1124" s="5" t="s">
        <v>2772</v>
      </c>
      <c r="J1124" s="12" t="str">
        <f>HYPERLINK("https://www.boe.es/gazeta/dias/1805/01/04/pdfs/GMD-1805-2.pdf#page=9","Abrir facsímil")</f>
        <v>Abrir facsímil</v>
      </c>
      <c r="K1124" s="15" t="s">
        <v>22</v>
      </c>
    </row>
    <row r="1125" spans="1:11" ht="42" customHeight="1">
      <c r="A1125" s="4" t="s">
        <v>2773</v>
      </c>
      <c r="B1125" s="5" t="s">
        <v>2774</v>
      </c>
      <c r="C1125" s="5" t="s">
        <v>35</v>
      </c>
      <c r="D1125" s="5" t="s">
        <v>36</v>
      </c>
      <c r="E1125" s="5" t="s">
        <v>67</v>
      </c>
      <c r="F1125" s="9">
        <v>98</v>
      </c>
      <c r="G1125" s="9">
        <v>1058</v>
      </c>
      <c r="H1125" s="5" t="s">
        <v>20</v>
      </c>
      <c r="I1125" s="5" t="s">
        <v>2775</v>
      </c>
      <c r="J1125" s="12" t="str">
        <f>HYPERLINK("https://www.boe.es/gazeta/dias/1805/12/06/pdfs/GMD-1805-98.pdf#page=10","Abrir facsímil")</f>
        <v>Abrir facsímil</v>
      </c>
      <c r="K1125" s="15" t="s">
        <v>22</v>
      </c>
    </row>
    <row r="1126" spans="1:11" ht="42" customHeight="1">
      <c r="A1126" s="4" t="s">
        <v>2776</v>
      </c>
      <c r="B1126" s="5" t="s">
        <v>2777</v>
      </c>
      <c r="C1126" s="5" t="s">
        <v>35</v>
      </c>
      <c r="D1126" s="5" t="s">
        <v>36</v>
      </c>
      <c r="E1126" s="5" t="s">
        <v>188</v>
      </c>
      <c r="F1126" s="9">
        <v>68</v>
      </c>
      <c r="G1126" s="9">
        <v>729</v>
      </c>
      <c r="H1126" s="5" t="s">
        <v>20</v>
      </c>
      <c r="I1126" s="5" t="s">
        <v>2778</v>
      </c>
      <c r="J1126" s="12" t="str">
        <f>HYPERLINK("https://www.boe.es/gazeta/dias/1805/08/23/pdfs/GMD-1805-68.pdf#page=9","Abrir facsímil")</f>
        <v>Abrir facsímil</v>
      </c>
      <c r="K1126" s="15" t="s">
        <v>22</v>
      </c>
    </row>
    <row r="1127" spans="1:11" ht="42" customHeight="1">
      <c r="A1127" s="4" t="s">
        <v>2779</v>
      </c>
      <c r="B1127" s="5" t="s">
        <v>2780</v>
      </c>
      <c r="C1127" s="5" t="s">
        <v>29</v>
      </c>
      <c r="D1127" s="5" t="s">
        <v>30</v>
      </c>
      <c r="E1127" s="5" t="s">
        <v>19</v>
      </c>
      <c r="F1127" s="9">
        <v>86</v>
      </c>
      <c r="G1127" s="9">
        <v>916</v>
      </c>
      <c r="H1127" s="5" t="s">
        <v>20</v>
      </c>
      <c r="I1127" s="5" t="s">
        <v>2781</v>
      </c>
      <c r="J1127" s="12" t="str">
        <f>HYPERLINK("https://www.boe.es/gazeta/dias/1805/10/25/pdfs/GMD-1805-86.pdf#page=12","Abrir facsímil")</f>
        <v>Abrir facsímil</v>
      </c>
      <c r="K1127" s="15" t="s">
        <v>22</v>
      </c>
    </row>
    <row r="1128" spans="1:11" ht="42" customHeight="1">
      <c r="A1128" s="4" t="s">
        <v>2782</v>
      </c>
      <c r="B1128" s="5" t="s">
        <v>2783</v>
      </c>
      <c r="C1128" s="5" t="s">
        <v>52</v>
      </c>
      <c r="D1128" s="5" t="s">
        <v>53</v>
      </c>
      <c r="E1128" s="5" t="s">
        <v>82</v>
      </c>
      <c r="F1128" s="9">
        <v>25</v>
      </c>
      <c r="G1128" s="9" t="s">
        <v>145</v>
      </c>
      <c r="H1128" s="5" t="s">
        <v>20</v>
      </c>
      <c r="I1128" s="5" t="s">
        <v>2784</v>
      </c>
      <c r="J1128" s="12" t="str">
        <f>HYPERLINK("https://www.boe.es/gazeta/dias/1805/03/26/pdfs/GMD-C-1805-25.pdf#page=2","Abrir facsímil")</f>
        <v>Abrir facsímil</v>
      </c>
      <c r="K1128" s="15" t="s">
        <v>22</v>
      </c>
    </row>
    <row r="1129" spans="1:11" ht="42" customHeight="1">
      <c r="A1129" s="4" t="s">
        <v>2785</v>
      </c>
      <c r="B1129" s="5" t="s">
        <v>2786</v>
      </c>
      <c r="C1129" s="5" t="s">
        <v>35</v>
      </c>
      <c r="D1129" s="5" t="s">
        <v>36</v>
      </c>
      <c r="E1129" s="5" t="s">
        <v>1259</v>
      </c>
      <c r="F1129" s="9">
        <v>78</v>
      </c>
      <c r="G1129" s="9">
        <v>827</v>
      </c>
      <c r="H1129" s="5" t="s">
        <v>20</v>
      </c>
      <c r="I1129" s="5" t="s">
        <v>2787</v>
      </c>
      <c r="J1129" s="12" t="str">
        <f>HYPERLINK("https://www.boe.es/gazeta/dias/1805/09/27/pdfs/GMD-1805-78.pdf#page=7","Abrir facsímil")</f>
        <v>Abrir facsímil</v>
      </c>
      <c r="K1129" s="15" t="s">
        <v>22</v>
      </c>
    </row>
    <row r="1130" spans="1:11" ht="42" customHeight="1">
      <c r="A1130" s="4" t="s">
        <v>2788</v>
      </c>
      <c r="B1130" s="5" t="s">
        <v>2789</v>
      </c>
      <c r="C1130" s="5" t="s">
        <v>80</v>
      </c>
      <c r="D1130" s="5" t="s">
        <v>81</v>
      </c>
      <c r="E1130" s="5" t="s">
        <v>327</v>
      </c>
      <c r="F1130" s="9">
        <v>10</v>
      </c>
      <c r="G1130" s="9">
        <v>106</v>
      </c>
      <c r="H1130" s="5" t="s">
        <v>20</v>
      </c>
      <c r="I1130" s="5" t="s">
        <v>2790</v>
      </c>
      <c r="J1130" s="12" t="str">
        <f>HYPERLINK("https://www.boe.es/gazeta/dias/1805/02/01/pdfs/GMD-1805-10.pdf#page=2","Abrir facsímil")</f>
        <v>Abrir facsímil</v>
      </c>
      <c r="K1130" s="15" t="s">
        <v>22</v>
      </c>
    </row>
    <row r="1131" spans="1:11" ht="42" customHeight="1">
      <c r="A1131" s="4" t="s">
        <v>2788</v>
      </c>
      <c r="B1131" s="5" t="s">
        <v>2789</v>
      </c>
      <c r="C1131" s="5" t="s">
        <v>80</v>
      </c>
      <c r="D1131" s="5" t="s">
        <v>81</v>
      </c>
      <c r="E1131" s="5" t="s">
        <v>789</v>
      </c>
      <c r="F1131" s="9">
        <v>104</v>
      </c>
      <c r="G1131" s="9">
        <v>1126</v>
      </c>
      <c r="H1131" s="5" t="s">
        <v>20</v>
      </c>
      <c r="I1131" s="5" t="s">
        <v>2791</v>
      </c>
      <c r="J1131" s="12" t="str">
        <f>HYPERLINK("https://www.boe.es/gazeta/dias/1805/12/27/pdfs/GMD-1805-104.pdf#page=10","Abrir facsímil")</f>
        <v>Abrir facsímil</v>
      </c>
      <c r="K1131" s="15" t="s">
        <v>22</v>
      </c>
    </row>
    <row r="1132" spans="1:11" ht="42" customHeight="1">
      <c r="A1132" s="4" t="s">
        <v>2792</v>
      </c>
      <c r="B1132" s="5" t="s">
        <v>2793</v>
      </c>
      <c r="C1132" s="5" t="s">
        <v>80</v>
      </c>
      <c r="D1132" s="5" t="s">
        <v>81</v>
      </c>
      <c r="E1132" s="5" t="s">
        <v>787</v>
      </c>
      <c r="F1132" s="9">
        <v>95</v>
      </c>
      <c r="G1132" s="9">
        <v>1015</v>
      </c>
      <c r="H1132" s="5" t="s">
        <v>20</v>
      </c>
      <c r="I1132" s="5" t="s">
        <v>2794</v>
      </c>
      <c r="J1132" s="12" t="str">
        <f>HYPERLINK("https://www.boe.es/gazeta/dias/1805/11/26/pdfs/GMD-1805-95.pdf#page=3","Abrir facsímil")</f>
        <v>Abrir facsímil</v>
      </c>
      <c r="K1132" s="15" t="s">
        <v>22</v>
      </c>
    </row>
    <row r="1133" spans="1:11" ht="42" customHeight="1">
      <c r="A1133" s="4" t="s">
        <v>2795</v>
      </c>
      <c r="B1133" s="5" t="s">
        <v>2796</v>
      </c>
      <c r="C1133" s="5" t="s">
        <v>80</v>
      </c>
      <c r="D1133" s="5" t="s">
        <v>81</v>
      </c>
      <c r="E1133" s="5" t="s">
        <v>399</v>
      </c>
      <c r="F1133" s="9">
        <v>39</v>
      </c>
      <c r="G1133" s="9">
        <v>414</v>
      </c>
      <c r="H1133" s="5" t="s">
        <v>20</v>
      </c>
      <c r="I1133" s="5" t="s">
        <v>2797</v>
      </c>
      <c r="J1133" s="12" t="str">
        <f>HYPERLINK("https://www.boe.es/gazeta/dias/1805/05/14/pdfs/GMD-1805-39.pdf#page=2","Abrir facsímil")</f>
        <v>Abrir facsímil</v>
      </c>
      <c r="K1133" s="15" t="s">
        <v>22</v>
      </c>
    </row>
    <row r="1134" spans="1:11" ht="42" customHeight="1">
      <c r="A1134" s="4" t="s">
        <v>2798</v>
      </c>
      <c r="B1134" s="5" t="s">
        <v>2799</v>
      </c>
      <c r="C1134" s="5" t="s">
        <v>35</v>
      </c>
      <c r="D1134" s="5" t="s">
        <v>36</v>
      </c>
      <c r="E1134" s="5" t="s">
        <v>217</v>
      </c>
      <c r="F1134" s="9">
        <v>96</v>
      </c>
      <c r="G1134" s="9">
        <v>1032</v>
      </c>
      <c r="H1134" s="5" t="s">
        <v>20</v>
      </c>
      <c r="I1134" s="5" t="s">
        <v>2800</v>
      </c>
      <c r="J1134" s="12" t="str">
        <f>HYPERLINK("https://www.boe.es/gazeta/dias/1805/11/29/pdfs/GMD-1805-96.pdf#page=8","Abrir facsímil")</f>
        <v>Abrir facsímil</v>
      </c>
      <c r="K1134" s="15" t="s">
        <v>22</v>
      </c>
    </row>
    <row r="1135" spans="1:11" ht="42" customHeight="1">
      <c r="A1135" s="4" t="s">
        <v>2801</v>
      </c>
      <c r="B1135" s="5" t="s">
        <v>2802</v>
      </c>
      <c r="C1135" s="5" t="s">
        <v>80</v>
      </c>
      <c r="D1135" s="5" t="s">
        <v>81</v>
      </c>
      <c r="E1135" s="5" t="s">
        <v>831</v>
      </c>
      <c r="F1135" s="9">
        <v>62</v>
      </c>
      <c r="G1135" s="9">
        <v>660</v>
      </c>
      <c r="H1135" s="5" t="s">
        <v>20</v>
      </c>
      <c r="I1135" s="5" t="s">
        <v>2803</v>
      </c>
      <c r="J1135" s="12" t="str">
        <f>HYPERLINK("https://www.boe.es/gazeta/dias/1805/08/02/pdfs/GMD-1805-62.pdf#page=4","Abrir facsímil")</f>
        <v>Abrir facsímil</v>
      </c>
      <c r="K1135" s="15" t="s">
        <v>22</v>
      </c>
    </row>
    <row r="1136" spans="1:11" ht="42" customHeight="1">
      <c r="A1136" s="4" t="s">
        <v>2801</v>
      </c>
      <c r="B1136" s="5" t="s">
        <v>2802</v>
      </c>
      <c r="C1136" s="5" t="s">
        <v>80</v>
      </c>
      <c r="D1136" s="5" t="s">
        <v>81</v>
      </c>
      <c r="E1136" s="5" t="s">
        <v>711</v>
      </c>
      <c r="F1136" s="9">
        <v>63</v>
      </c>
      <c r="G1136" s="9">
        <v>669</v>
      </c>
      <c r="H1136" s="5" t="s">
        <v>20</v>
      </c>
      <c r="I1136" s="5" t="s">
        <v>2804</v>
      </c>
      <c r="J1136" s="12" t="str">
        <f>HYPERLINK("https://www.boe.es/gazeta/dias/1805/08/06/pdfs/GMD-1805-63.pdf#page=5","Abrir facsímil")</f>
        <v>Abrir facsímil</v>
      </c>
      <c r="K1136" s="15" t="s">
        <v>22</v>
      </c>
    </row>
    <row r="1137" spans="1:11" ht="42" customHeight="1">
      <c r="A1137" s="4" t="s">
        <v>2801</v>
      </c>
      <c r="B1137" s="5" t="s">
        <v>2802</v>
      </c>
      <c r="C1137" s="5" t="s">
        <v>35</v>
      </c>
      <c r="D1137" s="5" t="s">
        <v>36</v>
      </c>
      <c r="E1137" s="5" t="s">
        <v>31</v>
      </c>
      <c r="F1137" s="9">
        <v>65</v>
      </c>
      <c r="G1137" s="9">
        <v>692</v>
      </c>
      <c r="H1137" s="5" t="s">
        <v>20</v>
      </c>
      <c r="I1137" s="5" t="s">
        <v>2805</v>
      </c>
      <c r="J1137" s="12" t="str">
        <f>HYPERLINK("https://www.boe.es/gazeta/dias/1805/08/13/pdfs/GMD-1805-65.pdf#page=4","Abrir facsímil")</f>
        <v>Abrir facsímil</v>
      </c>
      <c r="K1137" s="15" t="s">
        <v>22</v>
      </c>
    </row>
    <row r="1138" spans="1:11" ht="42" customHeight="1">
      <c r="A1138" s="4" t="s">
        <v>2806</v>
      </c>
      <c r="B1138" s="5" t="s">
        <v>2807</v>
      </c>
      <c r="C1138" s="5" t="s">
        <v>52</v>
      </c>
      <c r="D1138" s="5" t="s">
        <v>53</v>
      </c>
      <c r="E1138" s="5" t="s">
        <v>82</v>
      </c>
      <c r="F1138" s="9">
        <v>25</v>
      </c>
      <c r="G1138" s="9" t="s">
        <v>145</v>
      </c>
      <c r="H1138" s="5" t="s">
        <v>20</v>
      </c>
      <c r="I1138" s="5" t="s">
        <v>2808</v>
      </c>
      <c r="J1138" s="12" t="str">
        <f>HYPERLINK("https://www.boe.es/gazeta/dias/1805/03/26/pdfs/GMD-C-1805-25.pdf#page=2","Abrir facsímil")</f>
        <v>Abrir facsímil</v>
      </c>
      <c r="K1138" s="15" t="s">
        <v>22</v>
      </c>
    </row>
    <row r="1139" spans="1:11" ht="42" customHeight="1">
      <c r="A1139" s="4" t="s">
        <v>2809</v>
      </c>
      <c r="B1139" s="5" t="s">
        <v>2809</v>
      </c>
      <c r="C1139" s="5" t="s">
        <v>17</v>
      </c>
      <c r="D1139" s="5" t="s">
        <v>18</v>
      </c>
      <c r="E1139" s="5" t="s">
        <v>114</v>
      </c>
      <c r="F1139" s="9">
        <v>17</v>
      </c>
      <c r="G1139" s="9">
        <v>176</v>
      </c>
      <c r="H1139" s="5" t="s">
        <v>20</v>
      </c>
      <c r="I1139" s="5" t="s">
        <v>2810</v>
      </c>
      <c r="J1139" s="12" t="str">
        <f>HYPERLINK("https://www.boe.es/gazeta/dias/1805/02/26/pdfs/GMD-1805-17.pdf#page=8","Abrir facsímil")</f>
        <v>Abrir facsímil</v>
      </c>
      <c r="K1139" s="15" t="s">
        <v>22</v>
      </c>
    </row>
    <row r="1140" spans="1:11" ht="42" customHeight="1">
      <c r="A1140" s="4" t="s">
        <v>2811</v>
      </c>
      <c r="B1140" s="5" t="s">
        <v>2812</v>
      </c>
      <c r="C1140" s="5" t="s">
        <v>80</v>
      </c>
      <c r="D1140" s="5" t="s">
        <v>81</v>
      </c>
      <c r="E1140" s="5" t="s">
        <v>789</v>
      </c>
      <c r="F1140" s="9">
        <v>104</v>
      </c>
      <c r="G1140" s="9">
        <v>1125</v>
      </c>
      <c r="H1140" s="5" t="s">
        <v>20</v>
      </c>
      <c r="I1140" s="5" t="s">
        <v>2813</v>
      </c>
      <c r="J1140" s="12" t="str">
        <f>HYPERLINK("https://www.boe.es/gazeta/dias/1805/12/27/pdfs/GMD-1805-104.pdf#page=9","Abrir facsímil")</f>
        <v>Abrir facsímil</v>
      </c>
      <c r="K1140" s="15" t="s">
        <v>22</v>
      </c>
    </row>
    <row r="1141" spans="1:11" ht="42" customHeight="1">
      <c r="A1141" s="4" t="s">
        <v>2814</v>
      </c>
      <c r="B1141" s="5" t="s">
        <v>2814</v>
      </c>
      <c r="C1141" s="5" t="s">
        <v>80</v>
      </c>
      <c r="D1141" s="5" t="s">
        <v>81</v>
      </c>
      <c r="E1141" s="5" t="s">
        <v>188</v>
      </c>
      <c r="F1141" s="9">
        <v>68</v>
      </c>
      <c r="G1141" s="9">
        <v>721</v>
      </c>
      <c r="H1141" s="5" t="s">
        <v>20</v>
      </c>
      <c r="I1141" s="5" t="s">
        <v>2815</v>
      </c>
      <c r="J1141" s="12" t="str">
        <f>HYPERLINK("https://www.boe.es/gazeta/dias/1805/08/23/pdfs/GMD-1805-68.pdf#page=1","Abrir facsímil")</f>
        <v>Abrir facsímil</v>
      </c>
      <c r="K1141" s="15" t="s">
        <v>22</v>
      </c>
    </row>
    <row r="1142" spans="1:11" ht="42" customHeight="1">
      <c r="A1142" s="4" t="s">
        <v>2816</v>
      </c>
      <c r="B1142" s="5" t="s">
        <v>2816</v>
      </c>
      <c r="C1142" s="5" t="s">
        <v>17</v>
      </c>
      <c r="D1142" s="5" t="s">
        <v>18</v>
      </c>
      <c r="E1142" s="5" t="s">
        <v>539</v>
      </c>
      <c r="F1142" s="9">
        <v>97</v>
      </c>
      <c r="G1142" s="9">
        <v>1044</v>
      </c>
      <c r="H1142" s="5" t="s">
        <v>20</v>
      </c>
      <c r="I1142" s="5" t="s">
        <v>2817</v>
      </c>
      <c r="J1142" s="12" t="str">
        <f>HYPERLINK("https://www.boe.es/gazeta/dias/1805/12/03/pdfs/GMD-1805-97.pdf#page=8","Abrir facsímil")</f>
        <v>Abrir facsímil</v>
      </c>
      <c r="K1142" s="15" t="s">
        <v>22</v>
      </c>
    </row>
    <row r="1143" spans="1:11" ht="42" customHeight="1">
      <c r="A1143" s="4" t="s">
        <v>2818</v>
      </c>
      <c r="B1143" s="5" t="s">
        <v>2818</v>
      </c>
      <c r="C1143" s="5" t="s">
        <v>29</v>
      </c>
      <c r="D1143" s="5" t="s">
        <v>30</v>
      </c>
      <c r="E1143" s="5" t="s">
        <v>293</v>
      </c>
      <c r="F1143" s="9">
        <v>5</v>
      </c>
      <c r="G1143" s="9">
        <v>56</v>
      </c>
      <c r="H1143" s="5" t="s">
        <v>20</v>
      </c>
      <c r="I1143" s="5" t="s">
        <v>2819</v>
      </c>
      <c r="J1143" s="12" t="str">
        <f>HYPERLINK("https://www.boe.es/gazeta/dias/1805/01/15/pdfs/GMD-1805-5.pdf#page=12","Abrir facsímil")</f>
        <v>Abrir facsímil</v>
      </c>
      <c r="K1143" s="15" t="s">
        <v>22</v>
      </c>
    </row>
    <row r="1144" spans="1:11" ht="42" customHeight="1">
      <c r="A1144" s="4" t="s">
        <v>2820</v>
      </c>
      <c r="B1144" s="5" t="s">
        <v>2820</v>
      </c>
      <c r="C1144" s="5" t="s">
        <v>52</v>
      </c>
      <c r="D1144" s="5" t="s">
        <v>53</v>
      </c>
      <c r="E1144" s="5" t="s">
        <v>144</v>
      </c>
      <c r="F1144" s="9">
        <v>85</v>
      </c>
      <c r="G1144" s="9" t="s">
        <v>55</v>
      </c>
      <c r="H1144" s="5" t="s">
        <v>20</v>
      </c>
      <c r="I1144" s="5" t="s">
        <v>2821</v>
      </c>
      <c r="J1144" s="12" t="str">
        <f>HYPERLINK("https://www.boe.es/gazeta/dias/1805/10/22/pdfs/GMD-C-1805-85.pdf#page=4","Abrir facsímil")</f>
        <v>Abrir facsímil</v>
      </c>
      <c r="K1144" s="15" t="s">
        <v>22</v>
      </c>
    </row>
    <row r="1145" spans="1:11" ht="42" customHeight="1">
      <c r="A1145" s="4" t="s">
        <v>2822</v>
      </c>
      <c r="B1145" s="5" t="s">
        <v>2823</v>
      </c>
      <c r="C1145" s="5" t="s">
        <v>17</v>
      </c>
      <c r="D1145" s="5" t="s">
        <v>18</v>
      </c>
      <c r="E1145" s="5" t="s">
        <v>24</v>
      </c>
      <c r="F1145" s="9">
        <v>11</v>
      </c>
      <c r="G1145" s="9">
        <v>117</v>
      </c>
      <c r="H1145" s="5" t="s">
        <v>20</v>
      </c>
      <c r="I1145" s="5" t="s">
        <v>2824</v>
      </c>
      <c r="J1145" s="12" t="str">
        <f>HYPERLINK("https://www.boe.es/gazeta/dias/1805/02/05/pdfs/GMD-1805-11.pdf#page=5","Abrir facsímil")</f>
        <v>Abrir facsímil</v>
      </c>
      <c r="K1145" s="15" t="s">
        <v>22</v>
      </c>
    </row>
    <row r="1146" spans="1:11" ht="42" customHeight="1">
      <c r="A1146" s="4" t="s">
        <v>2825</v>
      </c>
      <c r="B1146" s="5" t="s">
        <v>2826</v>
      </c>
      <c r="C1146" s="5" t="s">
        <v>17</v>
      </c>
      <c r="D1146" s="5" t="s">
        <v>18</v>
      </c>
      <c r="E1146" s="5" t="s">
        <v>711</v>
      </c>
      <c r="F1146" s="9">
        <v>63</v>
      </c>
      <c r="G1146" s="9">
        <v>673</v>
      </c>
      <c r="H1146" s="5" t="s">
        <v>20</v>
      </c>
      <c r="I1146" s="5" t="s">
        <v>2827</v>
      </c>
      <c r="J1146" s="12" t="str">
        <f>HYPERLINK("https://www.boe.es/gazeta/dias/1805/08/06/pdfs/GMD-1805-63.pdf#page=9","Abrir facsímil")</f>
        <v>Abrir facsímil</v>
      </c>
      <c r="K1146" s="15" t="s">
        <v>22</v>
      </c>
    </row>
    <row r="1147" spans="1:11" ht="42" customHeight="1">
      <c r="A1147" s="4" t="s">
        <v>2828</v>
      </c>
      <c r="B1147" s="5" t="s">
        <v>2829</v>
      </c>
      <c r="C1147" s="5" t="s">
        <v>17</v>
      </c>
      <c r="D1147" s="5" t="s">
        <v>18</v>
      </c>
      <c r="E1147" s="5" t="s">
        <v>40</v>
      </c>
      <c r="F1147" s="9">
        <v>59</v>
      </c>
      <c r="G1147" s="9">
        <v>631</v>
      </c>
      <c r="H1147" s="5" t="s">
        <v>20</v>
      </c>
      <c r="I1147" s="5" t="s">
        <v>2830</v>
      </c>
      <c r="J1147" s="12" t="str">
        <f>HYPERLINK("https://www.boe.es/gazeta/dias/1805/07/23/pdfs/GMD-1805-59.pdf#page=7","Abrir facsímil")</f>
        <v>Abrir facsímil</v>
      </c>
      <c r="K1147" s="15" t="s">
        <v>22</v>
      </c>
    </row>
    <row r="1148" spans="1:11" ht="42" customHeight="1">
      <c r="A1148" s="4" t="s">
        <v>2831</v>
      </c>
      <c r="B1148" s="5" t="s">
        <v>2832</v>
      </c>
      <c r="C1148" s="5" t="s">
        <v>85</v>
      </c>
      <c r="D1148" s="5" t="s">
        <v>86</v>
      </c>
      <c r="E1148" s="5" t="s">
        <v>327</v>
      </c>
      <c r="F1148" s="9">
        <v>10</v>
      </c>
      <c r="G1148" s="9">
        <v>110</v>
      </c>
      <c r="H1148" s="5" t="s">
        <v>20</v>
      </c>
      <c r="I1148" s="5" t="s">
        <v>2833</v>
      </c>
      <c r="J1148" s="12" t="str">
        <f>HYPERLINK("https://www.boe.es/gazeta/dias/1805/02/01/pdfs/GMD-1805-10.pdf#page=6","Abrir facsímil")</f>
        <v>Abrir facsímil</v>
      </c>
      <c r="K1148" s="15" t="s">
        <v>22</v>
      </c>
    </row>
    <row r="1149" spans="1:11" ht="42" customHeight="1">
      <c r="A1149" s="4" t="s">
        <v>2834</v>
      </c>
      <c r="B1149" s="5" t="s">
        <v>2835</v>
      </c>
      <c r="C1149" s="5" t="s">
        <v>80</v>
      </c>
      <c r="D1149" s="5" t="s">
        <v>81</v>
      </c>
      <c r="E1149" s="5" t="s">
        <v>37</v>
      </c>
      <c r="F1149" s="9">
        <v>54</v>
      </c>
      <c r="G1149" s="9">
        <v>575</v>
      </c>
      <c r="H1149" s="5" t="s">
        <v>20</v>
      </c>
      <c r="I1149" s="5" t="s">
        <v>2836</v>
      </c>
      <c r="J1149" s="12" t="str">
        <f>HYPERLINK("https://www.boe.es/gazeta/dias/1805/07/05/pdfs/GMD-1805-54.pdf#page=3","Abrir facsímil")</f>
        <v>Abrir facsímil</v>
      </c>
      <c r="K1149" s="15" t="s">
        <v>22</v>
      </c>
    </row>
    <row r="1150" spans="1:11" ht="42" customHeight="1">
      <c r="A1150" s="4" t="s">
        <v>2834</v>
      </c>
      <c r="B1150" s="5" t="s">
        <v>2835</v>
      </c>
      <c r="C1150" s="5" t="s">
        <v>80</v>
      </c>
      <c r="D1150" s="5" t="s">
        <v>81</v>
      </c>
      <c r="E1150" s="5" t="s">
        <v>37</v>
      </c>
      <c r="F1150" s="9">
        <v>54</v>
      </c>
      <c r="G1150" s="9">
        <v>576</v>
      </c>
      <c r="H1150" s="5" t="s">
        <v>20</v>
      </c>
      <c r="I1150" s="5" t="s">
        <v>2837</v>
      </c>
      <c r="J1150" s="12" t="str">
        <f>HYPERLINK("https://www.boe.es/gazeta/dias/1805/07/05/pdfs/GMD-1805-54.pdf#page=4","Abrir facsímil")</f>
        <v>Abrir facsímil</v>
      </c>
      <c r="K1150" s="15" t="s">
        <v>22</v>
      </c>
    </row>
    <row r="1151" spans="1:11" ht="42" customHeight="1">
      <c r="A1151" s="4" t="s">
        <v>2838</v>
      </c>
      <c r="B1151" s="5" t="s">
        <v>2839</v>
      </c>
      <c r="C1151" s="5" t="s">
        <v>17</v>
      </c>
      <c r="D1151" s="5" t="s">
        <v>18</v>
      </c>
      <c r="E1151" s="5" t="s">
        <v>585</v>
      </c>
      <c r="F1151" s="9">
        <v>64</v>
      </c>
      <c r="G1151" s="9">
        <v>686</v>
      </c>
      <c r="H1151" s="5" t="s">
        <v>20</v>
      </c>
      <c r="I1151" s="5" t="s">
        <v>2840</v>
      </c>
      <c r="J1151" s="12" t="str">
        <f>HYPERLINK("https://www.boe.es/gazeta/dias/1805/08/09/pdfs/GMD-1805-64.pdf#page=10","Abrir facsímil")</f>
        <v>Abrir facsímil</v>
      </c>
      <c r="K1151" s="15" t="s">
        <v>22</v>
      </c>
    </row>
    <row r="1152" spans="1:11" ht="42" customHeight="1">
      <c r="A1152" s="4" t="s">
        <v>2841</v>
      </c>
      <c r="B1152" s="5" t="s">
        <v>2842</v>
      </c>
      <c r="C1152" s="5" t="s">
        <v>35</v>
      </c>
      <c r="D1152" s="5" t="s">
        <v>36</v>
      </c>
      <c r="E1152" s="5" t="s">
        <v>850</v>
      </c>
      <c r="F1152" s="9">
        <v>42</v>
      </c>
      <c r="G1152" s="9">
        <v>452</v>
      </c>
      <c r="H1152" s="5" t="s">
        <v>20</v>
      </c>
      <c r="I1152" s="5" t="s">
        <v>2843</v>
      </c>
      <c r="J1152" s="12" t="str">
        <f>HYPERLINK("https://www.boe.es/gazeta/dias/1805/05/24/pdfs/GMD-1805-42.pdf#page=8","Abrir facsímil")</f>
        <v>Abrir facsímil</v>
      </c>
      <c r="K1152" s="15" t="s">
        <v>22</v>
      </c>
    </row>
    <row r="1153" spans="1:11" ht="42" customHeight="1">
      <c r="A1153" s="4" t="s">
        <v>2844</v>
      </c>
      <c r="B1153" s="5" t="s">
        <v>2844</v>
      </c>
      <c r="C1153" s="5" t="s">
        <v>35</v>
      </c>
      <c r="D1153" s="5" t="s">
        <v>36</v>
      </c>
      <c r="E1153" s="5" t="s">
        <v>163</v>
      </c>
      <c r="F1153" s="9">
        <v>77</v>
      </c>
      <c r="G1153" s="9">
        <v>816</v>
      </c>
      <c r="H1153" s="5" t="s">
        <v>20</v>
      </c>
      <c r="I1153" s="5" t="s">
        <v>2845</v>
      </c>
      <c r="J1153" s="12" t="str">
        <f>HYPERLINK("https://www.boe.es/gazeta/dias/1805/09/24/pdfs/GMD-1805-77.pdf#page=8","Abrir facsímil")</f>
        <v>Abrir facsímil</v>
      </c>
      <c r="K1153" s="15" t="s">
        <v>22</v>
      </c>
    </row>
    <row r="1154" spans="1:11" ht="42" customHeight="1">
      <c r="A1154" s="4" t="s">
        <v>2846</v>
      </c>
      <c r="B1154" s="5" t="s">
        <v>2847</v>
      </c>
      <c r="C1154" s="5" t="s">
        <v>35</v>
      </c>
      <c r="D1154" s="5" t="s">
        <v>36</v>
      </c>
      <c r="E1154" s="5" t="s">
        <v>19</v>
      </c>
      <c r="F1154" s="9">
        <v>86</v>
      </c>
      <c r="G1154" s="9">
        <v>914</v>
      </c>
      <c r="H1154" s="5" t="s">
        <v>20</v>
      </c>
      <c r="I1154" s="5" t="s">
        <v>2848</v>
      </c>
      <c r="J1154" s="12" t="str">
        <f>HYPERLINK("https://www.boe.es/gazeta/dias/1805/10/25/pdfs/GMD-1805-86.pdf#page=10","Abrir facsímil")</f>
        <v>Abrir facsímil</v>
      </c>
      <c r="K1154" s="15" t="s">
        <v>22</v>
      </c>
    </row>
    <row r="1155" spans="1:11" ht="42" customHeight="1">
      <c r="A1155" s="4" t="s">
        <v>2849</v>
      </c>
      <c r="B1155" s="5" t="s">
        <v>2849</v>
      </c>
      <c r="C1155" s="5" t="s">
        <v>80</v>
      </c>
      <c r="D1155" s="5" t="s">
        <v>81</v>
      </c>
      <c r="E1155" s="5" t="s">
        <v>103</v>
      </c>
      <c r="F1155" s="9">
        <v>30</v>
      </c>
      <c r="G1155" s="9">
        <v>322</v>
      </c>
      <c r="H1155" s="5" t="s">
        <v>20</v>
      </c>
      <c r="I1155" s="5" t="s">
        <v>2850</v>
      </c>
      <c r="J1155" s="12" t="str">
        <f>HYPERLINK("https://www.boe.es/gazeta/dias/1805/04/12/pdfs/GMD-1805-30.pdf#page=6","Abrir facsímil")</f>
        <v>Abrir facsímil</v>
      </c>
      <c r="K1155" s="15" t="s">
        <v>22</v>
      </c>
    </row>
    <row r="1156" spans="1:11" ht="42" customHeight="1">
      <c r="A1156" s="4" t="s">
        <v>2849</v>
      </c>
      <c r="B1156" s="5" t="s">
        <v>2849</v>
      </c>
      <c r="C1156" s="5" t="s">
        <v>35</v>
      </c>
      <c r="D1156" s="5" t="s">
        <v>36</v>
      </c>
      <c r="E1156" s="5" t="s">
        <v>673</v>
      </c>
      <c r="F1156" s="9">
        <v>32</v>
      </c>
      <c r="G1156" s="9">
        <v>342</v>
      </c>
      <c r="H1156" s="5" t="s">
        <v>20</v>
      </c>
      <c r="I1156" s="5" t="s">
        <v>2851</v>
      </c>
      <c r="J1156" s="12" t="str">
        <f>HYPERLINK("https://www.boe.es/gazeta/dias/1805/04/19/pdfs/GMD-1805-32.pdf#page=6","Abrir facsímil")</f>
        <v>Abrir facsímil</v>
      </c>
      <c r="K1156" s="15" t="s">
        <v>22</v>
      </c>
    </row>
    <row r="1157" spans="1:11" ht="42" customHeight="1">
      <c r="A1157" s="4" t="s">
        <v>2852</v>
      </c>
      <c r="B1157" s="5" t="s">
        <v>2852</v>
      </c>
      <c r="C1157" s="5" t="s">
        <v>80</v>
      </c>
      <c r="D1157" s="5" t="s">
        <v>81</v>
      </c>
      <c r="E1157" s="5" t="s">
        <v>207</v>
      </c>
      <c r="F1157" s="9">
        <v>76</v>
      </c>
      <c r="G1157" s="9">
        <v>804</v>
      </c>
      <c r="H1157" s="5" t="s">
        <v>20</v>
      </c>
      <c r="I1157" s="5" t="s">
        <v>2853</v>
      </c>
      <c r="J1157" s="12" t="str">
        <f>HYPERLINK("https://www.boe.es/gazeta/dias/1805/09/20/pdfs/GMD-1805-76.pdf#page=4","Abrir facsímil")</f>
        <v>Abrir facsímil</v>
      </c>
      <c r="K1157" s="15" t="s">
        <v>22</v>
      </c>
    </row>
    <row r="1158" spans="1:11" ht="42" customHeight="1">
      <c r="A1158" s="4" t="s">
        <v>2854</v>
      </c>
      <c r="B1158" s="5" t="s">
        <v>2855</v>
      </c>
      <c r="C1158" s="5" t="s">
        <v>184</v>
      </c>
      <c r="D1158" s="5" t="s">
        <v>86</v>
      </c>
      <c r="E1158" s="5" t="s">
        <v>904</v>
      </c>
      <c r="F1158" s="9">
        <v>47</v>
      </c>
      <c r="G1158" s="9">
        <v>511</v>
      </c>
      <c r="H1158" s="5" t="s">
        <v>20</v>
      </c>
      <c r="I1158" s="5" t="s">
        <v>2856</v>
      </c>
      <c r="J1158" s="12" t="str">
        <f>HYPERLINK("https://www.boe.es/gazeta/dias/1805/06/11/pdfs/GMD-1805-47.pdf#page=11","Abrir facsímil")</f>
        <v>Abrir facsímil</v>
      </c>
      <c r="K1158" s="15" t="s">
        <v>22</v>
      </c>
    </row>
    <row r="1159" spans="1:11" ht="42" customHeight="1">
      <c r="A1159" s="4" t="s">
        <v>2857</v>
      </c>
      <c r="B1159" s="5" t="s">
        <v>2858</v>
      </c>
      <c r="C1159" s="5" t="s">
        <v>35</v>
      </c>
      <c r="D1159" s="5" t="s">
        <v>36</v>
      </c>
      <c r="E1159" s="5" t="s">
        <v>138</v>
      </c>
      <c r="F1159" s="9">
        <v>102</v>
      </c>
      <c r="G1159" s="9">
        <v>1102</v>
      </c>
      <c r="H1159" s="5" t="s">
        <v>20</v>
      </c>
      <c r="I1159" s="5" t="s">
        <v>2859</v>
      </c>
      <c r="J1159" s="12" t="str">
        <f>HYPERLINK("https://www.boe.es/gazeta/dias/1805/12/20/pdfs/GMD-1805-102.pdf#page=6","Abrir facsímil")</f>
        <v>Abrir facsímil</v>
      </c>
      <c r="K1159" s="15" t="s">
        <v>22</v>
      </c>
    </row>
    <row r="1160" spans="1:11" ht="42" customHeight="1">
      <c r="A1160" s="4" t="s">
        <v>2860</v>
      </c>
      <c r="B1160" s="5" t="s">
        <v>2861</v>
      </c>
      <c r="C1160" s="5" t="s">
        <v>35</v>
      </c>
      <c r="D1160" s="5" t="s">
        <v>36</v>
      </c>
      <c r="E1160" s="5" t="s">
        <v>163</v>
      </c>
      <c r="F1160" s="9">
        <v>77</v>
      </c>
      <c r="G1160" s="9">
        <v>816</v>
      </c>
      <c r="H1160" s="5" t="s">
        <v>20</v>
      </c>
      <c r="I1160" s="5" t="s">
        <v>2862</v>
      </c>
      <c r="J1160" s="12" t="str">
        <f>HYPERLINK("https://www.boe.es/gazeta/dias/1805/09/24/pdfs/GMD-1805-77.pdf#page=8","Abrir facsímil")</f>
        <v>Abrir facsímil</v>
      </c>
      <c r="K1160" s="15" t="s">
        <v>22</v>
      </c>
    </row>
    <row r="1161" spans="1:11" ht="42" customHeight="1">
      <c r="A1161" s="4" t="s">
        <v>2860</v>
      </c>
      <c r="B1161" s="5" t="s">
        <v>2861</v>
      </c>
      <c r="C1161" s="5" t="s">
        <v>17</v>
      </c>
      <c r="D1161" s="5" t="s">
        <v>18</v>
      </c>
      <c r="E1161" s="5" t="s">
        <v>552</v>
      </c>
      <c r="F1161" s="9">
        <v>94</v>
      </c>
      <c r="G1161" s="9">
        <v>1008</v>
      </c>
      <c r="H1161" s="5" t="s">
        <v>20</v>
      </c>
      <c r="I1161" s="5" t="s">
        <v>2863</v>
      </c>
      <c r="J1161" s="12" t="str">
        <f>HYPERLINK("https://www.boe.es/gazeta/dias/1805/11/22/pdfs/GMD-1805-94.pdf#page=8","Abrir facsímil")</f>
        <v>Abrir facsímil</v>
      </c>
      <c r="K1161" s="15" t="s">
        <v>22</v>
      </c>
    </row>
    <row r="1162" spans="1:11" ht="42" customHeight="1">
      <c r="A1162" s="4" t="s">
        <v>2864</v>
      </c>
      <c r="B1162" s="5" t="s">
        <v>2865</v>
      </c>
      <c r="C1162" s="5" t="s">
        <v>80</v>
      </c>
      <c r="D1162" s="5" t="s">
        <v>81</v>
      </c>
      <c r="E1162" s="5" t="s">
        <v>19</v>
      </c>
      <c r="F1162" s="9">
        <v>86</v>
      </c>
      <c r="G1162" s="9">
        <v>907</v>
      </c>
      <c r="H1162" s="5" t="s">
        <v>20</v>
      </c>
      <c r="I1162" s="5" t="s">
        <v>2866</v>
      </c>
      <c r="J1162" s="12" t="str">
        <f>HYPERLINK("https://www.boe.es/gazeta/dias/1805/10/25/pdfs/GMD-1805-86.pdf#page=3","Abrir facsímil")</f>
        <v>Abrir facsímil</v>
      </c>
      <c r="K1162" s="15" t="s">
        <v>22</v>
      </c>
    </row>
    <row r="1163" spans="1:11" ht="42" customHeight="1">
      <c r="A1163" s="4" t="s">
        <v>2867</v>
      </c>
      <c r="B1163" s="5" t="s">
        <v>2868</v>
      </c>
      <c r="C1163" s="5" t="s">
        <v>80</v>
      </c>
      <c r="D1163" s="5" t="s">
        <v>81</v>
      </c>
      <c r="E1163" s="5" t="s">
        <v>19</v>
      </c>
      <c r="F1163" s="9">
        <v>86</v>
      </c>
      <c r="G1163" s="9">
        <v>912</v>
      </c>
      <c r="H1163" s="5" t="s">
        <v>20</v>
      </c>
      <c r="I1163" s="5" t="s">
        <v>2869</v>
      </c>
      <c r="J1163" s="12" t="str">
        <f>HYPERLINK("https://www.boe.es/gazeta/dias/1805/10/25/pdfs/GMD-1805-86.pdf#page=8","Abrir facsímil")</f>
        <v>Abrir facsímil</v>
      </c>
      <c r="K1163" s="15" t="s">
        <v>22</v>
      </c>
    </row>
    <row r="1164" spans="1:11" ht="42" customHeight="1">
      <c r="A1164" s="4" t="s">
        <v>2870</v>
      </c>
      <c r="B1164" s="5" t="s">
        <v>2871</v>
      </c>
      <c r="C1164" s="5" t="s">
        <v>80</v>
      </c>
      <c r="D1164" s="5" t="s">
        <v>81</v>
      </c>
      <c r="E1164" s="5" t="s">
        <v>215</v>
      </c>
      <c r="F1164" s="9">
        <v>87</v>
      </c>
      <c r="G1164" s="9">
        <v>923</v>
      </c>
      <c r="H1164" s="5" t="s">
        <v>20</v>
      </c>
      <c r="I1164" s="5" t="s">
        <v>2872</v>
      </c>
      <c r="J1164" s="12" t="str">
        <f>HYPERLINK("https://www.boe.es/gazeta/dias/1805/10/29/pdfs/GMD-1805-87.pdf#page=7","Abrir facsímil")</f>
        <v>Abrir facsímil</v>
      </c>
      <c r="K1164" s="15" t="s">
        <v>22</v>
      </c>
    </row>
    <row r="1165" spans="1:11" ht="42" customHeight="1">
      <c r="A1165" s="4" t="s">
        <v>2864</v>
      </c>
      <c r="B1165" s="5" t="s">
        <v>2865</v>
      </c>
      <c r="C1165" s="5" t="s">
        <v>80</v>
      </c>
      <c r="D1165" s="5" t="s">
        <v>81</v>
      </c>
      <c r="E1165" s="5" t="s">
        <v>215</v>
      </c>
      <c r="F1165" s="9">
        <v>87</v>
      </c>
      <c r="G1165" s="9">
        <v>925</v>
      </c>
      <c r="H1165" s="5" t="s">
        <v>20</v>
      </c>
      <c r="I1165" s="5" t="s">
        <v>2873</v>
      </c>
      <c r="J1165" s="12" t="str">
        <f>HYPERLINK("https://www.boe.es/gazeta/dias/1805/10/29/pdfs/GMD-1805-87.pdf#page=9","Abrir facsímil")</f>
        <v>Abrir facsímil</v>
      </c>
      <c r="K1165" s="15" t="s">
        <v>22</v>
      </c>
    </row>
    <row r="1166" spans="1:11" ht="42" customHeight="1">
      <c r="A1166" s="4" t="s">
        <v>2864</v>
      </c>
      <c r="B1166" s="5" t="s">
        <v>2865</v>
      </c>
      <c r="C1166" s="5" t="s">
        <v>80</v>
      </c>
      <c r="D1166" s="5" t="s">
        <v>81</v>
      </c>
      <c r="E1166" s="5" t="s">
        <v>864</v>
      </c>
      <c r="F1166" s="9">
        <v>88</v>
      </c>
      <c r="G1166" s="9">
        <v>934</v>
      </c>
      <c r="H1166" s="5" t="s">
        <v>20</v>
      </c>
      <c r="I1166" s="5" t="s">
        <v>2874</v>
      </c>
      <c r="J1166" s="12" t="str">
        <f>HYPERLINK("https://www.boe.es/gazeta/dias/1805/11/01/pdfs/GMD-1805-88.pdf#page=6","Abrir facsímil")</f>
        <v>Abrir facsímil</v>
      </c>
      <c r="K1166" s="15" t="s">
        <v>22</v>
      </c>
    </row>
    <row r="1167" spans="1:11" ht="42" customHeight="1">
      <c r="A1167" s="4" t="s">
        <v>2864</v>
      </c>
      <c r="B1167" s="5" t="s">
        <v>2865</v>
      </c>
      <c r="C1167" s="5" t="s">
        <v>17</v>
      </c>
      <c r="D1167" s="5" t="s">
        <v>18</v>
      </c>
      <c r="E1167" s="5" t="s">
        <v>817</v>
      </c>
      <c r="F1167" s="9">
        <v>92</v>
      </c>
      <c r="G1167" s="9">
        <v>987</v>
      </c>
      <c r="H1167" s="5" t="s">
        <v>20</v>
      </c>
      <c r="I1167" s="5" t="s">
        <v>2875</v>
      </c>
      <c r="J1167" s="12" t="str">
        <f>HYPERLINK("https://www.boe.es/gazeta/dias/1805/11/15/pdfs/GMD-1805-92.pdf#page=7","Abrir facsímil")</f>
        <v>Abrir facsímil</v>
      </c>
      <c r="K1167" s="15" t="s">
        <v>22</v>
      </c>
    </row>
    <row r="1168" spans="1:11" ht="42" customHeight="1">
      <c r="A1168" s="4" t="s">
        <v>2864</v>
      </c>
      <c r="B1168" s="5" t="s">
        <v>2865</v>
      </c>
      <c r="C1168" s="5" t="s">
        <v>80</v>
      </c>
      <c r="D1168" s="5" t="s">
        <v>81</v>
      </c>
      <c r="E1168" s="5" t="s">
        <v>886</v>
      </c>
      <c r="F1168" s="9">
        <v>93</v>
      </c>
      <c r="G1168" s="9">
        <v>995</v>
      </c>
      <c r="H1168" s="5" t="s">
        <v>20</v>
      </c>
      <c r="I1168" s="5" t="s">
        <v>2876</v>
      </c>
      <c r="J1168" s="12" t="str">
        <f>HYPERLINK("https://www.boe.es/gazeta/dias/1805/11/19/pdfs/GMD-1805-93.pdf#page=7","Abrir facsímil")</f>
        <v>Abrir facsímil</v>
      </c>
      <c r="K1168" s="15" t="s">
        <v>22</v>
      </c>
    </row>
    <row r="1169" spans="1:11" ht="42" customHeight="1">
      <c r="A1169" s="4" t="s">
        <v>2864</v>
      </c>
      <c r="B1169" s="5" t="s">
        <v>2865</v>
      </c>
      <c r="C1169" s="5" t="s">
        <v>80</v>
      </c>
      <c r="D1169" s="5" t="s">
        <v>81</v>
      </c>
      <c r="E1169" s="5" t="s">
        <v>552</v>
      </c>
      <c r="F1169" s="9">
        <v>94</v>
      </c>
      <c r="G1169" s="9">
        <v>1005</v>
      </c>
      <c r="H1169" s="5" t="s">
        <v>20</v>
      </c>
      <c r="I1169" s="5" t="s">
        <v>2877</v>
      </c>
      <c r="J1169" s="12" t="str">
        <f>HYPERLINK("https://www.boe.es/gazeta/dias/1805/11/22/pdfs/GMD-1805-94.pdf#page=5","Abrir facsímil")</f>
        <v>Abrir facsímil</v>
      </c>
      <c r="K1169" s="15" t="s">
        <v>22</v>
      </c>
    </row>
    <row r="1170" spans="1:11" ht="42" customHeight="1">
      <c r="A1170" s="4" t="s">
        <v>2864</v>
      </c>
      <c r="B1170" s="5" t="s">
        <v>2865</v>
      </c>
      <c r="C1170" s="5" t="s">
        <v>80</v>
      </c>
      <c r="D1170" s="5" t="s">
        <v>81</v>
      </c>
      <c r="E1170" s="5" t="s">
        <v>552</v>
      </c>
      <c r="F1170" s="9">
        <v>94</v>
      </c>
      <c r="G1170" s="9">
        <v>1007</v>
      </c>
      <c r="H1170" s="5" t="s">
        <v>20</v>
      </c>
      <c r="I1170" s="5" t="s">
        <v>2878</v>
      </c>
      <c r="J1170" s="12" t="str">
        <f>HYPERLINK("https://www.boe.es/gazeta/dias/1805/11/22/pdfs/GMD-1805-94.pdf#page=7","Abrir facsímil")</f>
        <v>Abrir facsímil</v>
      </c>
      <c r="K1170" s="15" t="s">
        <v>22</v>
      </c>
    </row>
    <row r="1171" spans="1:11" ht="42" customHeight="1">
      <c r="A1171" s="4" t="s">
        <v>2864</v>
      </c>
      <c r="B1171" s="5" t="s">
        <v>2865</v>
      </c>
      <c r="C1171" s="5" t="s">
        <v>17</v>
      </c>
      <c r="D1171" s="5" t="s">
        <v>18</v>
      </c>
      <c r="E1171" s="5" t="s">
        <v>787</v>
      </c>
      <c r="F1171" s="9">
        <v>95</v>
      </c>
      <c r="G1171" s="9">
        <v>1018</v>
      </c>
      <c r="H1171" s="5" t="s">
        <v>20</v>
      </c>
      <c r="I1171" s="5" t="s">
        <v>2879</v>
      </c>
      <c r="J1171" s="12" t="str">
        <f>HYPERLINK("https://www.boe.es/gazeta/dias/1805/11/26/pdfs/GMD-1805-95.pdf#page=6","Abrir facsímil")</f>
        <v>Abrir facsímil</v>
      </c>
      <c r="K1171" s="15" t="s">
        <v>22</v>
      </c>
    </row>
    <row r="1172" spans="1:11" ht="42" customHeight="1">
      <c r="A1172" s="4" t="s">
        <v>2864</v>
      </c>
      <c r="B1172" s="5" t="s">
        <v>2865</v>
      </c>
      <c r="C1172" s="5" t="s">
        <v>17</v>
      </c>
      <c r="D1172" s="5" t="s">
        <v>18</v>
      </c>
      <c r="E1172" s="5" t="s">
        <v>787</v>
      </c>
      <c r="F1172" s="9">
        <v>95</v>
      </c>
      <c r="G1172" s="9">
        <v>1019</v>
      </c>
      <c r="H1172" s="5" t="s">
        <v>20</v>
      </c>
      <c r="I1172" s="5" t="s">
        <v>2880</v>
      </c>
      <c r="J1172" s="12" t="str">
        <f>HYPERLINK("https://www.boe.es/gazeta/dias/1805/11/26/pdfs/GMD-1805-95.pdf#page=7","Abrir facsímil")</f>
        <v>Abrir facsímil</v>
      </c>
      <c r="K1172" s="15" t="s">
        <v>22</v>
      </c>
    </row>
    <row r="1173" spans="1:11" ht="42" customHeight="1">
      <c r="A1173" s="4" t="s">
        <v>2864</v>
      </c>
      <c r="B1173" s="5" t="s">
        <v>2865</v>
      </c>
      <c r="C1173" s="5" t="s">
        <v>184</v>
      </c>
      <c r="D1173" s="5" t="s">
        <v>86</v>
      </c>
      <c r="E1173" s="5" t="s">
        <v>217</v>
      </c>
      <c r="F1173" s="9">
        <v>96</v>
      </c>
      <c r="G1173" s="9">
        <v>1027</v>
      </c>
      <c r="H1173" s="5" t="s">
        <v>20</v>
      </c>
      <c r="I1173" s="5" t="s">
        <v>2881</v>
      </c>
      <c r="J1173" s="12" t="str">
        <f>HYPERLINK("https://www.boe.es/gazeta/dias/1805/11/29/pdfs/GMD-1805-96.pdf#page=3","Abrir facsímil")</f>
        <v>Abrir facsímil</v>
      </c>
      <c r="K1173" s="15" t="s">
        <v>22</v>
      </c>
    </row>
    <row r="1174" spans="1:11" ht="42" customHeight="1">
      <c r="A1174" s="4" t="s">
        <v>2867</v>
      </c>
      <c r="B1174" s="5" t="s">
        <v>2868</v>
      </c>
      <c r="C1174" s="5" t="s">
        <v>80</v>
      </c>
      <c r="D1174" s="5" t="s">
        <v>81</v>
      </c>
      <c r="E1174" s="5" t="s">
        <v>217</v>
      </c>
      <c r="F1174" s="9">
        <v>96</v>
      </c>
      <c r="G1174" s="9">
        <v>1028</v>
      </c>
      <c r="H1174" s="5" t="s">
        <v>20</v>
      </c>
      <c r="I1174" s="5" t="s">
        <v>2882</v>
      </c>
      <c r="J1174" s="12" t="str">
        <f>HYPERLINK("https://www.boe.es/gazeta/dias/1805/11/29/pdfs/GMD-1805-96.pdf#page=4","Abrir facsímil")</f>
        <v>Abrir facsímil</v>
      </c>
      <c r="K1174" s="15" t="s">
        <v>22</v>
      </c>
    </row>
    <row r="1175" spans="1:11" ht="42" customHeight="1">
      <c r="A1175" s="4" t="s">
        <v>2864</v>
      </c>
      <c r="B1175" s="5" t="s">
        <v>2865</v>
      </c>
      <c r="C1175" s="5" t="s">
        <v>80</v>
      </c>
      <c r="D1175" s="5" t="s">
        <v>81</v>
      </c>
      <c r="E1175" s="5" t="s">
        <v>539</v>
      </c>
      <c r="F1175" s="9">
        <v>97</v>
      </c>
      <c r="G1175" s="9">
        <v>1041</v>
      </c>
      <c r="H1175" s="5" t="s">
        <v>20</v>
      </c>
      <c r="I1175" s="5" t="s">
        <v>2883</v>
      </c>
      <c r="J1175" s="12" t="str">
        <f>HYPERLINK("https://www.boe.es/gazeta/dias/1805/12/03/pdfs/GMD-1805-97.pdf#page=5","Abrir facsímil")</f>
        <v>Abrir facsímil</v>
      </c>
      <c r="K1175" s="15" t="s">
        <v>22</v>
      </c>
    </row>
    <row r="1176" spans="1:11" ht="42" customHeight="1">
      <c r="A1176" s="4" t="s">
        <v>2864</v>
      </c>
      <c r="B1176" s="5" t="s">
        <v>2865</v>
      </c>
      <c r="C1176" s="5" t="s">
        <v>80</v>
      </c>
      <c r="D1176" s="5" t="s">
        <v>81</v>
      </c>
      <c r="E1176" s="5" t="s">
        <v>67</v>
      </c>
      <c r="F1176" s="9">
        <v>98</v>
      </c>
      <c r="G1176" s="9">
        <v>1053</v>
      </c>
      <c r="H1176" s="5" t="s">
        <v>20</v>
      </c>
      <c r="I1176" s="5" t="s">
        <v>2884</v>
      </c>
      <c r="J1176" s="12" t="str">
        <f>HYPERLINK("https://www.boe.es/gazeta/dias/1805/12/06/pdfs/GMD-1805-98.pdf#page=5","Abrir facsímil")</f>
        <v>Abrir facsímil</v>
      </c>
      <c r="K1176" s="15" t="s">
        <v>22</v>
      </c>
    </row>
    <row r="1177" spans="1:11" ht="42" customHeight="1">
      <c r="A1177" s="4" t="s">
        <v>2864</v>
      </c>
      <c r="B1177" s="5" t="s">
        <v>2865</v>
      </c>
      <c r="C1177" s="5" t="s">
        <v>80</v>
      </c>
      <c r="D1177" s="5" t="s">
        <v>81</v>
      </c>
      <c r="E1177" s="5" t="s">
        <v>67</v>
      </c>
      <c r="F1177" s="9">
        <v>98</v>
      </c>
      <c r="G1177" s="9">
        <v>1054</v>
      </c>
      <c r="H1177" s="5" t="s">
        <v>20</v>
      </c>
      <c r="I1177" s="5" t="s">
        <v>2885</v>
      </c>
      <c r="J1177" s="12" t="str">
        <f>HYPERLINK("https://www.boe.es/gazeta/dias/1805/12/06/pdfs/GMD-1805-98.pdf#page=6","Abrir facsímil")</f>
        <v>Abrir facsímil</v>
      </c>
      <c r="K1177" s="15" t="s">
        <v>22</v>
      </c>
    </row>
    <row r="1178" spans="1:11" ht="42" customHeight="1">
      <c r="A1178" s="4" t="s">
        <v>2864</v>
      </c>
      <c r="B1178" s="5" t="s">
        <v>2865</v>
      </c>
      <c r="C1178" s="5" t="s">
        <v>80</v>
      </c>
      <c r="D1178" s="5" t="s">
        <v>81</v>
      </c>
      <c r="E1178" s="5" t="s">
        <v>67</v>
      </c>
      <c r="F1178" s="9">
        <v>98</v>
      </c>
      <c r="G1178" s="9">
        <v>1055</v>
      </c>
      <c r="H1178" s="5" t="s">
        <v>20</v>
      </c>
      <c r="I1178" s="5" t="s">
        <v>2886</v>
      </c>
      <c r="J1178" s="12" t="str">
        <f>HYPERLINK("https://www.boe.es/gazeta/dias/1805/12/06/pdfs/GMD-1805-98.pdf#page=7","Abrir facsímil")</f>
        <v>Abrir facsímil</v>
      </c>
      <c r="K1178" s="15" t="s">
        <v>22</v>
      </c>
    </row>
    <row r="1179" spans="1:11" ht="42" customHeight="1">
      <c r="A1179" s="4" t="s">
        <v>2864</v>
      </c>
      <c r="B1179" s="5" t="s">
        <v>2865</v>
      </c>
      <c r="C1179" s="5" t="s">
        <v>80</v>
      </c>
      <c r="D1179" s="5" t="s">
        <v>81</v>
      </c>
      <c r="E1179" s="5" t="s">
        <v>789</v>
      </c>
      <c r="F1179" s="9">
        <v>104</v>
      </c>
      <c r="G1179" s="9">
        <v>1120</v>
      </c>
      <c r="H1179" s="5" t="s">
        <v>20</v>
      </c>
      <c r="I1179" s="5" t="s">
        <v>2887</v>
      </c>
      <c r="J1179" s="12" t="str">
        <f>HYPERLINK("https://www.boe.es/gazeta/dias/1805/12/27/pdfs/GMD-1805-104.pdf#page=4","Abrir facsímil")</f>
        <v>Abrir facsímil</v>
      </c>
      <c r="K1179" s="15" t="s">
        <v>22</v>
      </c>
    </row>
    <row r="1180" spans="1:11" ht="42" customHeight="1">
      <c r="A1180" s="4" t="s">
        <v>2864</v>
      </c>
      <c r="B1180" s="5" t="s">
        <v>2865</v>
      </c>
      <c r="C1180" s="5" t="s">
        <v>80</v>
      </c>
      <c r="D1180" s="5" t="s">
        <v>81</v>
      </c>
      <c r="E1180" s="5" t="s">
        <v>789</v>
      </c>
      <c r="F1180" s="9">
        <v>104</v>
      </c>
      <c r="G1180" s="9">
        <v>1121</v>
      </c>
      <c r="H1180" s="5" t="s">
        <v>20</v>
      </c>
      <c r="I1180" s="5" t="s">
        <v>2888</v>
      </c>
      <c r="J1180" s="12" t="str">
        <f>HYPERLINK("https://www.boe.es/gazeta/dias/1805/12/27/pdfs/GMD-1805-104.pdf#page=5","Abrir facsímil")</f>
        <v>Abrir facsímil</v>
      </c>
      <c r="K1180" s="15" t="s">
        <v>22</v>
      </c>
    </row>
    <row r="1181" spans="1:11" ht="42" customHeight="1">
      <c r="A1181" s="4" t="s">
        <v>2864</v>
      </c>
      <c r="B1181" s="5" t="s">
        <v>2865</v>
      </c>
      <c r="C1181" s="5" t="s">
        <v>80</v>
      </c>
      <c r="D1181" s="5" t="s">
        <v>81</v>
      </c>
      <c r="E1181" s="5" t="s">
        <v>789</v>
      </c>
      <c r="F1181" s="9">
        <v>104</v>
      </c>
      <c r="G1181" s="9">
        <v>1126</v>
      </c>
      <c r="H1181" s="5" t="s">
        <v>20</v>
      </c>
      <c r="I1181" s="5" t="s">
        <v>2889</v>
      </c>
      <c r="J1181" s="12" t="str">
        <f>HYPERLINK("https://www.boe.es/gazeta/dias/1805/12/27/pdfs/GMD-1805-104.pdf#page=10","Abrir facsímil")</f>
        <v>Abrir facsímil</v>
      </c>
      <c r="K1181" s="15" t="s">
        <v>22</v>
      </c>
    </row>
    <row r="1182" spans="1:11" ht="42" customHeight="1">
      <c r="A1182" s="4" t="s">
        <v>2890</v>
      </c>
      <c r="B1182" s="5" t="s">
        <v>2891</v>
      </c>
      <c r="C1182" s="5" t="s">
        <v>35</v>
      </c>
      <c r="D1182" s="5" t="s">
        <v>36</v>
      </c>
      <c r="E1182" s="5" t="s">
        <v>63</v>
      </c>
      <c r="F1182" s="9">
        <v>101</v>
      </c>
      <c r="G1182" s="9">
        <v>1091</v>
      </c>
      <c r="H1182" s="5" t="s">
        <v>20</v>
      </c>
      <c r="I1182" s="5" t="s">
        <v>2892</v>
      </c>
      <c r="J1182" s="12" t="str">
        <f>HYPERLINK("https://www.boe.es/gazeta/dias/1805/12/17/pdfs/GMD-1805-101.pdf#page=7","Abrir facsímil")</f>
        <v>Abrir facsímil</v>
      </c>
      <c r="K1182" s="15" t="s">
        <v>22</v>
      </c>
    </row>
    <row r="1183" spans="1:11" ht="42" customHeight="1">
      <c r="A1183" s="4" t="s">
        <v>2893</v>
      </c>
      <c r="B1183" s="5" t="s">
        <v>2894</v>
      </c>
      <c r="C1183" s="5" t="s">
        <v>184</v>
      </c>
      <c r="D1183" s="5" t="s">
        <v>86</v>
      </c>
      <c r="E1183" s="5" t="s">
        <v>1259</v>
      </c>
      <c r="F1183" s="9">
        <v>78</v>
      </c>
      <c r="G1183" s="9">
        <v>827</v>
      </c>
      <c r="H1183" s="5" t="s">
        <v>20</v>
      </c>
      <c r="I1183" s="5" t="s">
        <v>2895</v>
      </c>
      <c r="J1183" s="12" t="str">
        <f>HYPERLINK("https://www.boe.es/gazeta/dias/1805/09/27/pdfs/GMD-1805-78.pdf#page=7","Abrir facsímil")</f>
        <v>Abrir facsímil</v>
      </c>
      <c r="K1183" s="15" t="s">
        <v>22</v>
      </c>
    </row>
    <row r="1184" spans="1:11" ht="42" customHeight="1">
      <c r="A1184" s="4" t="s">
        <v>2896</v>
      </c>
      <c r="B1184" s="5" t="s">
        <v>2897</v>
      </c>
      <c r="C1184" s="5" t="s">
        <v>35</v>
      </c>
      <c r="D1184" s="5" t="s">
        <v>36</v>
      </c>
      <c r="E1184" s="5" t="s">
        <v>44</v>
      </c>
      <c r="F1184" s="9">
        <v>29</v>
      </c>
      <c r="G1184" s="9">
        <v>311</v>
      </c>
      <c r="H1184" s="5" t="s">
        <v>20</v>
      </c>
      <c r="I1184" s="5" t="s">
        <v>2898</v>
      </c>
      <c r="J1184" s="12" t="str">
        <f>HYPERLINK("https://www.boe.es/gazeta/dias/1805/04/09/pdfs/GMD-1805-29.pdf#page=7","Abrir facsímil")</f>
        <v>Abrir facsímil</v>
      </c>
      <c r="K1184" s="15" t="s">
        <v>22</v>
      </c>
    </row>
    <row r="1185" spans="1:11" ht="42" customHeight="1">
      <c r="A1185" s="4" t="s">
        <v>2899</v>
      </c>
      <c r="B1185" s="5" t="s">
        <v>2900</v>
      </c>
      <c r="C1185" s="5" t="s">
        <v>17</v>
      </c>
      <c r="D1185" s="5" t="s">
        <v>18</v>
      </c>
      <c r="E1185" s="5" t="s">
        <v>729</v>
      </c>
      <c r="F1185" s="9">
        <v>61</v>
      </c>
      <c r="G1185" s="9">
        <v>655</v>
      </c>
      <c r="H1185" s="5" t="s">
        <v>20</v>
      </c>
      <c r="I1185" s="5" t="s">
        <v>2901</v>
      </c>
      <c r="J1185" s="12" t="str">
        <f>HYPERLINK("https://www.boe.es/gazeta/dias/1805/07/30/pdfs/GMD-1805-61.pdf#page=7","Abrir facsímil")</f>
        <v>Abrir facsímil</v>
      </c>
      <c r="K1185" s="15" t="s">
        <v>22</v>
      </c>
    </row>
    <row r="1186" spans="1:11" ht="42" customHeight="1">
      <c r="A1186" s="4" t="s">
        <v>2902</v>
      </c>
      <c r="B1186" s="5" t="s">
        <v>2903</v>
      </c>
      <c r="C1186" s="5" t="s">
        <v>35</v>
      </c>
      <c r="D1186" s="5" t="s">
        <v>36</v>
      </c>
      <c r="E1186" s="5" t="s">
        <v>87</v>
      </c>
      <c r="F1186" s="9">
        <v>14</v>
      </c>
      <c r="G1186" s="9">
        <v>146</v>
      </c>
      <c r="H1186" s="5" t="s">
        <v>20</v>
      </c>
      <c r="I1186" s="5" t="s">
        <v>2904</v>
      </c>
      <c r="J1186" s="12" t="str">
        <f>HYPERLINK("https://www.boe.es/gazeta/dias/1805/02/15/pdfs/GMD-1805-14.pdf#page=6","Abrir facsímil")</f>
        <v>Abrir facsímil</v>
      </c>
      <c r="K1186" s="15" t="s">
        <v>22</v>
      </c>
    </row>
    <row r="1187" spans="1:11" ht="42" customHeight="1">
      <c r="A1187" s="4" t="s">
        <v>2905</v>
      </c>
      <c r="B1187" s="5" t="s">
        <v>2906</v>
      </c>
      <c r="C1187" s="5" t="s">
        <v>35</v>
      </c>
      <c r="D1187" s="5" t="s">
        <v>36</v>
      </c>
      <c r="E1187" s="5" t="s">
        <v>300</v>
      </c>
      <c r="F1187" s="9">
        <v>81</v>
      </c>
      <c r="G1187" s="9">
        <v>858</v>
      </c>
      <c r="H1187" s="5" t="s">
        <v>20</v>
      </c>
      <c r="I1187" s="5" t="s">
        <v>2907</v>
      </c>
      <c r="J1187" s="12" t="str">
        <f>HYPERLINK("https://www.boe.es/gazeta/dias/1805/10/08/pdfs/GMD-1805-81.pdf#page=6","Abrir facsímil")</f>
        <v>Abrir facsímil</v>
      </c>
      <c r="K1187" s="15" t="s">
        <v>22</v>
      </c>
    </row>
    <row r="1188" spans="1:11" ht="42" customHeight="1">
      <c r="A1188" s="4" t="s">
        <v>2908</v>
      </c>
      <c r="B1188" s="5" t="s">
        <v>2909</v>
      </c>
      <c r="C1188" s="5" t="s">
        <v>52</v>
      </c>
      <c r="D1188" s="5" t="s">
        <v>53</v>
      </c>
      <c r="E1188" s="5" t="s">
        <v>144</v>
      </c>
      <c r="F1188" s="9">
        <v>85</v>
      </c>
      <c r="G1188" s="9" t="s">
        <v>55</v>
      </c>
      <c r="H1188" s="5" t="s">
        <v>20</v>
      </c>
      <c r="I1188" s="5" t="s">
        <v>2910</v>
      </c>
      <c r="J1188" s="12" t="str">
        <f>HYPERLINK("https://www.boe.es/gazeta/dias/1805/10/22/pdfs/GMD-C-1805-85.pdf#page=4","Abrir facsímil")</f>
        <v>Abrir facsímil</v>
      </c>
      <c r="K1188" s="15" t="s">
        <v>22</v>
      </c>
    </row>
    <row r="1189" spans="1:11" ht="42" customHeight="1">
      <c r="A1189" s="4" t="s">
        <v>2911</v>
      </c>
      <c r="B1189" s="5" t="s">
        <v>2912</v>
      </c>
      <c r="C1189" s="5" t="s">
        <v>80</v>
      </c>
      <c r="D1189" s="5" t="s">
        <v>81</v>
      </c>
      <c r="E1189" s="5" t="s">
        <v>135</v>
      </c>
      <c r="F1189" s="9">
        <v>71</v>
      </c>
      <c r="G1189" s="9">
        <v>751</v>
      </c>
      <c r="H1189" s="5" t="s">
        <v>20</v>
      </c>
      <c r="I1189" s="5" t="s">
        <v>2913</v>
      </c>
      <c r="J1189" s="12" t="str">
        <f>HYPERLINK("https://www.boe.es/gazeta/dias/1805/09/03/pdfs/GMD-1805-71.pdf#page=3","Abrir facsímil")</f>
        <v>Abrir facsímil</v>
      </c>
      <c r="K1189" s="15" t="s">
        <v>22</v>
      </c>
    </row>
    <row r="1190" spans="1:11" ht="42" customHeight="1">
      <c r="A1190" s="4" t="s">
        <v>2914</v>
      </c>
      <c r="B1190" s="5" t="s">
        <v>2915</v>
      </c>
      <c r="C1190" s="5" t="s">
        <v>17</v>
      </c>
      <c r="D1190" s="5" t="s">
        <v>18</v>
      </c>
      <c r="E1190" s="5" t="s">
        <v>831</v>
      </c>
      <c r="F1190" s="9">
        <v>62</v>
      </c>
      <c r="G1190" s="9">
        <v>663</v>
      </c>
      <c r="H1190" s="5" t="s">
        <v>20</v>
      </c>
      <c r="I1190" s="5" t="s">
        <v>2916</v>
      </c>
      <c r="J1190" s="12" t="str">
        <f>HYPERLINK("https://www.boe.es/gazeta/dias/1805/08/02/pdfs/GMD-1805-62.pdf#page=7","Abrir facsímil")</f>
        <v>Abrir facsímil</v>
      </c>
      <c r="K1190" s="15" t="s">
        <v>22</v>
      </c>
    </row>
    <row r="1191" spans="1:11" ht="42" customHeight="1">
      <c r="A1191" s="4" t="s">
        <v>2917</v>
      </c>
      <c r="B1191" s="5" t="s">
        <v>2918</v>
      </c>
      <c r="C1191" s="5" t="s">
        <v>17</v>
      </c>
      <c r="D1191" s="5" t="s">
        <v>18</v>
      </c>
      <c r="E1191" s="5" t="s">
        <v>200</v>
      </c>
      <c r="F1191" s="9">
        <v>91</v>
      </c>
      <c r="G1191" s="9">
        <v>976</v>
      </c>
      <c r="H1191" s="5" t="s">
        <v>20</v>
      </c>
      <c r="I1191" s="5" t="s">
        <v>2919</v>
      </c>
      <c r="J1191" s="12" t="str">
        <f>HYPERLINK("https://www.boe.es/gazeta/dias/1805/11/12/pdfs/GMD-1805-91.pdf#page=8","Abrir facsímil")</f>
        <v>Abrir facsímil</v>
      </c>
      <c r="K1191" s="15" t="s">
        <v>22</v>
      </c>
    </row>
    <row r="1192" spans="1:11" ht="42" customHeight="1">
      <c r="A1192" s="4" t="s">
        <v>2920</v>
      </c>
      <c r="B1192" s="5" t="s">
        <v>2921</v>
      </c>
      <c r="C1192" s="5" t="s">
        <v>80</v>
      </c>
      <c r="D1192" s="5" t="s">
        <v>81</v>
      </c>
      <c r="E1192" s="5" t="s">
        <v>286</v>
      </c>
      <c r="F1192" s="9">
        <v>48</v>
      </c>
      <c r="G1192" s="9">
        <v>519</v>
      </c>
      <c r="H1192" s="5" t="s">
        <v>20</v>
      </c>
      <c r="I1192" s="5" t="s">
        <v>2922</v>
      </c>
      <c r="J1192" s="12" t="str">
        <f>HYPERLINK("https://www.boe.es/gazeta/dias/1805/06/14/pdfs/GMD-1805-48.pdf#page=7","Abrir facsímil")</f>
        <v>Abrir facsímil</v>
      </c>
      <c r="K1192" s="15" t="s">
        <v>22</v>
      </c>
    </row>
    <row r="1193" spans="1:11" ht="42" customHeight="1">
      <c r="A1193" s="4" t="s">
        <v>2923</v>
      </c>
      <c r="B1193" s="5" t="s">
        <v>2924</v>
      </c>
      <c r="C1193" s="5" t="s">
        <v>80</v>
      </c>
      <c r="D1193" s="5" t="s">
        <v>81</v>
      </c>
      <c r="E1193" s="5" t="s">
        <v>148</v>
      </c>
      <c r="F1193" s="9">
        <v>50</v>
      </c>
      <c r="G1193" s="9">
        <v>536</v>
      </c>
      <c r="H1193" s="5" t="s">
        <v>20</v>
      </c>
      <c r="I1193" s="5" t="s">
        <v>2925</v>
      </c>
      <c r="J1193" s="12" t="str">
        <f>HYPERLINK("https://www.boe.es/gazeta/dias/1805/06/21/pdfs/GMD-1805-50.pdf#page=4","Abrir facsímil")</f>
        <v>Abrir facsímil</v>
      </c>
      <c r="K1193" s="15" t="s">
        <v>22</v>
      </c>
    </row>
    <row r="1194" spans="1:11" ht="42" customHeight="1">
      <c r="A1194" s="4" t="s">
        <v>2926</v>
      </c>
      <c r="B1194" s="5" t="s">
        <v>2927</v>
      </c>
      <c r="C1194" s="5" t="s">
        <v>35</v>
      </c>
      <c r="D1194" s="5" t="s">
        <v>36</v>
      </c>
      <c r="E1194" s="5" t="s">
        <v>669</v>
      </c>
      <c r="F1194" s="9">
        <v>84</v>
      </c>
      <c r="G1194" s="9">
        <v>891</v>
      </c>
      <c r="H1194" s="5" t="s">
        <v>20</v>
      </c>
      <c r="I1194" s="5" t="s">
        <v>2928</v>
      </c>
      <c r="J1194" s="12" t="str">
        <f>HYPERLINK("https://www.boe.es/gazeta/dias/1805/10/18/pdfs/GMD-1805-84.pdf#page=7","Abrir facsímil")</f>
        <v>Abrir facsímil</v>
      </c>
      <c r="K1194" s="15" t="s">
        <v>22</v>
      </c>
    </row>
    <row r="1195" spans="1:11" ht="42" customHeight="1">
      <c r="A1195" s="4" t="s">
        <v>2929</v>
      </c>
      <c r="B1195" s="5" t="s">
        <v>2930</v>
      </c>
      <c r="C1195" s="5" t="s">
        <v>17</v>
      </c>
      <c r="D1195" s="5" t="s">
        <v>18</v>
      </c>
      <c r="E1195" s="5" t="s">
        <v>669</v>
      </c>
      <c r="F1195" s="9">
        <v>84</v>
      </c>
      <c r="G1195" s="9">
        <v>890</v>
      </c>
      <c r="H1195" s="5" t="s">
        <v>20</v>
      </c>
      <c r="I1195" s="5" t="s">
        <v>2931</v>
      </c>
      <c r="J1195" s="12" t="str">
        <f>HYPERLINK("https://www.boe.es/gazeta/dias/1805/10/18/pdfs/GMD-1805-84.pdf#page=6","Abrir facsímil")</f>
        <v>Abrir facsímil</v>
      </c>
      <c r="K1195" s="15" t="s">
        <v>22</v>
      </c>
    </row>
    <row r="1196" spans="1:11" ht="42" customHeight="1">
      <c r="A1196" s="4" t="s">
        <v>2932</v>
      </c>
      <c r="B1196" s="5" t="s">
        <v>2933</v>
      </c>
      <c r="C1196" s="5" t="s">
        <v>17</v>
      </c>
      <c r="D1196" s="5" t="s">
        <v>18</v>
      </c>
      <c r="E1196" s="5" t="s">
        <v>200</v>
      </c>
      <c r="F1196" s="9">
        <v>91</v>
      </c>
      <c r="G1196" s="9">
        <v>977</v>
      </c>
      <c r="H1196" s="5" t="s">
        <v>20</v>
      </c>
      <c r="I1196" s="5" t="s">
        <v>2934</v>
      </c>
      <c r="J1196" s="12" t="str">
        <f>HYPERLINK("https://www.boe.es/gazeta/dias/1805/11/12/pdfs/GMD-1805-91.pdf#page=9","Abrir facsímil")</f>
        <v>Abrir facsímil</v>
      </c>
      <c r="K1196" s="15" t="s">
        <v>22</v>
      </c>
    </row>
    <row r="1197" spans="1:11" ht="42" customHeight="1">
      <c r="A1197" s="4" t="s">
        <v>2935</v>
      </c>
      <c r="B1197" s="5" t="s">
        <v>2936</v>
      </c>
      <c r="C1197" s="5" t="s">
        <v>29</v>
      </c>
      <c r="D1197" s="5" t="s">
        <v>30</v>
      </c>
      <c r="E1197" s="5" t="s">
        <v>107</v>
      </c>
      <c r="F1197" s="9">
        <v>19</v>
      </c>
      <c r="G1197" s="9">
        <v>200</v>
      </c>
      <c r="H1197" s="5" t="s">
        <v>20</v>
      </c>
      <c r="I1197" s="5" t="s">
        <v>2937</v>
      </c>
      <c r="J1197" s="12" t="str">
        <f>HYPERLINK("https://www.boe.es/gazeta/dias/1805/03/05/pdfs/GMD-1805-19.pdf#page=12","Abrir facsímil")</f>
        <v>Abrir facsímil</v>
      </c>
      <c r="K1197" s="15" t="s">
        <v>22</v>
      </c>
    </row>
    <row r="1198" spans="1:11" ht="42" customHeight="1">
      <c r="A1198" s="4" t="s">
        <v>2938</v>
      </c>
      <c r="B1198" s="5" t="s">
        <v>2939</v>
      </c>
      <c r="C1198" s="5" t="s">
        <v>35</v>
      </c>
      <c r="D1198" s="5" t="s">
        <v>36</v>
      </c>
      <c r="E1198" s="5" t="s">
        <v>37</v>
      </c>
      <c r="F1198" s="9">
        <v>54</v>
      </c>
      <c r="G1198" s="9">
        <v>579</v>
      </c>
      <c r="H1198" s="5" t="s">
        <v>20</v>
      </c>
      <c r="I1198" s="5" t="s">
        <v>2940</v>
      </c>
      <c r="J1198" s="12" t="str">
        <f>HYPERLINK("https://www.boe.es/gazeta/dias/1805/07/05/pdfs/GMD-1805-54.pdf#page=7","Abrir facsímil")</f>
        <v>Abrir facsímil</v>
      </c>
      <c r="K1198" s="15" t="s">
        <v>22</v>
      </c>
    </row>
    <row r="1199" spans="1:11" ht="42" customHeight="1">
      <c r="A1199" s="4" t="s">
        <v>2941</v>
      </c>
      <c r="B1199" s="5" t="s">
        <v>2942</v>
      </c>
      <c r="C1199" s="5" t="s">
        <v>17</v>
      </c>
      <c r="D1199" s="5" t="s">
        <v>18</v>
      </c>
      <c r="E1199" s="5" t="s">
        <v>163</v>
      </c>
      <c r="F1199" s="9">
        <v>77</v>
      </c>
      <c r="G1199" s="9">
        <v>813</v>
      </c>
      <c r="H1199" s="5" t="s">
        <v>20</v>
      </c>
      <c r="I1199" s="5" t="s">
        <v>2943</v>
      </c>
      <c r="J1199" s="12" t="str">
        <f>HYPERLINK("https://www.boe.es/gazeta/dias/1805/09/24/pdfs/GMD-1805-77.pdf#page=5","Abrir facsímil")</f>
        <v>Abrir facsímil</v>
      </c>
      <c r="K1199" s="15" t="s">
        <v>22</v>
      </c>
    </row>
    <row r="1200" spans="1:11" ht="42" customHeight="1">
      <c r="A1200" s="4" t="s">
        <v>2944</v>
      </c>
      <c r="B1200" s="5" t="s">
        <v>2945</v>
      </c>
      <c r="C1200" s="5" t="s">
        <v>85</v>
      </c>
      <c r="D1200" s="5" t="s">
        <v>86</v>
      </c>
      <c r="E1200" s="5" t="s">
        <v>552</v>
      </c>
      <c r="F1200" s="9">
        <v>94</v>
      </c>
      <c r="G1200" s="9">
        <v>1008</v>
      </c>
      <c r="H1200" s="5" t="s">
        <v>20</v>
      </c>
      <c r="I1200" s="5" t="s">
        <v>2946</v>
      </c>
      <c r="J1200" s="12" t="str">
        <f>HYPERLINK("https://www.boe.es/gazeta/dias/1805/11/22/pdfs/GMD-1805-94.pdf#page=8","Abrir facsímil")</f>
        <v>Abrir facsímil</v>
      </c>
      <c r="K1200" s="15" t="s">
        <v>22</v>
      </c>
    </row>
    <row r="1201" spans="1:11" ht="42" customHeight="1">
      <c r="A1201" s="4" t="s">
        <v>2947</v>
      </c>
      <c r="B1201" s="5" t="s">
        <v>2948</v>
      </c>
      <c r="C1201" s="5" t="s">
        <v>17</v>
      </c>
      <c r="D1201" s="5" t="s">
        <v>18</v>
      </c>
      <c r="E1201" s="5" t="s">
        <v>426</v>
      </c>
      <c r="F1201" s="9">
        <v>75</v>
      </c>
      <c r="G1201" s="9">
        <v>797</v>
      </c>
      <c r="H1201" s="5" t="s">
        <v>20</v>
      </c>
      <c r="I1201" s="5" t="s">
        <v>2949</v>
      </c>
      <c r="J1201" s="12" t="str">
        <f>HYPERLINK("https://www.boe.es/gazeta/dias/1805/09/17/pdfs/GMD-1805-75.pdf#page=9","Abrir facsímil")</f>
        <v>Abrir facsímil</v>
      </c>
      <c r="K1201" s="15" t="s">
        <v>22</v>
      </c>
    </row>
    <row r="1202" spans="1:11" ht="42" customHeight="1">
      <c r="A1202" s="4" t="s">
        <v>2950</v>
      </c>
      <c r="B1202" s="5" t="s">
        <v>2951</v>
      </c>
      <c r="C1202" s="5" t="s">
        <v>35</v>
      </c>
      <c r="D1202" s="5" t="s">
        <v>36</v>
      </c>
      <c r="E1202" s="5" t="s">
        <v>192</v>
      </c>
      <c r="F1202" s="9">
        <v>105</v>
      </c>
      <c r="G1202" s="9">
        <v>1137</v>
      </c>
      <c r="H1202" s="5" t="s">
        <v>20</v>
      </c>
      <c r="I1202" s="5" t="s">
        <v>2952</v>
      </c>
      <c r="J1202" s="12" t="str">
        <f>HYPERLINK("https://www.boe.es/gazeta/dias/1805/12/31/pdfs/GMD-1805-105.pdf#page=9","Abrir facsímil")</f>
        <v>Abrir facsímil</v>
      </c>
      <c r="K1202" s="15" t="s">
        <v>22</v>
      </c>
    </row>
    <row r="1203" spans="1:11" ht="42" customHeight="1">
      <c r="A1203" s="4" t="s">
        <v>2953</v>
      </c>
      <c r="B1203" s="5" t="s">
        <v>2954</v>
      </c>
      <c r="C1203" s="5" t="s">
        <v>35</v>
      </c>
      <c r="D1203" s="5" t="s">
        <v>36</v>
      </c>
      <c r="E1203" s="5" t="s">
        <v>290</v>
      </c>
      <c r="F1203" s="9">
        <v>36</v>
      </c>
      <c r="G1203" s="9">
        <v>389</v>
      </c>
      <c r="H1203" s="5" t="s">
        <v>20</v>
      </c>
      <c r="I1203" s="5" t="s">
        <v>2955</v>
      </c>
      <c r="J1203" s="12" t="str">
        <f>HYPERLINK("https://www.boe.es/gazeta/dias/1805/05/03/pdfs/GMD-1805-36.pdf#page=9","Abrir facsímil")</f>
        <v>Abrir facsímil</v>
      </c>
      <c r="K1203" s="15" t="s">
        <v>22</v>
      </c>
    </row>
    <row r="1204" spans="1:11" ht="42" customHeight="1">
      <c r="A1204" s="4" t="s">
        <v>2956</v>
      </c>
      <c r="B1204" s="5" t="s">
        <v>2957</v>
      </c>
      <c r="C1204" s="5" t="s">
        <v>35</v>
      </c>
      <c r="D1204" s="5" t="s">
        <v>36</v>
      </c>
      <c r="E1204" s="5" t="s">
        <v>31</v>
      </c>
      <c r="F1204" s="9">
        <v>65</v>
      </c>
      <c r="G1204" s="9">
        <v>690</v>
      </c>
      <c r="H1204" s="5" t="s">
        <v>20</v>
      </c>
      <c r="I1204" s="5" t="s">
        <v>2958</v>
      </c>
      <c r="J1204" s="12" t="str">
        <f>HYPERLINK("https://www.boe.es/gazeta/dias/1805/08/13/pdfs/GMD-1805-65.pdf#page=2","Abrir facsímil")</f>
        <v>Abrir facsímil</v>
      </c>
      <c r="K1204" s="15" t="s">
        <v>22</v>
      </c>
    </row>
    <row r="1205" spans="1:11" ht="42" customHeight="1">
      <c r="A1205" s="4" t="s">
        <v>2959</v>
      </c>
      <c r="B1205" s="5" t="s">
        <v>2960</v>
      </c>
      <c r="C1205" s="5" t="s">
        <v>17</v>
      </c>
      <c r="D1205" s="5" t="s">
        <v>18</v>
      </c>
      <c r="E1205" s="5" t="s">
        <v>393</v>
      </c>
      <c r="F1205" s="9">
        <v>44</v>
      </c>
      <c r="G1205" s="9">
        <v>473</v>
      </c>
      <c r="H1205" s="5" t="s">
        <v>20</v>
      </c>
      <c r="I1205" s="5" t="s">
        <v>2961</v>
      </c>
      <c r="J1205" s="12" t="str">
        <f>HYPERLINK("https://www.boe.es/gazeta/dias/1805/05/31/pdfs/GMD-1805-44.pdf#page=9","Abrir facsímil")</f>
        <v>Abrir facsímil</v>
      </c>
      <c r="K1205" s="15" t="s">
        <v>22</v>
      </c>
    </row>
    <row r="1206" spans="1:11" ht="42" customHeight="1">
      <c r="A1206" s="4" t="s">
        <v>2962</v>
      </c>
      <c r="B1206" s="5" t="s">
        <v>2963</v>
      </c>
      <c r="C1206" s="5" t="s">
        <v>17</v>
      </c>
      <c r="D1206" s="5" t="s">
        <v>18</v>
      </c>
      <c r="E1206" s="5" t="s">
        <v>276</v>
      </c>
      <c r="F1206" s="9">
        <v>51</v>
      </c>
      <c r="G1206" s="9">
        <v>550</v>
      </c>
      <c r="H1206" s="5" t="s">
        <v>20</v>
      </c>
      <c r="I1206" s="5" t="s">
        <v>2964</v>
      </c>
      <c r="J1206" s="12" t="str">
        <f>HYPERLINK("https://www.boe.es/gazeta/dias/1805/06/25/pdfs/GMD-1805-51.pdf#page=6","Abrir facsímil")</f>
        <v>Abrir facsímil</v>
      </c>
      <c r="K1206" s="15" t="s">
        <v>22</v>
      </c>
    </row>
    <row r="1207" spans="1:11" ht="42" customHeight="1">
      <c r="A1207" s="4" t="s">
        <v>2965</v>
      </c>
      <c r="B1207" s="5" t="s">
        <v>2966</v>
      </c>
      <c r="C1207" s="5" t="s">
        <v>35</v>
      </c>
      <c r="D1207" s="5" t="s">
        <v>36</v>
      </c>
      <c r="E1207" s="5" t="s">
        <v>192</v>
      </c>
      <c r="F1207" s="9">
        <v>105</v>
      </c>
      <c r="G1207" s="9">
        <v>1137</v>
      </c>
      <c r="H1207" s="5" t="s">
        <v>20</v>
      </c>
      <c r="I1207" s="5" t="s">
        <v>2967</v>
      </c>
      <c r="J1207" s="12" t="str">
        <f>HYPERLINK("https://www.boe.es/gazeta/dias/1805/12/31/pdfs/GMD-1805-105.pdf#page=9","Abrir facsímil")</f>
        <v>Abrir facsímil</v>
      </c>
      <c r="K1207" s="15" t="s">
        <v>22</v>
      </c>
    </row>
    <row r="1208" spans="1:11" ht="42" customHeight="1">
      <c r="A1208" s="4" t="s">
        <v>2968</v>
      </c>
      <c r="B1208" s="5" t="s">
        <v>2969</v>
      </c>
      <c r="C1208" s="5" t="s">
        <v>35</v>
      </c>
      <c r="D1208" s="5" t="s">
        <v>36</v>
      </c>
      <c r="E1208" s="5" t="s">
        <v>506</v>
      </c>
      <c r="F1208" s="9">
        <v>80</v>
      </c>
      <c r="G1208" s="9">
        <v>850</v>
      </c>
      <c r="H1208" s="5" t="s">
        <v>20</v>
      </c>
      <c r="I1208" s="5" t="s">
        <v>2970</v>
      </c>
      <c r="J1208" s="12" t="str">
        <f>HYPERLINK("https://www.boe.es/gazeta/dias/1805/10/04/pdfs/GMD-1805-80.pdf#page=10","Abrir facsímil")</f>
        <v>Abrir facsímil</v>
      </c>
      <c r="K1208" s="15" t="s">
        <v>22</v>
      </c>
    </row>
    <row r="1209" spans="1:11" ht="42" customHeight="1">
      <c r="A1209" s="4" t="s">
        <v>2971</v>
      </c>
      <c r="B1209" s="5" t="s">
        <v>2972</v>
      </c>
      <c r="C1209" s="5" t="s">
        <v>35</v>
      </c>
      <c r="D1209" s="5" t="s">
        <v>36</v>
      </c>
      <c r="E1209" s="5" t="s">
        <v>226</v>
      </c>
      <c r="F1209" s="9">
        <v>73</v>
      </c>
      <c r="G1209" s="9">
        <v>774</v>
      </c>
      <c r="H1209" s="5" t="s">
        <v>20</v>
      </c>
      <c r="I1209" s="5" t="s">
        <v>2973</v>
      </c>
      <c r="J1209" s="12" t="str">
        <f>HYPERLINK("https://www.boe.es/gazeta/dias/1805/09/10/pdfs/GMD-1805-73.pdf#page=6","Abrir facsímil")</f>
        <v>Abrir facsímil</v>
      </c>
      <c r="K1209" s="15" t="s">
        <v>22</v>
      </c>
    </row>
    <row r="1210" spans="1:11" ht="42" customHeight="1">
      <c r="A1210" s="4" t="s">
        <v>2974</v>
      </c>
      <c r="B1210" s="5" t="s">
        <v>2975</v>
      </c>
      <c r="C1210" s="5" t="s">
        <v>17</v>
      </c>
      <c r="D1210" s="5" t="s">
        <v>18</v>
      </c>
      <c r="E1210" s="5" t="s">
        <v>122</v>
      </c>
      <c r="F1210" s="9">
        <v>38</v>
      </c>
      <c r="G1210" s="9">
        <v>411</v>
      </c>
      <c r="H1210" s="5" t="s">
        <v>20</v>
      </c>
      <c r="I1210" s="5" t="s">
        <v>2976</v>
      </c>
      <c r="J1210" s="12" t="str">
        <f>HYPERLINK("https://www.boe.es/gazeta/dias/1805/05/10/pdfs/GMD-1805-38.pdf#page=7","Abrir facsímil")</f>
        <v>Abrir facsímil</v>
      </c>
      <c r="K1210" s="15" t="s">
        <v>22</v>
      </c>
    </row>
    <row r="1211" spans="1:11" ht="42" customHeight="1">
      <c r="A1211" s="4" t="s">
        <v>2977</v>
      </c>
      <c r="B1211" s="5" t="s">
        <v>2978</v>
      </c>
      <c r="C1211" s="5" t="s">
        <v>35</v>
      </c>
      <c r="D1211" s="5" t="s">
        <v>36</v>
      </c>
      <c r="E1211" s="5" t="s">
        <v>506</v>
      </c>
      <c r="F1211" s="9">
        <v>80</v>
      </c>
      <c r="G1211" s="9">
        <v>850</v>
      </c>
      <c r="H1211" s="5" t="s">
        <v>20</v>
      </c>
      <c r="I1211" s="5" t="s">
        <v>2979</v>
      </c>
      <c r="J1211" s="12" t="str">
        <f>HYPERLINK("https://www.boe.es/gazeta/dias/1805/10/04/pdfs/GMD-1805-80.pdf#page=10","Abrir facsímil")</f>
        <v>Abrir facsímil</v>
      </c>
      <c r="K1211" s="15" t="s">
        <v>22</v>
      </c>
    </row>
    <row r="1212" spans="1:11" ht="42" customHeight="1">
      <c r="A1212" s="4" t="s">
        <v>2980</v>
      </c>
      <c r="B1212" s="5" t="s">
        <v>2981</v>
      </c>
      <c r="C1212" s="5" t="s">
        <v>85</v>
      </c>
      <c r="D1212" s="5" t="s">
        <v>86</v>
      </c>
      <c r="E1212" s="5" t="s">
        <v>40</v>
      </c>
      <c r="F1212" s="9">
        <v>59</v>
      </c>
      <c r="G1212" s="9">
        <v>633</v>
      </c>
      <c r="H1212" s="5" t="s">
        <v>20</v>
      </c>
      <c r="I1212" s="5" t="s">
        <v>2982</v>
      </c>
      <c r="J1212" s="12" t="str">
        <f>HYPERLINK("https://www.boe.es/gazeta/dias/1805/07/23/pdfs/GMD-1805-59.pdf#page=9","Abrir facsímil")</f>
        <v>Abrir facsímil</v>
      </c>
      <c r="K1212" s="15" t="s">
        <v>22</v>
      </c>
    </row>
    <row r="1213" spans="1:11" ht="42" customHeight="1">
      <c r="A1213" s="4" t="s">
        <v>2983</v>
      </c>
      <c r="B1213" s="5" t="s">
        <v>2984</v>
      </c>
      <c r="C1213" s="5" t="s">
        <v>35</v>
      </c>
      <c r="D1213" s="5" t="s">
        <v>36</v>
      </c>
      <c r="E1213" s="5" t="s">
        <v>91</v>
      </c>
      <c r="F1213" s="9">
        <v>28</v>
      </c>
      <c r="G1213" s="9">
        <v>301</v>
      </c>
      <c r="H1213" s="5" t="s">
        <v>20</v>
      </c>
      <c r="I1213" s="5" t="s">
        <v>2985</v>
      </c>
      <c r="J1213" s="12" t="str">
        <f>HYPERLINK("https://www.boe.es/gazeta/dias/1805/04/05/pdfs/GMD-1805-28.pdf#page=9","Abrir facsímil")</f>
        <v>Abrir facsímil</v>
      </c>
      <c r="K1213" s="15" t="s">
        <v>22</v>
      </c>
    </row>
    <row r="1214" spans="1:11" ht="42" customHeight="1">
      <c r="A1214" s="4" t="s">
        <v>2986</v>
      </c>
      <c r="B1214" s="5" t="s">
        <v>2987</v>
      </c>
      <c r="C1214" s="5" t="s">
        <v>35</v>
      </c>
      <c r="D1214" s="5" t="s">
        <v>36</v>
      </c>
      <c r="E1214" s="5" t="s">
        <v>122</v>
      </c>
      <c r="F1214" s="9">
        <v>38</v>
      </c>
      <c r="G1214" s="9">
        <v>411</v>
      </c>
      <c r="H1214" s="5" t="s">
        <v>20</v>
      </c>
      <c r="I1214" s="5" t="s">
        <v>2988</v>
      </c>
      <c r="J1214" s="12" t="str">
        <f>HYPERLINK("https://www.boe.es/gazeta/dias/1805/05/10/pdfs/GMD-1805-38.pdf#page=7","Abrir facsímil")</f>
        <v>Abrir facsímil</v>
      </c>
      <c r="K1214" s="15" t="s">
        <v>22</v>
      </c>
    </row>
    <row r="1215" spans="1:11" ht="42" customHeight="1">
      <c r="A1215" s="4" t="s">
        <v>2989</v>
      </c>
      <c r="B1215" s="5" t="s">
        <v>2990</v>
      </c>
      <c r="C1215" s="5" t="s">
        <v>35</v>
      </c>
      <c r="D1215" s="5" t="s">
        <v>36</v>
      </c>
      <c r="E1215" s="5" t="s">
        <v>120</v>
      </c>
      <c r="F1215" s="9">
        <v>24</v>
      </c>
      <c r="G1215" s="9">
        <v>255</v>
      </c>
      <c r="H1215" s="5" t="s">
        <v>20</v>
      </c>
      <c r="I1215" s="5" t="s">
        <v>2991</v>
      </c>
      <c r="J1215" s="12" t="str">
        <f>HYPERLINK("https://www.boe.es/gazeta/dias/1805/03/22/pdfs/GMD-1805-24.pdf#page=7","Abrir facsímil")</f>
        <v>Abrir facsímil</v>
      </c>
      <c r="K1215" s="15" t="s">
        <v>22</v>
      </c>
    </row>
    <row r="1216" spans="1:11" ht="42" customHeight="1">
      <c r="A1216" s="4" t="s">
        <v>2992</v>
      </c>
      <c r="B1216" s="5" t="s">
        <v>2993</v>
      </c>
      <c r="C1216" s="5" t="s">
        <v>184</v>
      </c>
      <c r="D1216" s="5" t="s">
        <v>86</v>
      </c>
      <c r="E1216" s="5" t="s">
        <v>327</v>
      </c>
      <c r="F1216" s="9">
        <v>10</v>
      </c>
      <c r="G1216" s="9">
        <v>111</v>
      </c>
      <c r="H1216" s="5" t="s">
        <v>20</v>
      </c>
      <c r="I1216" s="5" t="s">
        <v>2994</v>
      </c>
      <c r="J1216" s="12" t="str">
        <f>HYPERLINK("https://www.boe.es/gazeta/dias/1805/02/01/pdfs/GMD-1805-10.pdf#page=7","Abrir facsímil")</f>
        <v>Abrir facsímil</v>
      </c>
      <c r="K1216" s="15" t="s">
        <v>22</v>
      </c>
    </row>
    <row r="1217" spans="1:11" ht="42" customHeight="1">
      <c r="A1217" s="4" t="s">
        <v>2995</v>
      </c>
      <c r="B1217" s="5" t="s">
        <v>2996</v>
      </c>
      <c r="C1217" s="5" t="s">
        <v>85</v>
      </c>
      <c r="D1217" s="5" t="s">
        <v>86</v>
      </c>
      <c r="E1217" s="5" t="s">
        <v>539</v>
      </c>
      <c r="F1217" s="9">
        <v>97</v>
      </c>
      <c r="G1217" s="9">
        <v>1045</v>
      </c>
      <c r="H1217" s="5" t="s">
        <v>20</v>
      </c>
      <c r="I1217" s="5" t="s">
        <v>2997</v>
      </c>
      <c r="J1217" s="12" t="str">
        <f>HYPERLINK("https://www.boe.es/gazeta/dias/1805/12/03/pdfs/GMD-1805-97.pdf#page=9","Abrir facsímil")</f>
        <v>Abrir facsímil</v>
      </c>
      <c r="K1217" s="15" t="s">
        <v>22</v>
      </c>
    </row>
    <row r="1218" spans="1:11" ht="42" customHeight="1">
      <c r="A1218" s="4" t="s">
        <v>2998</v>
      </c>
      <c r="B1218" s="5" t="s">
        <v>2999</v>
      </c>
      <c r="C1218" s="5" t="s">
        <v>184</v>
      </c>
      <c r="D1218" s="5" t="s">
        <v>86</v>
      </c>
      <c r="E1218" s="5" t="s">
        <v>44</v>
      </c>
      <c r="F1218" s="9">
        <v>29</v>
      </c>
      <c r="G1218" s="9">
        <v>313</v>
      </c>
      <c r="H1218" s="5" t="s">
        <v>20</v>
      </c>
      <c r="I1218" s="5" t="s">
        <v>3000</v>
      </c>
      <c r="J1218" s="12" t="str">
        <f>HYPERLINK("https://www.boe.es/gazeta/dias/1805/04/09/pdfs/GMD-1805-29.pdf#page=9","Abrir facsímil")</f>
        <v>Abrir facsímil</v>
      </c>
      <c r="K1218" s="15" t="s">
        <v>22</v>
      </c>
    </row>
    <row r="1219" spans="1:11" ht="42" customHeight="1">
      <c r="A1219" s="4" t="s">
        <v>3001</v>
      </c>
      <c r="B1219" s="5" t="s">
        <v>3002</v>
      </c>
      <c r="C1219" s="5" t="s">
        <v>85</v>
      </c>
      <c r="D1219" s="5" t="s">
        <v>86</v>
      </c>
      <c r="E1219" s="5" t="s">
        <v>506</v>
      </c>
      <c r="F1219" s="9">
        <v>80</v>
      </c>
      <c r="G1219" s="9">
        <v>851</v>
      </c>
      <c r="H1219" s="5" t="s">
        <v>20</v>
      </c>
      <c r="I1219" s="5" t="s">
        <v>3003</v>
      </c>
      <c r="J1219" s="12" t="str">
        <f>HYPERLINK("https://www.boe.es/gazeta/dias/1805/10/04/pdfs/GMD-1805-80.pdf#page=11","Abrir facsímil")</f>
        <v>Abrir facsímil</v>
      </c>
      <c r="K1219" s="15" t="s">
        <v>22</v>
      </c>
    </row>
    <row r="1220" spans="1:11" ht="42" customHeight="1">
      <c r="A1220" s="4" t="s">
        <v>3004</v>
      </c>
      <c r="B1220" s="5" t="s">
        <v>3005</v>
      </c>
      <c r="C1220" s="5" t="s">
        <v>184</v>
      </c>
      <c r="D1220" s="5" t="s">
        <v>86</v>
      </c>
      <c r="E1220" s="5" t="s">
        <v>904</v>
      </c>
      <c r="F1220" s="9">
        <v>47</v>
      </c>
      <c r="G1220" s="9">
        <v>510</v>
      </c>
      <c r="H1220" s="5" t="s">
        <v>20</v>
      </c>
      <c r="I1220" s="5" t="s">
        <v>3006</v>
      </c>
      <c r="J1220" s="12" t="str">
        <f>HYPERLINK("https://www.boe.es/gazeta/dias/1805/06/11/pdfs/GMD-1805-47.pdf#page=10","Abrir facsímil")</f>
        <v>Abrir facsímil</v>
      </c>
      <c r="K1220" s="15" t="s">
        <v>22</v>
      </c>
    </row>
    <row r="1221" spans="1:11" ht="42" customHeight="1">
      <c r="A1221" s="4" t="s">
        <v>3004</v>
      </c>
      <c r="B1221" s="5" t="s">
        <v>3005</v>
      </c>
      <c r="C1221" s="5" t="s">
        <v>17</v>
      </c>
      <c r="D1221" s="5" t="s">
        <v>18</v>
      </c>
      <c r="E1221" s="5" t="s">
        <v>512</v>
      </c>
      <c r="F1221" s="9">
        <v>100</v>
      </c>
      <c r="G1221" s="9">
        <v>1081</v>
      </c>
      <c r="H1221" s="5" t="s">
        <v>20</v>
      </c>
      <c r="I1221" s="5" t="s">
        <v>3007</v>
      </c>
      <c r="J1221" s="12" t="str">
        <f>HYPERLINK("https://www.boe.es/gazeta/dias/1805/12/13/pdfs/GMD-1805-100.pdf#page=9","Abrir facsímil")</f>
        <v>Abrir facsímil</v>
      </c>
      <c r="K1221" s="15" t="s">
        <v>22</v>
      </c>
    </row>
    <row r="1222" spans="1:11" ht="42" customHeight="1">
      <c r="A1222" s="4" t="s">
        <v>3008</v>
      </c>
      <c r="B1222" s="5" t="s">
        <v>3009</v>
      </c>
      <c r="C1222" s="5" t="s">
        <v>85</v>
      </c>
      <c r="D1222" s="5" t="s">
        <v>86</v>
      </c>
      <c r="E1222" s="5" t="s">
        <v>1445</v>
      </c>
      <c r="F1222" s="9">
        <v>6</v>
      </c>
      <c r="G1222" s="9">
        <v>66</v>
      </c>
      <c r="H1222" s="5" t="s">
        <v>20</v>
      </c>
      <c r="I1222" s="5" t="s">
        <v>3010</v>
      </c>
      <c r="J1222" s="12" t="str">
        <f>HYPERLINK("https://www.boe.es/gazeta/dias/1805/01/18/pdfs/GMD-1805-6.pdf#page=10","Abrir facsímil")</f>
        <v>Abrir facsímil</v>
      </c>
      <c r="K1222" s="15" t="s">
        <v>22</v>
      </c>
    </row>
    <row r="1223" spans="1:11" ht="42" customHeight="1">
      <c r="A1223" s="4" t="s">
        <v>3011</v>
      </c>
      <c r="B1223" s="5" t="s">
        <v>3012</v>
      </c>
      <c r="C1223" s="5" t="s">
        <v>85</v>
      </c>
      <c r="D1223" s="5" t="s">
        <v>86</v>
      </c>
      <c r="E1223" s="5" t="s">
        <v>286</v>
      </c>
      <c r="F1223" s="9">
        <v>48</v>
      </c>
      <c r="G1223" s="9">
        <v>521</v>
      </c>
      <c r="H1223" s="5" t="s">
        <v>20</v>
      </c>
      <c r="I1223" s="5" t="s">
        <v>3013</v>
      </c>
      <c r="J1223" s="12" t="str">
        <f>HYPERLINK("https://www.boe.es/gazeta/dias/1805/06/14/pdfs/GMD-1805-48.pdf#page=9","Abrir facsímil")</f>
        <v>Abrir facsímil</v>
      </c>
      <c r="K1223" s="15" t="s">
        <v>22</v>
      </c>
    </row>
    <row r="1224" spans="1:11" ht="42" customHeight="1">
      <c r="A1224" s="4" t="s">
        <v>3014</v>
      </c>
      <c r="B1224" s="5" t="s">
        <v>3015</v>
      </c>
      <c r="C1224" s="5" t="s">
        <v>85</v>
      </c>
      <c r="D1224" s="5" t="s">
        <v>86</v>
      </c>
      <c r="E1224" s="5" t="s">
        <v>1221</v>
      </c>
      <c r="F1224" s="9">
        <v>41</v>
      </c>
      <c r="G1224" s="9">
        <v>442</v>
      </c>
      <c r="H1224" s="5" t="s">
        <v>20</v>
      </c>
      <c r="I1224" s="5" t="s">
        <v>3016</v>
      </c>
      <c r="J1224" s="12" t="str">
        <f>HYPERLINK("https://www.boe.es/gazeta/dias/1805/05/21/pdfs/GMD-1805-41.pdf#page=10","Abrir facsímil")</f>
        <v>Abrir facsímil</v>
      </c>
      <c r="K1224" s="15" t="s">
        <v>22</v>
      </c>
    </row>
    <row r="1225" spans="1:11" ht="42" customHeight="1">
      <c r="A1225" s="4" t="s">
        <v>3017</v>
      </c>
      <c r="B1225" s="5" t="s">
        <v>3018</v>
      </c>
      <c r="C1225" s="5" t="s">
        <v>35</v>
      </c>
      <c r="D1225" s="5" t="s">
        <v>36</v>
      </c>
      <c r="E1225" s="5" t="s">
        <v>290</v>
      </c>
      <c r="F1225" s="9">
        <v>36</v>
      </c>
      <c r="G1225" s="9">
        <v>389</v>
      </c>
      <c r="H1225" s="5" t="s">
        <v>20</v>
      </c>
      <c r="I1225" s="5" t="s">
        <v>3019</v>
      </c>
      <c r="J1225" s="12" t="str">
        <f>HYPERLINK("https://www.boe.es/gazeta/dias/1805/05/03/pdfs/GMD-1805-36.pdf#page=9","Abrir facsímil")</f>
        <v>Abrir facsímil</v>
      </c>
      <c r="K1225" s="15" t="s">
        <v>22</v>
      </c>
    </row>
    <row r="1226" spans="1:11" ht="42" customHeight="1">
      <c r="A1226" s="4" t="s">
        <v>3020</v>
      </c>
      <c r="B1226" s="5" t="s">
        <v>3021</v>
      </c>
      <c r="C1226" s="5" t="s">
        <v>29</v>
      </c>
      <c r="D1226" s="5" t="s">
        <v>30</v>
      </c>
      <c r="E1226" s="5" t="s">
        <v>163</v>
      </c>
      <c r="F1226" s="9">
        <v>77</v>
      </c>
      <c r="G1226" s="9">
        <v>818</v>
      </c>
      <c r="H1226" s="5" t="s">
        <v>20</v>
      </c>
      <c r="I1226" s="5" t="s">
        <v>3022</v>
      </c>
      <c r="J1226" s="12" t="str">
        <f>HYPERLINK("https://www.boe.es/gazeta/dias/1805/09/24/pdfs/GMD-1805-77.pdf#page=10","Abrir facsímil")</f>
        <v>Abrir facsímil</v>
      </c>
      <c r="K1226" s="15" t="s">
        <v>22</v>
      </c>
    </row>
    <row r="1227" spans="1:11" ht="42" customHeight="1">
      <c r="A1227" s="4" t="s">
        <v>3023</v>
      </c>
      <c r="B1227" s="5" t="s">
        <v>3024</v>
      </c>
      <c r="C1227" s="5" t="s">
        <v>17</v>
      </c>
      <c r="D1227" s="5" t="s">
        <v>18</v>
      </c>
      <c r="E1227" s="5" t="s">
        <v>303</v>
      </c>
      <c r="F1227" s="9">
        <v>57</v>
      </c>
      <c r="G1227" s="9">
        <v>610</v>
      </c>
      <c r="H1227" s="5" t="s">
        <v>20</v>
      </c>
      <c r="I1227" s="5" t="s">
        <v>3025</v>
      </c>
      <c r="J1227" s="12" t="str">
        <f>HYPERLINK("https://www.boe.es/gazeta/dias/1805/07/16/pdfs/GMD-1805-57.pdf#page=6","Abrir facsímil")</f>
        <v>Abrir facsímil</v>
      </c>
      <c r="K1227" s="15" t="s">
        <v>22</v>
      </c>
    </row>
    <row r="1228" spans="1:11" ht="42" customHeight="1">
      <c r="A1228" s="4" t="s">
        <v>3026</v>
      </c>
      <c r="B1228" s="5" t="s">
        <v>3027</v>
      </c>
      <c r="C1228" s="5" t="s">
        <v>184</v>
      </c>
      <c r="D1228" s="5" t="s">
        <v>86</v>
      </c>
      <c r="E1228" s="5" t="s">
        <v>352</v>
      </c>
      <c r="F1228" s="9">
        <v>60</v>
      </c>
      <c r="G1228" s="9">
        <v>646</v>
      </c>
      <c r="H1228" s="5" t="s">
        <v>20</v>
      </c>
      <c r="I1228" s="5" t="s">
        <v>3028</v>
      </c>
      <c r="J1228" s="12" t="str">
        <f>HYPERLINK("https://www.boe.es/gazeta/dias/1805/07/26/pdfs/GMD-1805-60.pdf#page=10","Abrir facsímil")</f>
        <v>Abrir facsímil</v>
      </c>
      <c r="K1228" s="15" t="s">
        <v>22</v>
      </c>
    </row>
    <row r="1229" spans="1:11" ht="42" customHeight="1">
      <c r="A1229" s="4" t="s">
        <v>3029</v>
      </c>
      <c r="B1229" s="5" t="s">
        <v>3030</v>
      </c>
      <c r="C1229" s="5" t="s">
        <v>85</v>
      </c>
      <c r="D1229" s="5" t="s">
        <v>86</v>
      </c>
      <c r="E1229" s="5" t="s">
        <v>327</v>
      </c>
      <c r="F1229" s="9">
        <v>10</v>
      </c>
      <c r="G1229" s="9">
        <v>110</v>
      </c>
      <c r="H1229" s="5" t="s">
        <v>20</v>
      </c>
      <c r="I1229" s="5" t="s">
        <v>3031</v>
      </c>
      <c r="J1229" s="12" t="str">
        <f>HYPERLINK("https://www.boe.es/gazeta/dias/1805/02/01/pdfs/GMD-1805-10.pdf#page=6","Abrir facsímil")</f>
        <v>Abrir facsímil</v>
      </c>
      <c r="K1229" s="15" t="s">
        <v>22</v>
      </c>
    </row>
    <row r="1230" spans="1:11" ht="42" customHeight="1">
      <c r="A1230" s="4" t="s">
        <v>3032</v>
      </c>
      <c r="B1230" s="5" t="s">
        <v>3033</v>
      </c>
      <c r="C1230" s="5" t="s">
        <v>17</v>
      </c>
      <c r="D1230" s="5" t="s">
        <v>18</v>
      </c>
      <c r="E1230" s="5" t="s">
        <v>1494</v>
      </c>
      <c r="F1230" s="9">
        <v>31</v>
      </c>
      <c r="G1230" s="9">
        <v>333</v>
      </c>
      <c r="H1230" s="5" t="s">
        <v>20</v>
      </c>
      <c r="I1230" s="5" t="s">
        <v>3034</v>
      </c>
      <c r="J1230" s="12" t="str">
        <f>HYPERLINK("https://www.boe.es/gazeta/dias/1805/04/16/pdfs/GMD-1805-31.pdf#page=9","Abrir facsímil")</f>
        <v>Abrir facsímil</v>
      </c>
      <c r="K1230" s="15" t="s">
        <v>22</v>
      </c>
    </row>
    <row r="1231" spans="1:11" ht="42" customHeight="1">
      <c r="A1231" s="4" t="s">
        <v>3035</v>
      </c>
      <c r="B1231" s="5" t="s">
        <v>3036</v>
      </c>
      <c r="C1231" s="5" t="s">
        <v>17</v>
      </c>
      <c r="D1231" s="5" t="s">
        <v>18</v>
      </c>
      <c r="E1231" s="5" t="s">
        <v>854</v>
      </c>
      <c r="F1231" s="9">
        <v>46</v>
      </c>
      <c r="G1231" s="9">
        <v>497</v>
      </c>
      <c r="H1231" s="5" t="s">
        <v>20</v>
      </c>
      <c r="I1231" s="5" t="s">
        <v>3037</v>
      </c>
      <c r="J1231" s="12" t="str">
        <f>HYPERLINK("https://www.boe.es/gazeta/dias/1805/06/07/pdfs/GMD-1805-46.pdf#page=9","Abrir facsímil")</f>
        <v>Abrir facsímil</v>
      </c>
      <c r="K1231" s="15" t="s">
        <v>22</v>
      </c>
    </row>
    <row r="1232" spans="1:11" ht="42" customHeight="1">
      <c r="A1232" s="4" t="s">
        <v>3038</v>
      </c>
      <c r="B1232" s="5" t="s">
        <v>3039</v>
      </c>
      <c r="C1232" s="5" t="s">
        <v>35</v>
      </c>
      <c r="D1232" s="5" t="s">
        <v>36</v>
      </c>
      <c r="E1232" s="5" t="s">
        <v>122</v>
      </c>
      <c r="F1232" s="9">
        <v>38</v>
      </c>
      <c r="G1232" s="9">
        <v>411</v>
      </c>
      <c r="H1232" s="5" t="s">
        <v>20</v>
      </c>
      <c r="I1232" s="5" t="s">
        <v>3040</v>
      </c>
      <c r="J1232" s="12" t="str">
        <f>HYPERLINK("https://www.boe.es/gazeta/dias/1805/05/10/pdfs/GMD-1805-38.pdf#page=7","Abrir facsímil")</f>
        <v>Abrir facsímil</v>
      </c>
      <c r="K1232" s="15" t="s">
        <v>22</v>
      </c>
    </row>
    <row r="1233" spans="1:11" ht="42" customHeight="1">
      <c r="A1233" s="4" t="s">
        <v>3041</v>
      </c>
      <c r="B1233" s="5" t="s">
        <v>3042</v>
      </c>
      <c r="C1233" s="5" t="s">
        <v>35</v>
      </c>
      <c r="D1233" s="5" t="s">
        <v>36</v>
      </c>
      <c r="E1233" s="5" t="s">
        <v>456</v>
      </c>
      <c r="F1233" s="9">
        <v>70</v>
      </c>
      <c r="G1233" s="9">
        <v>746</v>
      </c>
      <c r="H1233" s="5" t="s">
        <v>20</v>
      </c>
      <c r="I1233" s="5" t="s">
        <v>3043</v>
      </c>
      <c r="J1233" s="12" t="str">
        <f>HYPERLINK("https://www.boe.es/gazeta/dias/1805/08/30/pdfs/GMD-1805-70.pdf#page=6","Abrir facsímil")</f>
        <v>Abrir facsímil</v>
      </c>
      <c r="K1233" s="15" t="s">
        <v>22</v>
      </c>
    </row>
    <row r="1234" spans="1:11" ht="42" customHeight="1">
      <c r="A1234" s="4" t="s">
        <v>3044</v>
      </c>
      <c r="B1234" s="5" t="s">
        <v>3045</v>
      </c>
      <c r="C1234" s="5" t="s">
        <v>35</v>
      </c>
      <c r="D1234" s="5" t="s">
        <v>36</v>
      </c>
      <c r="E1234" s="5" t="s">
        <v>539</v>
      </c>
      <c r="F1234" s="9">
        <v>97</v>
      </c>
      <c r="G1234" s="9">
        <v>1045</v>
      </c>
      <c r="H1234" s="5" t="s">
        <v>20</v>
      </c>
      <c r="I1234" s="5" t="s">
        <v>3046</v>
      </c>
      <c r="J1234" s="12" t="str">
        <f>HYPERLINK("https://www.boe.es/gazeta/dias/1805/12/03/pdfs/GMD-1805-97.pdf#page=9","Abrir facsímil")</f>
        <v>Abrir facsímil</v>
      </c>
      <c r="K1234" s="15" t="s">
        <v>22</v>
      </c>
    </row>
    <row r="1235" spans="1:11" ht="42" customHeight="1">
      <c r="A1235" s="4" t="s">
        <v>3047</v>
      </c>
      <c r="B1235" s="5" t="s">
        <v>3048</v>
      </c>
      <c r="C1235" s="5" t="s">
        <v>52</v>
      </c>
      <c r="D1235" s="5" t="s">
        <v>53</v>
      </c>
      <c r="E1235" s="5" t="s">
        <v>144</v>
      </c>
      <c r="F1235" s="9">
        <v>85</v>
      </c>
      <c r="G1235" s="9" t="s">
        <v>772</v>
      </c>
      <c r="H1235" s="5" t="s">
        <v>20</v>
      </c>
      <c r="I1235" s="5" t="s">
        <v>3049</v>
      </c>
      <c r="J1235" s="12" t="str">
        <f>HYPERLINK("https://www.boe.es/gazeta/dias/1805/10/22/pdfs/GMD-C-1805-85.pdf#page=6","Abrir facsímil")</f>
        <v>Abrir facsímil</v>
      </c>
      <c r="K1235" s="15" t="s">
        <v>22</v>
      </c>
    </row>
    <row r="1236" spans="1:11" ht="42" customHeight="1">
      <c r="A1236" s="4" t="s">
        <v>3050</v>
      </c>
      <c r="B1236" s="5" t="s">
        <v>3051</v>
      </c>
      <c r="C1236" s="5" t="s">
        <v>17</v>
      </c>
      <c r="D1236" s="5" t="s">
        <v>18</v>
      </c>
      <c r="E1236" s="5" t="s">
        <v>138</v>
      </c>
      <c r="F1236" s="9">
        <v>102</v>
      </c>
      <c r="G1236" s="9">
        <v>1106</v>
      </c>
      <c r="H1236" s="5" t="s">
        <v>20</v>
      </c>
      <c r="I1236" s="5" t="s">
        <v>3052</v>
      </c>
      <c r="J1236" s="12" t="str">
        <f>HYPERLINK("https://www.boe.es/gazeta/dias/1805/12/20/pdfs/GMD-1805-102.pdf#page=10","Abrir facsímil")</f>
        <v>Abrir facsímil</v>
      </c>
      <c r="K1236" s="15" t="s">
        <v>22</v>
      </c>
    </row>
    <row r="1237" spans="1:11" ht="42" customHeight="1">
      <c r="A1237" s="4" t="s">
        <v>3053</v>
      </c>
      <c r="B1237" s="5" t="s">
        <v>3054</v>
      </c>
      <c r="C1237" s="5" t="s">
        <v>35</v>
      </c>
      <c r="D1237" s="5" t="s">
        <v>36</v>
      </c>
      <c r="E1237" s="5" t="s">
        <v>188</v>
      </c>
      <c r="F1237" s="9">
        <v>68</v>
      </c>
      <c r="G1237" s="9">
        <v>729</v>
      </c>
      <c r="H1237" s="5" t="s">
        <v>20</v>
      </c>
      <c r="I1237" s="5" t="s">
        <v>3055</v>
      </c>
      <c r="J1237" s="12" t="str">
        <f>HYPERLINK("https://www.boe.es/gazeta/dias/1805/08/23/pdfs/GMD-1805-68.pdf#page=9","Abrir facsímil")</f>
        <v>Abrir facsímil</v>
      </c>
      <c r="K1237" s="15" t="s">
        <v>22</v>
      </c>
    </row>
    <row r="1238" spans="1:11" ht="42" customHeight="1">
      <c r="A1238" s="4" t="s">
        <v>3056</v>
      </c>
      <c r="B1238" s="5" t="s">
        <v>3057</v>
      </c>
      <c r="C1238" s="5" t="s">
        <v>35</v>
      </c>
      <c r="D1238" s="5" t="s">
        <v>36</v>
      </c>
      <c r="E1238" s="5" t="s">
        <v>958</v>
      </c>
      <c r="F1238" s="9">
        <v>58</v>
      </c>
      <c r="G1238" s="9" t="s">
        <v>772</v>
      </c>
      <c r="H1238" s="5" t="s">
        <v>20</v>
      </c>
      <c r="I1238" s="5" t="s">
        <v>3058</v>
      </c>
      <c r="J1238" s="12" t="str">
        <f>HYPERLINK("https://www.boe.es/gazeta/dias/1805/07/19/pdfs/GMD-C-1805-58.pdf#page=6","Abrir facsímil")</f>
        <v>Abrir facsímil</v>
      </c>
      <c r="K1238" s="15" t="s">
        <v>22</v>
      </c>
    </row>
    <row r="1239" spans="1:11" ht="42" customHeight="1">
      <c r="A1239" s="4" t="s">
        <v>3059</v>
      </c>
      <c r="B1239" s="5" t="s">
        <v>3060</v>
      </c>
      <c r="C1239" s="5" t="s">
        <v>17</v>
      </c>
      <c r="D1239" s="5" t="s">
        <v>18</v>
      </c>
      <c r="E1239" s="5" t="s">
        <v>132</v>
      </c>
      <c r="F1239" s="9">
        <v>2</v>
      </c>
      <c r="G1239" s="9">
        <v>21</v>
      </c>
      <c r="H1239" s="5" t="s">
        <v>20</v>
      </c>
      <c r="I1239" s="5" t="s">
        <v>3061</v>
      </c>
      <c r="J1239" s="12" t="str">
        <f>HYPERLINK("https://www.boe.es/gazeta/dias/1805/01/04/pdfs/GMD-1805-2.pdf#page=9","Abrir facsímil")</f>
        <v>Abrir facsímil</v>
      </c>
      <c r="K1239" s="15" t="s">
        <v>22</v>
      </c>
    </row>
    <row r="1240" spans="1:11" ht="42" customHeight="1">
      <c r="A1240" s="4" t="s">
        <v>3059</v>
      </c>
      <c r="B1240" s="5" t="s">
        <v>3060</v>
      </c>
      <c r="C1240" s="5" t="s">
        <v>17</v>
      </c>
      <c r="D1240" s="5" t="s">
        <v>18</v>
      </c>
      <c r="E1240" s="5" t="s">
        <v>132</v>
      </c>
      <c r="F1240" s="9">
        <v>2</v>
      </c>
      <c r="G1240" s="9">
        <v>22</v>
      </c>
      <c r="H1240" s="5" t="s">
        <v>20</v>
      </c>
      <c r="I1240" s="5" t="s">
        <v>3062</v>
      </c>
      <c r="J1240" s="12" t="str">
        <f>HYPERLINK("https://www.boe.es/gazeta/dias/1805/01/04/pdfs/GMD-1805-2.pdf#page=10","Abrir facsímil")</f>
        <v>Abrir facsímil</v>
      </c>
      <c r="K1240" s="15" t="s">
        <v>22</v>
      </c>
    </row>
    <row r="1241" spans="1:11" ht="42" customHeight="1">
      <c r="A1241" s="4" t="s">
        <v>3063</v>
      </c>
      <c r="B1241" s="5" t="s">
        <v>3064</v>
      </c>
      <c r="C1241" s="5" t="s">
        <v>29</v>
      </c>
      <c r="D1241" s="5" t="s">
        <v>30</v>
      </c>
      <c r="E1241" s="5" t="s">
        <v>495</v>
      </c>
      <c r="F1241" s="9">
        <v>103</v>
      </c>
      <c r="G1241" s="9">
        <v>1116</v>
      </c>
      <c r="H1241" s="5" t="s">
        <v>20</v>
      </c>
      <c r="I1241" s="5" t="s">
        <v>3065</v>
      </c>
      <c r="J1241" s="12" t="str">
        <f>HYPERLINK("https://www.boe.es/gazeta/dias/1805/12/24/pdfs/GMD-1805-103.pdf#page=8","Abrir facsímil")</f>
        <v>Abrir facsímil</v>
      </c>
      <c r="K1241" s="15" t="s">
        <v>22</v>
      </c>
    </row>
    <row r="1242" spans="1:11" ht="42" customHeight="1">
      <c r="A1242" s="4" t="s">
        <v>3066</v>
      </c>
      <c r="B1242" s="5" t="s">
        <v>3067</v>
      </c>
      <c r="C1242" s="5" t="s">
        <v>85</v>
      </c>
      <c r="D1242" s="5" t="s">
        <v>86</v>
      </c>
      <c r="E1242" s="5" t="s">
        <v>273</v>
      </c>
      <c r="F1242" s="9">
        <v>8</v>
      </c>
      <c r="G1242" s="9">
        <v>89</v>
      </c>
      <c r="H1242" s="5" t="s">
        <v>20</v>
      </c>
      <c r="I1242" s="5" t="s">
        <v>3068</v>
      </c>
      <c r="J1242" s="12" t="str">
        <f>HYPERLINK("https://www.boe.es/gazeta/dias/1805/01/25/pdfs/GMD-1805-8.pdf#page=9","Abrir facsímil")</f>
        <v>Abrir facsímil</v>
      </c>
      <c r="K1242" s="15" t="s">
        <v>22</v>
      </c>
    </row>
    <row r="1243" spans="1:11" ht="42" customHeight="1">
      <c r="A1243" s="4" t="s">
        <v>3069</v>
      </c>
      <c r="B1243" s="5" t="s">
        <v>3070</v>
      </c>
      <c r="C1243" s="5" t="s">
        <v>35</v>
      </c>
      <c r="D1243" s="5" t="s">
        <v>36</v>
      </c>
      <c r="E1243" s="5" t="s">
        <v>181</v>
      </c>
      <c r="F1243" s="9">
        <v>90</v>
      </c>
      <c r="G1243" s="9">
        <v>960</v>
      </c>
      <c r="H1243" s="5" t="s">
        <v>20</v>
      </c>
      <c r="I1243" s="5" t="s">
        <v>3071</v>
      </c>
      <c r="J1243" s="12" t="str">
        <f>HYPERLINK("https://www.boe.es/gazeta/dias/1805/11/08/pdfs/GMD-1805-90.pdf#page=4","Abrir facsímil")</f>
        <v>Abrir facsímil</v>
      </c>
      <c r="K1243" s="15" t="s">
        <v>22</v>
      </c>
    </row>
    <row r="1244" spans="1:11" ht="42" customHeight="1">
      <c r="A1244" s="4" t="s">
        <v>3069</v>
      </c>
      <c r="B1244" s="5" t="s">
        <v>3070</v>
      </c>
      <c r="C1244" s="5" t="s">
        <v>80</v>
      </c>
      <c r="D1244" s="5" t="s">
        <v>81</v>
      </c>
      <c r="E1244" s="5" t="s">
        <v>181</v>
      </c>
      <c r="F1244" s="9">
        <v>90</v>
      </c>
      <c r="G1244" s="9">
        <v>961</v>
      </c>
      <c r="H1244" s="5" t="s">
        <v>20</v>
      </c>
      <c r="I1244" s="5" t="s">
        <v>3072</v>
      </c>
      <c r="J1244" s="12" t="str">
        <f>HYPERLINK("https://www.boe.es/gazeta/dias/1805/11/08/pdfs/GMD-1805-90.pdf#page=5","Abrir facsímil")</f>
        <v>Abrir facsímil</v>
      </c>
      <c r="K1244" s="15" t="s">
        <v>22</v>
      </c>
    </row>
    <row r="1245" spans="1:11" ht="42" customHeight="1">
      <c r="A1245" s="4" t="s">
        <v>3073</v>
      </c>
      <c r="B1245" s="5" t="s">
        <v>3074</v>
      </c>
      <c r="C1245" s="5" t="s">
        <v>80</v>
      </c>
      <c r="D1245" s="5" t="s">
        <v>81</v>
      </c>
      <c r="E1245" s="5" t="s">
        <v>864</v>
      </c>
      <c r="F1245" s="9">
        <v>88</v>
      </c>
      <c r="G1245" s="9">
        <v>931</v>
      </c>
      <c r="H1245" s="5" t="s">
        <v>20</v>
      </c>
      <c r="I1245" s="5" t="s">
        <v>3075</v>
      </c>
      <c r="J1245" s="12" t="str">
        <f>HYPERLINK("https://www.boe.es/gazeta/dias/1805/11/01/pdfs/GMD-1805-88.pdf#page=3","Abrir facsímil")</f>
        <v>Abrir facsímil</v>
      </c>
      <c r="K1245" s="15" t="s">
        <v>22</v>
      </c>
    </row>
    <row r="1246" spans="1:11" ht="42" customHeight="1">
      <c r="A1246" s="4" t="s">
        <v>3076</v>
      </c>
      <c r="B1246" s="5" t="s">
        <v>3077</v>
      </c>
      <c r="C1246" s="5" t="s">
        <v>17</v>
      </c>
      <c r="D1246" s="5" t="s">
        <v>18</v>
      </c>
      <c r="E1246" s="5" t="s">
        <v>539</v>
      </c>
      <c r="F1246" s="9">
        <v>97</v>
      </c>
      <c r="G1246" s="9">
        <v>1044</v>
      </c>
      <c r="H1246" s="5" t="s">
        <v>20</v>
      </c>
      <c r="I1246" s="5" t="s">
        <v>3078</v>
      </c>
      <c r="J1246" s="12" t="str">
        <f>HYPERLINK("https://www.boe.es/gazeta/dias/1805/12/03/pdfs/GMD-1805-97.pdf#page=8","Abrir facsímil")</f>
        <v>Abrir facsímil</v>
      </c>
      <c r="K1246" s="15" t="s">
        <v>22</v>
      </c>
    </row>
    <row r="1247" spans="1:11" ht="42" customHeight="1">
      <c r="A1247" s="4" t="s">
        <v>3079</v>
      </c>
      <c r="B1247" s="5" t="s">
        <v>3080</v>
      </c>
      <c r="C1247" s="5" t="s">
        <v>35</v>
      </c>
      <c r="D1247" s="5" t="s">
        <v>36</v>
      </c>
      <c r="E1247" s="5" t="s">
        <v>864</v>
      </c>
      <c r="F1247" s="9">
        <v>88</v>
      </c>
      <c r="G1247" s="9">
        <v>938</v>
      </c>
      <c r="H1247" s="5" t="s">
        <v>20</v>
      </c>
      <c r="I1247" s="5" t="s">
        <v>3081</v>
      </c>
      <c r="J1247" s="12" t="str">
        <f>HYPERLINK("https://www.boe.es/gazeta/dias/1805/11/01/pdfs/GMD-1805-88.pdf#page=10","Abrir facsímil")</f>
        <v>Abrir facsímil</v>
      </c>
      <c r="K1247" s="15" t="s">
        <v>22</v>
      </c>
    </row>
    <row r="1248" spans="1:11" ht="42" customHeight="1">
      <c r="A1248" s="4" t="s">
        <v>3082</v>
      </c>
      <c r="B1248" s="5" t="s">
        <v>3083</v>
      </c>
      <c r="C1248" s="5" t="s">
        <v>17</v>
      </c>
      <c r="D1248" s="5" t="s">
        <v>18</v>
      </c>
      <c r="E1248" s="5" t="s">
        <v>170</v>
      </c>
      <c r="F1248" s="9">
        <v>9</v>
      </c>
      <c r="G1248" s="9">
        <v>104</v>
      </c>
      <c r="H1248" s="5" t="s">
        <v>20</v>
      </c>
      <c r="I1248" s="5" t="s">
        <v>3084</v>
      </c>
      <c r="J1248" s="12" t="str">
        <f>HYPERLINK("https://www.boe.es/gazeta/dias/1805/01/29/pdfs/GMD-1805-9.pdf#page=12","Abrir facsímil")</f>
        <v>Abrir facsímil</v>
      </c>
      <c r="K1248" s="15" t="s">
        <v>22</v>
      </c>
    </row>
    <row r="1249" spans="1:11" ht="42" customHeight="1">
      <c r="A1249" s="4" t="s">
        <v>3085</v>
      </c>
      <c r="B1249" s="5" t="s">
        <v>3086</v>
      </c>
      <c r="C1249" s="5" t="s">
        <v>29</v>
      </c>
      <c r="D1249" s="5" t="s">
        <v>30</v>
      </c>
      <c r="E1249" s="5" t="s">
        <v>82</v>
      </c>
      <c r="F1249" s="9">
        <v>25</v>
      </c>
      <c r="G1249" s="9">
        <v>268</v>
      </c>
      <c r="H1249" s="5" t="s">
        <v>20</v>
      </c>
      <c r="I1249" s="5" t="s">
        <v>3087</v>
      </c>
      <c r="J1249" s="12" t="str">
        <f>HYPERLINK("https://www.boe.es/gazeta/dias/1805/03/26/pdfs/GMD-1805-25.pdf#page=8","Abrir facsímil")</f>
        <v>Abrir facsímil</v>
      </c>
      <c r="K1249" s="15" t="s">
        <v>22</v>
      </c>
    </row>
    <row r="1250" spans="1:11" ht="42" customHeight="1">
      <c r="A1250" s="4" t="s">
        <v>3088</v>
      </c>
      <c r="B1250" s="5" t="s">
        <v>3089</v>
      </c>
      <c r="C1250" s="5" t="s">
        <v>35</v>
      </c>
      <c r="D1250" s="5" t="s">
        <v>36</v>
      </c>
      <c r="E1250" s="5" t="s">
        <v>163</v>
      </c>
      <c r="F1250" s="9">
        <v>77</v>
      </c>
      <c r="G1250" s="9">
        <v>818</v>
      </c>
      <c r="H1250" s="5" t="s">
        <v>20</v>
      </c>
      <c r="I1250" s="5" t="s">
        <v>3090</v>
      </c>
      <c r="J1250" s="12" t="str">
        <f>HYPERLINK("https://www.boe.es/gazeta/dias/1805/09/24/pdfs/GMD-1805-77.pdf#page=10","Abrir facsímil")</f>
        <v>Abrir facsímil</v>
      </c>
      <c r="K1250" s="15" t="s">
        <v>22</v>
      </c>
    </row>
    <row r="1251" spans="1:11" ht="42" customHeight="1">
      <c r="A1251" s="4" t="s">
        <v>3091</v>
      </c>
      <c r="B1251" s="5" t="s">
        <v>3092</v>
      </c>
      <c r="C1251" s="5" t="s">
        <v>35</v>
      </c>
      <c r="D1251" s="5" t="s">
        <v>36</v>
      </c>
      <c r="E1251" s="5" t="s">
        <v>217</v>
      </c>
      <c r="F1251" s="9">
        <v>96</v>
      </c>
      <c r="G1251" s="9">
        <v>1029</v>
      </c>
      <c r="H1251" s="5" t="s">
        <v>20</v>
      </c>
      <c r="I1251" s="5" t="s">
        <v>3093</v>
      </c>
      <c r="J1251" s="12" t="str">
        <f>HYPERLINK("https://www.boe.es/gazeta/dias/1805/11/29/pdfs/GMD-1805-96.pdf#page=5","Abrir facsímil")</f>
        <v>Abrir facsímil</v>
      </c>
      <c r="K1251" s="15" t="s">
        <v>22</v>
      </c>
    </row>
    <row r="1252" spans="1:11" ht="42" customHeight="1">
      <c r="A1252" s="4" t="s">
        <v>3094</v>
      </c>
      <c r="B1252" s="5" t="s">
        <v>3095</v>
      </c>
      <c r="C1252" s="5" t="s">
        <v>35</v>
      </c>
      <c r="D1252" s="5" t="s">
        <v>36</v>
      </c>
      <c r="E1252" s="5" t="s">
        <v>711</v>
      </c>
      <c r="F1252" s="9">
        <v>63</v>
      </c>
      <c r="G1252" s="9">
        <v>673</v>
      </c>
      <c r="H1252" s="5" t="s">
        <v>20</v>
      </c>
      <c r="I1252" s="5" t="s">
        <v>3096</v>
      </c>
      <c r="J1252" s="12" t="str">
        <f>HYPERLINK("https://www.boe.es/gazeta/dias/1805/08/06/pdfs/GMD-1805-63.pdf#page=9","Abrir facsímil")</f>
        <v>Abrir facsímil</v>
      </c>
      <c r="K1252" s="15" t="s">
        <v>22</v>
      </c>
    </row>
    <row r="1253" spans="1:11" ht="42" customHeight="1">
      <c r="A1253" s="4" t="s">
        <v>3097</v>
      </c>
      <c r="B1253" s="5" t="s">
        <v>3098</v>
      </c>
      <c r="C1253" s="5" t="s">
        <v>85</v>
      </c>
      <c r="D1253" s="5" t="s">
        <v>86</v>
      </c>
      <c r="E1253" s="5" t="s">
        <v>281</v>
      </c>
      <c r="F1253" s="9">
        <v>15</v>
      </c>
      <c r="G1253" s="9">
        <v>156</v>
      </c>
      <c r="H1253" s="5" t="s">
        <v>20</v>
      </c>
      <c r="I1253" s="5" t="s">
        <v>3099</v>
      </c>
      <c r="J1253" s="12" t="str">
        <f>HYPERLINK("https://www.boe.es/gazeta/dias/1805/02/19/pdfs/GMD-1805-15.pdf#page=8","Abrir facsímil")</f>
        <v>Abrir facsímil</v>
      </c>
      <c r="K1253" s="15" t="s">
        <v>22</v>
      </c>
    </row>
    <row r="1254" spans="1:11" ht="42" customHeight="1">
      <c r="A1254" s="4" t="s">
        <v>3100</v>
      </c>
      <c r="B1254" s="5" t="s">
        <v>3101</v>
      </c>
      <c r="C1254" s="5" t="s">
        <v>35</v>
      </c>
      <c r="D1254" s="5" t="s">
        <v>36</v>
      </c>
      <c r="E1254" s="5" t="s">
        <v>261</v>
      </c>
      <c r="F1254" s="9">
        <v>18</v>
      </c>
      <c r="G1254" s="9">
        <v>186</v>
      </c>
      <c r="H1254" s="5" t="s">
        <v>20</v>
      </c>
      <c r="I1254" s="5" t="s">
        <v>3102</v>
      </c>
      <c r="J1254" s="12" t="str">
        <f>HYPERLINK("https://www.boe.es/gazeta/dias/1805/03/01/pdfs/GMD-1805-18.pdf#page=6","Abrir facsímil")</f>
        <v>Abrir facsímil</v>
      </c>
      <c r="K1254" s="15" t="s">
        <v>22</v>
      </c>
    </row>
    <row r="1255" spans="1:11" ht="42" customHeight="1">
      <c r="A1255" s="4" t="s">
        <v>3103</v>
      </c>
      <c r="B1255" s="5" t="s">
        <v>3104</v>
      </c>
      <c r="C1255" s="5" t="s">
        <v>17</v>
      </c>
      <c r="D1255" s="5" t="s">
        <v>18</v>
      </c>
      <c r="E1255" s="5" t="s">
        <v>286</v>
      </c>
      <c r="F1255" s="9">
        <v>48</v>
      </c>
      <c r="G1255" s="9">
        <v>523</v>
      </c>
      <c r="H1255" s="5" t="s">
        <v>20</v>
      </c>
      <c r="I1255" s="5" t="s">
        <v>3105</v>
      </c>
      <c r="J1255" s="12" t="str">
        <f>HYPERLINK("https://www.boe.es/gazeta/dias/1805/06/14/pdfs/GMD-1805-48.pdf#page=11","Abrir facsímil")</f>
        <v>Abrir facsímil</v>
      </c>
      <c r="K1255" s="15" t="s">
        <v>22</v>
      </c>
    </row>
    <row r="1256" spans="1:11" ht="42" customHeight="1">
      <c r="A1256" s="4" t="s">
        <v>3106</v>
      </c>
      <c r="B1256" s="5" t="s">
        <v>3107</v>
      </c>
      <c r="C1256" s="5" t="s">
        <v>184</v>
      </c>
      <c r="D1256" s="5" t="s">
        <v>86</v>
      </c>
      <c r="E1256" s="5" t="s">
        <v>335</v>
      </c>
      <c r="F1256" s="9">
        <v>79</v>
      </c>
      <c r="G1256" s="9">
        <v>840</v>
      </c>
      <c r="H1256" s="5" t="s">
        <v>20</v>
      </c>
      <c r="I1256" s="5" t="s">
        <v>3108</v>
      </c>
      <c r="J1256" s="12" t="str">
        <f>HYPERLINK("https://www.boe.es/gazeta/dias/1805/10/01/pdfs/GMD-1805-79.pdf#page=12","Abrir facsímil")</f>
        <v>Abrir facsímil</v>
      </c>
      <c r="K1256" s="15" t="s">
        <v>22</v>
      </c>
    </row>
    <row r="1257" spans="1:11" ht="42" customHeight="1">
      <c r="A1257" s="4" t="s">
        <v>3109</v>
      </c>
      <c r="B1257" s="5" t="s">
        <v>3110</v>
      </c>
      <c r="C1257" s="5" t="s">
        <v>29</v>
      </c>
      <c r="D1257" s="5" t="s">
        <v>30</v>
      </c>
      <c r="E1257" s="5" t="s">
        <v>135</v>
      </c>
      <c r="F1257" s="9">
        <v>71</v>
      </c>
      <c r="G1257" s="9">
        <v>759</v>
      </c>
      <c r="H1257" s="5" t="s">
        <v>20</v>
      </c>
      <c r="I1257" s="5" t="s">
        <v>3111</v>
      </c>
      <c r="J1257" s="12" t="str">
        <f>HYPERLINK("https://www.boe.es/gazeta/dias/1805/09/03/pdfs/GMD-1805-71.pdf#page=11","Abrir facsímil")</f>
        <v>Abrir facsímil</v>
      </c>
      <c r="K1257" s="15" t="s">
        <v>22</v>
      </c>
    </row>
    <row r="1258" spans="1:11" ht="42" customHeight="1">
      <c r="A1258" s="4" t="s">
        <v>3112</v>
      </c>
      <c r="B1258" s="5" t="s">
        <v>3113</v>
      </c>
      <c r="C1258" s="5" t="s">
        <v>35</v>
      </c>
      <c r="D1258" s="5" t="s">
        <v>36</v>
      </c>
      <c r="E1258" s="5" t="s">
        <v>63</v>
      </c>
      <c r="F1258" s="9">
        <v>101</v>
      </c>
      <c r="G1258" s="9">
        <v>1092</v>
      </c>
      <c r="H1258" s="5" t="s">
        <v>20</v>
      </c>
      <c r="I1258" s="5" t="s">
        <v>3114</v>
      </c>
      <c r="J1258" s="12" t="str">
        <f>HYPERLINK("https://www.boe.es/gazeta/dias/1805/12/17/pdfs/GMD-1805-101.pdf#page=8","Abrir facsímil")</f>
        <v>Abrir facsímil</v>
      </c>
      <c r="K1258" s="15" t="s">
        <v>22</v>
      </c>
    </row>
    <row r="1259" spans="1:11" ht="42" customHeight="1">
      <c r="A1259" s="4" t="s">
        <v>3115</v>
      </c>
      <c r="B1259" s="5" t="s">
        <v>3116</v>
      </c>
      <c r="C1259" s="5" t="s">
        <v>35</v>
      </c>
      <c r="D1259" s="5" t="s">
        <v>36</v>
      </c>
      <c r="E1259" s="5" t="s">
        <v>506</v>
      </c>
      <c r="F1259" s="9">
        <v>80</v>
      </c>
      <c r="G1259" s="9">
        <v>850</v>
      </c>
      <c r="H1259" s="5" t="s">
        <v>20</v>
      </c>
      <c r="I1259" s="5" t="s">
        <v>3117</v>
      </c>
      <c r="J1259" s="12" t="str">
        <f>HYPERLINK("https://www.boe.es/gazeta/dias/1805/10/04/pdfs/GMD-1805-80.pdf#page=10","Abrir facsímil")</f>
        <v>Abrir facsímil</v>
      </c>
      <c r="K1259" s="15" t="s">
        <v>22</v>
      </c>
    </row>
    <row r="1260" spans="1:11" ht="42" customHeight="1">
      <c r="A1260" s="4" t="s">
        <v>3118</v>
      </c>
      <c r="B1260" s="5" t="s">
        <v>3119</v>
      </c>
      <c r="C1260" s="5" t="s">
        <v>35</v>
      </c>
      <c r="D1260" s="5" t="s">
        <v>36</v>
      </c>
      <c r="E1260" s="5" t="s">
        <v>506</v>
      </c>
      <c r="F1260" s="9">
        <v>80</v>
      </c>
      <c r="G1260" s="9">
        <v>850</v>
      </c>
      <c r="H1260" s="5" t="s">
        <v>20</v>
      </c>
      <c r="I1260" s="5" t="s">
        <v>3120</v>
      </c>
      <c r="J1260" s="12" t="str">
        <f>HYPERLINK("https://www.boe.es/gazeta/dias/1805/10/04/pdfs/GMD-1805-80.pdf#page=10","Abrir facsímil")</f>
        <v>Abrir facsímil</v>
      </c>
      <c r="K1260" s="15" t="s">
        <v>22</v>
      </c>
    </row>
    <row r="1261" spans="1:11" ht="42" customHeight="1">
      <c r="A1261" s="4" t="s">
        <v>3121</v>
      </c>
      <c r="B1261" s="5" t="s">
        <v>3122</v>
      </c>
      <c r="C1261" s="5" t="s">
        <v>52</v>
      </c>
      <c r="D1261" s="5" t="s">
        <v>53</v>
      </c>
      <c r="E1261" s="5" t="s">
        <v>144</v>
      </c>
      <c r="F1261" s="9">
        <v>85</v>
      </c>
      <c r="G1261" s="9" t="s">
        <v>222</v>
      </c>
      <c r="H1261" s="5" t="s">
        <v>20</v>
      </c>
      <c r="I1261" s="5" t="s">
        <v>3123</v>
      </c>
      <c r="J1261" s="12" t="str">
        <f>HYPERLINK("https://www.boe.es/gazeta/dias/1805/10/22/pdfs/GMD-C-1805-85.pdf#page=1","Abrir facsímil")</f>
        <v>Abrir facsímil</v>
      </c>
      <c r="K1261" s="15" t="s">
        <v>22</v>
      </c>
    </row>
    <row r="1262" spans="1:11" ht="42" customHeight="1">
      <c r="A1262" s="4" t="s">
        <v>3124</v>
      </c>
      <c r="B1262" s="5" t="s">
        <v>3125</v>
      </c>
      <c r="C1262" s="5" t="s">
        <v>184</v>
      </c>
      <c r="D1262" s="5" t="s">
        <v>86</v>
      </c>
      <c r="E1262" s="5" t="s">
        <v>112</v>
      </c>
      <c r="F1262" s="9">
        <v>16</v>
      </c>
      <c r="G1262" s="9">
        <v>166</v>
      </c>
      <c r="H1262" s="5" t="s">
        <v>20</v>
      </c>
      <c r="I1262" s="5" t="s">
        <v>3126</v>
      </c>
      <c r="J1262" s="12" t="str">
        <f>HYPERLINK("https://www.boe.es/gazeta/dias/1805/02/22/pdfs/GMD-1805-16.pdf#page=6","Abrir facsímil")</f>
        <v>Abrir facsímil</v>
      </c>
      <c r="K1262" s="15" t="s">
        <v>22</v>
      </c>
    </row>
    <row r="1263" spans="1:11" ht="42" customHeight="1">
      <c r="A1263" s="4" t="s">
        <v>3127</v>
      </c>
      <c r="B1263" s="5" t="s">
        <v>3128</v>
      </c>
      <c r="C1263" s="5" t="s">
        <v>35</v>
      </c>
      <c r="D1263" s="5" t="s">
        <v>36</v>
      </c>
      <c r="E1263" s="5" t="s">
        <v>300</v>
      </c>
      <c r="F1263" s="9">
        <v>81</v>
      </c>
      <c r="G1263" s="9">
        <v>858</v>
      </c>
      <c r="H1263" s="5" t="s">
        <v>20</v>
      </c>
      <c r="I1263" s="5" t="s">
        <v>3129</v>
      </c>
      <c r="J1263" s="12" t="str">
        <f>HYPERLINK("https://www.boe.es/gazeta/dias/1805/10/08/pdfs/GMD-1805-81.pdf#page=6","Abrir facsímil")</f>
        <v>Abrir facsímil</v>
      </c>
      <c r="K1263" s="15" t="s">
        <v>22</v>
      </c>
    </row>
    <row r="1264" spans="1:11" ht="42" customHeight="1">
      <c r="A1264" s="4" t="s">
        <v>3130</v>
      </c>
      <c r="B1264" s="5" t="s">
        <v>3131</v>
      </c>
      <c r="C1264" s="5" t="s">
        <v>35</v>
      </c>
      <c r="D1264" s="5" t="s">
        <v>36</v>
      </c>
      <c r="E1264" s="5" t="s">
        <v>120</v>
      </c>
      <c r="F1264" s="9">
        <v>24</v>
      </c>
      <c r="G1264" s="9">
        <v>256</v>
      </c>
      <c r="H1264" s="5" t="s">
        <v>20</v>
      </c>
      <c r="I1264" s="5" t="s">
        <v>3132</v>
      </c>
      <c r="J1264" s="12" t="str">
        <f>HYPERLINK("https://www.boe.es/gazeta/dias/1805/03/22/pdfs/GMD-1805-24.pdf#page=8","Abrir facsímil")</f>
        <v>Abrir facsímil</v>
      </c>
      <c r="K1264" s="15" t="s">
        <v>22</v>
      </c>
    </row>
    <row r="1265" spans="1:11" ht="42" customHeight="1">
      <c r="A1265" s="4" t="s">
        <v>3133</v>
      </c>
      <c r="B1265" s="5" t="s">
        <v>3134</v>
      </c>
      <c r="C1265" s="5" t="s">
        <v>35</v>
      </c>
      <c r="D1265" s="5" t="s">
        <v>36</v>
      </c>
      <c r="E1265" s="5" t="s">
        <v>76</v>
      </c>
      <c r="F1265" s="9">
        <v>66</v>
      </c>
      <c r="G1265" s="9">
        <v>708</v>
      </c>
      <c r="H1265" s="5" t="s">
        <v>20</v>
      </c>
      <c r="I1265" s="5" t="s">
        <v>3135</v>
      </c>
      <c r="J1265" s="12" t="str">
        <f>HYPERLINK("https://www.boe.es/gazeta/dias/1805/08/16/pdfs/GMD-1805-66.pdf#page=8","Abrir facsímil")</f>
        <v>Abrir facsímil</v>
      </c>
      <c r="K1265" s="15" t="s">
        <v>22</v>
      </c>
    </row>
    <row r="1266" spans="1:11" ht="42" customHeight="1">
      <c r="A1266" s="4" t="s">
        <v>3136</v>
      </c>
      <c r="B1266" s="5" t="s">
        <v>3137</v>
      </c>
      <c r="C1266" s="5" t="s">
        <v>17</v>
      </c>
      <c r="D1266" s="5" t="s">
        <v>18</v>
      </c>
      <c r="E1266" s="5" t="s">
        <v>63</v>
      </c>
      <c r="F1266" s="9">
        <v>101</v>
      </c>
      <c r="G1266" s="9">
        <v>1091</v>
      </c>
      <c r="H1266" s="5" t="s">
        <v>20</v>
      </c>
      <c r="I1266" s="5" t="s">
        <v>3138</v>
      </c>
      <c r="J1266" s="12" t="str">
        <f>HYPERLINK("https://www.boe.es/gazeta/dias/1805/12/17/pdfs/GMD-1805-101.pdf#page=7","Abrir facsímil")</f>
        <v>Abrir facsímil</v>
      </c>
      <c r="K1266" s="15" t="s">
        <v>22</v>
      </c>
    </row>
    <row r="1267" spans="1:11" ht="42" customHeight="1">
      <c r="A1267" s="4" t="s">
        <v>3139</v>
      </c>
      <c r="B1267" s="5" t="s">
        <v>3140</v>
      </c>
      <c r="C1267" s="5" t="s">
        <v>35</v>
      </c>
      <c r="D1267" s="5" t="s">
        <v>36</v>
      </c>
      <c r="E1267" s="5" t="s">
        <v>286</v>
      </c>
      <c r="F1267" s="9">
        <v>48</v>
      </c>
      <c r="G1267" s="9">
        <v>521</v>
      </c>
      <c r="H1267" s="5" t="s">
        <v>20</v>
      </c>
      <c r="I1267" s="5" t="s">
        <v>3141</v>
      </c>
      <c r="J1267" s="12" t="str">
        <f>HYPERLINK("https://www.boe.es/gazeta/dias/1805/06/14/pdfs/GMD-1805-48.pdf#page=9","Abrir facsímil")</f>
        <v>Abrir facsímil</v>
      </c>
      <c r="K1267" s="15" t="s">
        <v>22</v>
      </c>
    </row>
    <row r="1268" spans="1:11" ht="42" customHeight="1">
      <c r="A1268" s="4" t="s">
        <v>3142</v>
      </c>
      <c r="B1268" s="5" t="s">
        <v>3143</v>
      </c>
      <c r="C1268" s="5" t="s">
        <v>17</v>
      </c>
      <c r="D1268" s="5" t="s">
        <v>18</v>
      </c>
      <c r="E1268" s="5" t="s">
        <v>864</v>
      </c>
      <c r="F1268" s="9">
        <v>88</v>
      </c>
      <c r="G1268" s="9">
        <v>938</v>
      </c>
      <c r="H1268" s="5" t="s">
        <v>20</v>
      </c>
      <c r="I1268" s="5" t="s">
        <v>3144</v>
      </c>
      <c r="J1268" s="12" t="str">
        <f>HYPERLINK("https://www.boe.es/gazeta/dias/1805/11/01/pdfs/GMD-1805-88.pdf#page=10","Abrir facsímil")</f>
        <v>Abrir facsímil</v>
      </c>
      <c r="K1268" s="15" t="s">
        <v>22</v>
      </c>
    </row>
    <row r="1269" spans="1:11" ht="42" customHeight="1">
      <c r="A1269" s="4" t="s">
        <v>3145</v>
      </c>
      <c r="B1269" s="5" t="s">
        <v>3146</v>
      </c>
      <c r="C1269" s="5" t="s">
        <v>35</v>
      </c>
      <c r="D1269" s="5" t="s">
        <v>36</v>
      </c>
      <c r="E1269" s="5" t="s">
        <v>456</v>
      </c>
      <c r="F1269" s="9">
        <v>70</v>
      </c>
      <c r="G1269" s="9">
        <v>746</v>
      </c>
      <c r="H1269" s="5" t="s">
        <v>20</v>
      </c>
      <c r="I1269" s="5" t="s">
        <v>3147</v>
      </c>
      <c r="J1269" s="12" t="str">
        <f>HYPERLINK("https://www.boe.es/gazeta/dias/1805/08/30/pdfs/GMD-1805-70.pdf#page=6","Abrir facsímil")</f>
        <v>Abrir facsímil</v>
      </c>
      <c r="K1269" s="15" t="s">
        <v>22</v>
      </c>
    </row>
    <row r="1270" spans="1:11" ht="42" customHeight="1">
      <c r="A1270" s="4" t="s">
        <v>3148</v>
      </c>
      <c r="B1270" s="5" t="s">
        <v>3149</v>
      </c>
      <c r="C1270" s="5" t="s">
        <v>35</v>
      </c>
      <c r="D1270" s="5" t="s">
        <v>36</v>
      </c>
      <c r="E1270" s="5" t="s">
        <v>163</v>
      </c>
      <c r="F1270" s="9">
        <v>77</v>
      </c>
      <c r="G1270" s="9">
        <v>817</v>
      </c>
      <c r="H1270" s="5" t="s">
        <v>20</v>
      </c>
      <c r="I1270" s="5" t="s">
        <v>3150</v>
      </c>
      <c r="J1270" s="12" t="str">
        <f>HYPERLINK("https://www.boe.es/gazeta/dias/1805/09/24/pdfs/GMD-1805-77.pdf#page=9","Abrir facsímil")</f>
        <v>Abrir facsímil</v>
      </c>
      <c r="K1270" s="15" t="s">
        <v>22</v>
      </c>
    </row>
    <row r="1271" spans="1:11" ht="42" customHeight="1">
      <c r="A1271" s="4" t="s">
        <v>3151</v>
      </c>
      <c r="B1271" s="5" t="s">
        <v>3152</v>
      </c>
      <c r="C1271" s="5" t="s">
        <v>85</v>
      </c>
      <c r="D1271" s="5" t="s">
        <v>86</v>
      </c>
      <c r="E1271" s="5" t="s">
        <v>273</v>
      </c>
      <c r="F1271" s="9">
        <v>8</v>
      </c>
      <c r="G1271" s="9">
        <v>89</v>
      </c>
      <c r="H1271" s="5" t="s">
        <v>20</v>
      </c>
      <c r="I1271" s="5" t="s">
        <v>3153</v>
      </c>
      <c r="J1271" s="12" t="str">
        <f>HYPERLINK("https://www.boe.es/gazeta/dias/1805/01/25/pdfs/GMD-1805-8.pdf#page=9","Abrir facsímil")</f>
        <v>Abrir facsímil</v>
      </c>
      <c r="K1271" s="15" t="s">
        <v>22</v>
      </c>
    </row>
    <row r="1272" spans="1:11" ht="42" customHeight="1">
      <c r="A1272" s="4" t="s">
        <v>3154</v>
      </c>
      <c r="B1272" s="5" t="s">
        <v>3155</v>
      </c>
      <c r="C1272" s="5" t="s">
        <v>17</v>
      </c>
      <c r="D1272" s="5" t="s">
        <v>18</v>
      </c>
      <c r="E1272" s="5" t="s">
        <v>1494</v>
      </c>
      <c r="F1272" s="9">
        <v>31</v>
      </c>
      <c r="G1272" s="9">
        <v>335</v>
      </c>
      <c r="H1272" s="5" t="s">
        <v>20</v>
      </c>
      <c r="I1272" s="5" t="s">
        <v>3156</v>
      </c>
      <c r="J1272" s="12" t="str">
        <f>HYPERLINK("https://www.boe.es/gazeta/dias/1805/04/16/pdfs/GMD-1805-31.pdf#page=11","Abrir facsímil")</f>
        <v>Abrir facsímil</v>
      </c>
      <c r="K1272" s="15" t="s">
        <v>22</v>
      </c>
    </row>
    <row r="1273" spans="1:11" ht="42" customHeight="1">
      <c r="A1273" s="4" t="s">
        <v>3157</v>
      </c>
      <c r="B1273" s="5" t="s">
        <v>3158</v>
      </c>
      <c r="C1273" s="5" t="s">
        <v>17</v>
      </c>
      <c r="D1273" s="5" t="s">
        <v>18</v>
      </c>
      <c r="E1273" s="5" t="s">
        <v>729</v>
      </c>
      <c r="F1273" s="9">
        <v>61</v>
      </c>
      <c r="G1273" s="9">
        <v>655</v>
      </c>
      <c r="H1273" s="5" t="s">
        <v>20</v>
      </c>
      <c r="I1273" s="5" t="s">
        <v>3159</v>
      </c>
      <c r="J1273" s="12" t="str">
        <f>HYPERLINK("https://www.boe.es/gazeta/dias/1805/07/30/pdfs/GMD-1805-61.pdf#page=7","Abrir facsímil")</f>
        <v>Abrir facsímil</v>
      </c>
      <c r="K1273" s="15" t="s">
        <v>22</v>
      </c>
    </row>
    <row r="1274" spans="1:11" ht="42" customHeight="1">
      <c r="A1274" s="4" t="s">
        <v>3160</v>
      </c>
      <c r="B1274" s="5" t="s">
        <v>3161</v>
      </c>
      <c r="C1274" s="5" t="s">
        <v>35</v>
      </c>
      <c r="D1274" s="5" t="s">
        <v>36</v>
      </c>
      <c r="E1274" s="5" t="s">
        <v>273</v>
      </c>
      <c r="F1274" s="9">
        <v>8</v>
      </c>
      <c r="G1274" s="9">
        <v>89</v>
      </c>
      <c r="H1274" s="5" t="s">
        <v>20</v>
      </c>
      <c r="I1274" s="5" t="s">
        <v>3162</v>
      </c>
      <c r="J1274" s="12" t="str">
        <f>HYPERLINK("https://www.boe.es/gazeta/dias/1805/01/25/pdfs/GMD-1805-8.pdf#page=9","Abrir facsímil")</f>
        <v>Abrir facsímil</v>
      </c>
      <c r="K1274" s="15" t="s">
        <v>22</v>
      </c>
    </row>
    <row r="1275" spans="1:11" ht="42" customHeight="1">
      <c r="A1275" s="4" t="s">
        <v>3163</v>
      </c>
      <c r="B1275" s="5" t="s">
        <v>3164</v>
      </c>
      <c r="C1275" s="5" t="s">
        <v>35</v>
      </c>
      <c r="D1275" s="5" t="s">
        <v>36</v>
      </c>
      <c r="E1275" s="5" t="s">
        <v>71</v>
      </c>
      <c r="F1275" s="9">
        <v>33</v>
      </c>
      <c r="G1275" s="9">
        <v>352</v>
      </c>
      <c r="H1275" s="5" t="s">
        <v>20</v>
      </c>
      <c r="I1275" s="5" t="s">
        <v>3165</v>
      </c>
      <c r="J1275" s="12" t="str">
        <f>HYPERLINK("https://www.boe.es/gazeta/dias/1805/04/23/pdfs/GMD-1805-33.pdf#page=8","Abrir facsímil")</f>
        <v>Abrir facsímil</v>
      </c>
      <c r="K1275" s="15" t="s">
        <v>22</v>
      </c>
    </row>
    <row r="1276" spans="1:11" ht="42" customHeight="1">
      <c r="A1276" s="4" t="s">
        <v>3166</v>
      </c>
      <c r="B1276" s="5" t="s">
        <v>3167</v>
      </c>
      <c r="C1276" s="5" t="s">
        <v>35</v>
      </c>
      <c r="D1276" s="5" t="s">
        <v>36</v>
      </c>
      <c r="E1276" s="5" t="s">
        <v>456</v>
      </c>
      <c r="F1276" s="9">
        <v>70</v>
      </c>
      <c r="G1276" s="9">
        <v>746</v>
      </c>
      <c r="H1276" s="5" t="s">
        <v>20</v>
      </c>
      <c r="I1276" s="5" t="s">
        <v>3168</v>
      </c>
      <c r="J1276" s="12" t="str">
        <f>HYPERLINK("https://www.boe.es/gazeta/dias/1805/08/30/pdfs/GMD-1805-70.pdf#page=6","Abrir facsímil")</f>
        <v>Abrir facsímil</v>
      </c>
      <c r="K1276" s="15" t="s">
        <v>22</v>
      </c>
    </row>
    <row r="1277" spans="1:11" ht="42" customHeight="1">
      <c r="A1277" s="4" t="s">
        <v>3169</v>
      </c>
      <c r="B1277" s="5" t="s">
        <v>3170</v>
      </c>
      <c r="C1277" s="5" t="s">
        <v>17</v>
      </c>
      <c r="D1277" s="5" t="s">
        <v>18</v>
      </c>
      <c r="E1277" s="5" t="s">
        <v>196</v>
      </c>
      <c r="F1277" s="9">
        <v>67</v>
      </c>
      <c r="G1277" s="9">
        <v>718</v>
      </c>
      <c r="H1277" s="5" t="s">
        <v>20</v>
      </c>
      <c r="I1277" s="5" t="s">
        <v>3171</v>
      </c>
      <c r="J1277" s="12" t="str">
        <f>HYPERLINK("https://www.boe.es/gazeta/dias/1805/08/20/pdfs/GMD-1805-67.pdf#page=6","Abrir facsímil")</f>
        <v>Abrir facsímil</v>
      </c>
      <c r="K1277" s="15" t="s">
        <v>22</v>
      </c>
    </row>
    <row r="1278" spans="1:11" ht="42" customHeight="1">
      <c r="A1278" s="4" t="s">
        <v>3172</v>
      </c>
      <c r="B1278" s="5" t="s">
        <v>3173</v>
      </c>
      <c r="C1278" s="5" t="s">
        <v>35</v>
      </c>
      <c r="D1278" s="5" t="s">
        <v>36</v>
      </c>
      <c r="E1278" s="5" t="s">
        <v>327</v>
      </c>
      <c r="F1278" s="9">
        <v>10</v>
      </c>
      <c r="G1278" s="9">
        <v>112</v>
      </c>
      <c r="H1278" s="5" t="s">
        <v>20</v>
      </c>
      <c r="I1278" s="5" t="s">
        <v>3174</v>
      </c>
      <c r="J1278" s="12" t="str">
        <f>HYPERLINK("https://www.boe.es/gazeta/dias/1805/02/01/pdfs/GMD-1805-10.pdf#page=8","Abrir facsímil")</f>
        <v>Abrir facsímil</v>
      </c>
      <c r="K1278" s="15" t="s">
        <v>22</v>
      </c>
    </row>
    <row r="1279" spans="1:11" ht="42" customHeight="1">
      <c r="A1279" s="4" t="s">
        <v>3172</v>
      </c>
      <c r="B1279" s="5" t="s">
        <v>3173</v>
      </c>
      <c r="C1279" s="5" t="s">
        <v>35</v>
      </c>
      <c r="D1279" s="5" t="s">
        <v>36</v>
      </c>
      <c r="E1279" s="5" t="s">
        <v>281</v>
      </c>
      <c r="F1279" s="9">
        <v>15</v>
      </c>
      <c r="G1279" s="9">
        <v>159</v>
      </c>
      <c r="H1279" s="5" t="s">
        <v>20</v>
      </c>
      <c r="I1279" s="5" t="s">
        <v>3175</v>
      </c>
      <c r="J1279" s="12" t="str">
        <f>HYPERLINK("https://www.boe.es/gazeta/dias/1805/02/19/pdfs/GMD-1805-15.pdf#page=11","Abrir facsímil")</f>
        <v>Abrir facsímil</v>
      </c>
      <c r="K1279" s="15" t="s">
        <v>22</v>
      </c>
    </row>
    <row r="1280" spans="1:11" ht="42" customHeight="1">
      <c r="A1280" s="4" t="s">
        <v>3172</v>
      </c>
      <c r="B1280" s="5" t="s">
        <v>3173</v>
      </c>
      <c r="C1280" s="5" t="s">
        <v>35</v>
      </c>
      <c r="D1280" s="5" t="s">
        <v>36</v>
      </c>
      <c r="E1280" s="5" t="s">
        <v>831</v>
      </c>
      <c r="F1280" s="9">
        <v>62</v>
      </c>
      <c r="G1280" s="9">
        <v>664</v>
      </c>
      <c r="H1280" s="5" t="s">
        <v>20</v>
      </c>
      <c r="I1280" s="5" t="s">
        <v>3176</v>
      </c>
      <c r="J1280" s="12" t="str">
        <f>HYPERLINK("https://www.boe.es/gazeta/dias/1805/08/02/pdfs/GMD-1805-62.pdf#page=8","Abrir facsímil")</f>
        <v>Abrir facsímil</v>
      </c>
      <c r="K1280" s="15" t="s">
        <v>22</v>
      </c>
    </row>
    <row r="1281" spans="1:11" ht="42" customHeight="1">
      <c r="A1281" s="4" t="s">
        <v>3177</v>
      </c>
      <c r="B1281" s="5" t="s">
        <v>3178</v>
      </c>
      <c r="C1281" s="5" t="s">
        <v>35</v>
      </c>
      <c r="D1281" s="5" t="s">
        <v>36</v>
      </c>
      <c r="E1281" s="5" t="s">
        <v>1292</v>
      </c>
      <c r="F1281" s="9">
        <v>43</v>
      </c>
      <c r="G1281" s="9">
        <v>462</v>
      </c>
      <c r="H1281" s="5" t="s">
        <v>20</v>
      </c>
      <c r="I1281" s="5" t="s">
        <v>3179</v>
      </c>
      <c r="J1281" s="12" t="str">
        <f>HYPERLINK("https://www.boe.es/gazeta/dias/1805/05/28/pdfs/GMD-1805-43.pdf#page=6","Abrir facsímil")</f>
        <v>Abrir facsímil</v>
      </c>
      <c r="K1281" s="15" t="s">
        <v>22</v>
      </c>
    </row>
    <row r="1282" spans="1:11" ht="42" customHeight="1">
      <c r="A1282" s="4" t="s">
        <v>3180</v>
      </c>
      <c r="B1282" s="5" t="s">
        <v>3181</v>
      </c>
      <c r="C1282" s="5" t="s">
        <v>80</v>
      </c>
      <c r="D1282" s="5" t="s">
        <v>81</v>
      </c>
      <c r="E1282" s="5" t="s">
        <v>729</v>
      </c>
      <c r="F1282" s="9">
        <v>61</v>
      </c>
      <c r="G1282" s="9">
        <v>651</v>
      </c>
      <c r="H1282" s="5" t="s">
        <v>20</v>
      </c>
      <c r="I1282" s="5" t="s">
        <v>3182</v>
      </c>
      <c r="J1282" s="12" t="str">
        <f>HYPERLINK("https://www.boe.es/gazeta/dias/1805/07/30/pdfs/GMD-1805-61.pdf#page=3","Abrir facsímil")</f>
        <v>Abrir facsímil</v>
      </c>
      <c r="K1282" s="15" t="s">
        <v>22</v>
      </c>
    </row>
    <row r="1283" spans="1:11" ht="42" customHeight="1">
      <c r="A1283" s="4" t="s">
        <v>3177</v>
      </c>
      <c r="B1283" s="5" t="s">
        <v>3178</v>
      </c>
      <c r="C1283" s="5" t="s">
        <v>35</v>
      </c>
      <c r="D1283" s="5" t="s">
        <v>36</v>
      </c>
      <c r="E1283" s="5" t="s">
        <v>300</v>
      </c>
      <c r="F1283" s="9">
        <v>81</v>
      </c>
      <c r="G1283" s="9">
        <v>856</v>
      </c>
      <c r="H1283" s="5" t="s">
        <v>20</v>
      </c>
      <c r="I1283" s="5" t="s">
        <v>3183</v>
      </c>
      <c r="J1283" s="12" t="str">
        <f>HYPERLINK("https://www.boe.es/gazeta/dias/1805/10/08/pdfs/GMD-1805-81.pdf#page=4","Abrir facsímil")</f>
        <v>Abrir facsímil</v>
      </c>
      <c r="K1283" s="15" t="s">
        <v>22</v>
      </c>
    </row>
    <row r="1284" spans="1:11" ht="42" customHeight="1">
      <c r="A1284" s="4" t="s">
        <v>3184</v>
      </c>
      <c r="B1284" s="5" t="s">
        <v>3185</v>
      </c>
      <c r="C1284" s="5" t="s">
        <v>35</v>
      </c>
      <c r="D1284" s="5" t="s">
        <v>36</v>
      </c>
      <c r="E1284" s="5" t="s">
        <v>141</v>
      </c>
      <c r="F1284" s="9">
        <v>82</v>
      </c>
      <c r="G1284" s="9">
        <v>867</v>
      </c>
      <c r="H1284" s="5" t="s">
        <v>20</v>
      </c>
      <c r="I1284" s="5" t="s">
        <v>3186</v>
      </c>
      <c r="J1284" s="12" t="str">
        <f>HYPERLINK("https://www.boe.es/gazeta/dias/1805/10/11/pdfs/GMD-1805-82.pdf#page=7","Abrir facsímil")</f>
        <v>Abrir facsímil</v>
      </c>
      <c r="K1284" s="15" t="s">
        <v>22</v>
      </c>
    </row>
    <row r="1285" spans="1:11" ht="42" customHeight="1">
      <c r="A1285" s="4" t="s">
        <v>3184</v>
      </c>
      <c r="B1285" s="5" t="s">
        <v>3185</v>
      </c>
      <c r="C1285" s="5" t="s">
        <v>184</v>
      </c>
      <c r="D1285" s="5" t="s">
        <v>86</v>
      </c>
      <c r="E1285" s="5" t="s">
        <v>99</v>
      </c>
      <c r="F1285" s="9">
        <v>83</v>
      </c>
      <c r="G1285" s="9">
        <v>878</v>
      </c>
      <c r="H1285" s="5" t="s">
        <v>20</v>
      </c>
      <c r="I1285" s="5" t="s">
        <v>3187</v>
      </c>
      <c r="J1285" s="12" t="str">
        <f>HYPERLINK("https://www.boe.es/gazeta/dias/1805/10/15/pdfs/GMD-1805-83.pdf#page=6","Abrir facsímil")</f>
        <v>Abrir facsímil</v>
      </c>
      <c r="K1285" s="15" t="s">
        <v>22</v>
      </c>
    </row>
    <row r="1286" spans="1:11" ht="42" customHeight="1">
      <c r="A1286" s="4" t="s">
        <v>3184</v>
      </c>
      <c r="B1286" s="5" t="s">
        <v>3185</v>
      </c>
      <c r="C1286" s="5" t="s">
        <v>80</v>
      </c>
      <c r="D1286" s="5" t="s">
        <v>81</v>
      </c>
      <c r="E1286" s="5" t="s">
        <v>99</v>
      </c>
      <c r="F1286" s="9">
        <v>83</v>
      </c>
      <c r="G1286" s="9">
        <v>880</v>
      </c>
      <c r="H1286" s="5" t="s">
        <v>20</v>
      </c>
      <c r="I1286" s="5" t="s">
        <v>3188</v>
      </c>
      <c r="J1286" s="12" t="str">
        <f>HYPERLINK("https://www.boe.es/gazeta/dias/1805/10/15/pdfs/GMD-1805-83.pdf#page=8","Abrir facsímil")</f>
        <v>Abrir facsímil</v>
      </c>
      <c r="K1286" s="15" t="s">
        <v>22</v>
      </c>
    </row>
    <row r="1287" spans="1:11" ht="42" customHeight="1">
      <c r="A1287" s="4" t="s">
        <v>3189</v>
      </c>
      <c r="B1287" s="5" t="s">
        <v>3190</v>
      </c>
      <c r="C1287" s="5" t="s">
        <v>35</v>
      </c>
      <c r="D1287" s="5" t="s">
        <v>36</v>
      </c>
      <c r="E1287" s="5" t="s">
        <v>99</v>
      </c>
      <c r="F1287" s="9">
        <v>83</v>
      </c>
      <c r="G1287" s="9">
        <v>877</v>
      </c>
      <c r="H1287" s="5" t="s">
        <v>20</v>
      </c>
      <c r="I1287" s="5" t="s">
        <v>3191</v>
      </c>
      <c r="J1287" s="12" t="str">
        <f>HYPERLINK("https://www.boe.es/gazeta/dias/1805/10/15/pdfs/GMD-1805-83.pdf#page=5","Abrir facsímil")</f>
        <v>Abrir facsímil</v>
      </c>
      <c r="K1287" s="15" t="s">
        <v>22</v>
      </c>
    </row>
    <row r="1288" spans="1:11" ht="42" customHeight="1">
      <c r="A1288" s="4" t="s">
        <v>3192</v>
      </c>
      <c r="B1288" s="5" t="s">
        <v>3193</v>
      </c>
      <c r="C1288" s="5" t="s">
        <v>17</v>
      </c>
      <c r="D1288" s="5" t="s">
        <v>18</v>
      </c>
      <c r="E1288" s="5" t="s">
        <v>787</v>
      </c>
      <c r="F1288" s="9">
        <v>95</v>
      </c>
      <c r="G1288" s="9">
        <v>1016</v>
      </c>
      <c r="H1288" s="5" t="s">
        <v>20</v>
      </c>
      <c r="I1288" s="5" t="s">
        <v>3194</v>
      </c>
      <c r="J1288" s="12" t="str">
        <f>HYPERLINK("https://www.boe.es/gazeta/dias/1805/11/26/pdfs/GMD-1805-95.pdf#page=4","Abrir facsímil")</f>
        <v>Abrir facsímil</v>
      </c>
      <c r="K1288" s="15" t="s">
        <v>22</v>
      </c>
    </row>
    <row r="1289" spans="1:11" ht="42" customHeight="1">
      <c r="A1289" s="4" t="s">
        <v>3195</v>
      </c>
      <c r="B1289" s="5" t="s">
        <v>3196</v>
      </c>
      <c r="C1289" s="5" t="s">
        <v>17</v>
      </c>
      <c r="D1289" s="5" t="s">
        <v>18</v>
      </c>
      <c r="E1289" s="5" t="s">
        <v>365</v>
      </c>
      <c r="F1289" s="9">
        <v>3</v>
      </c>
      <c r="G1289" s="9">
        <v>31</v>
      </c>
      <c r="H1289" s="5" t="s">
        <v>20</v>
      </c>
      <c r="I1289" s="5" t="s">
        <v>3197</v>
      </c>
      <c r="J1289" s="12" t="str">
        <f>HYPERLINK("https://www.boe.es/gazeta/dias/1805/01/08/pdfs/GMD-1805-3.pdf#page=7","Abrir facsímil")</f>
        <v>Abrir facsímil</v>
      </c>
      <c r="K1289" s="15" t="s">
        <v>22</v>
      </c>
    </row>
    <row r="1290" spans="1:11" ht="42" customHeight="1">
      <c r="A1290" s="4" t="s">
        <v>3195</v>
      </c>
      <c r="B1290" s="5" t="s">
        <v>3196</v>
      </c>
      <c r="C1290" s="5" t="s">
        <v>17</v>
      </c>
      <c r="D1290" s="5" t="s">
        <v>18</v>
      </c>
      <c r="E1290" s="5" t="s">
        <v>854</v>
      </c>
      <c r="F1290" s="9">
        <v>46</v>
      </c>
      <c r="G1290" s="9">
        <v>500</v>
      </c>
      <c r="H1290" s="5" t="s">
        <v>20</v>
      </c>
      <c r="I1290" s="5" t="s">
        <v>3198</v>
      </c>
      <c r="J1290" s="12" t="str">
        <f>HYPERLINK("https://www.boe.es/gazeta/dias/1805/06/07/pdfs/GMD-1805-46.pdf#page=12","Abrir facsímil")</f>
        <v>Abrir facsímil</v>
      </c>
      <c r="K1290" s="15" t="s">
        <v>22</v>
      </c>
    </row>
    <row r="1291" spans="1:11" ht="42" customHeight="1">
      <c r="A1291" s="4" t="s">
        <v>3199</v>
      </c>
      <c r="B1291" s="5" t="s">
        <v>3200</v>
      </c>
      <c r="C1291" s="5" t="s">
        <v>35</v>
      </c>
      <c r="D1291" s="5" t="s">
        <v>36</v>
      </c>
      <c r="E1291" s="5" t="s">
        <v>120</v>
      </c>
      <c r="F1291" s="9">
        <v>24</v>
      </c>
      <c r="G1291" s="9">
        <v>253</v>
      </c>
      <c r="H1291" s="5" t="s">
        <v>20</v>
      </c>
      <c r="I1291" s="5" t="s">
        <v>3201</v>
      </c>
      <c r="J1291" s="12" t="str">
        <f>HYPERLINK("https://www.boe.es/gazeta/dias/1805/03/22/pdfs/GMD-1805-24.pdf#page=5","Abrir facsímil")</f>
        <v>Abrir facsímil</v>
      </c>
      <c r="K1291" s="15" t="s">
        <v>22</v>
      </c>
    </row>
    <row r="1292" spans="1:11" ht="42" customHeight="1">
      <c r="A1292" s="4" t="s">
        <v>3202</v>
      </c>
      <c r="B1292" s="5" t="s">
        <v>3203</v>
      </c>
      <c r="C1292" s="5" t="s">
        <v>80</v>
      </c>
      <c r="D1292" s="5" t="s">
        <v>81</v>
      </c>
      <c r="E1292" s="5" t="s">
        <v>729</v>
      </c>
      <c r="F1292" s="9">
        <v>61</v>
      </c>
      <c r="G1292" s="9">
        <v>651</v>
      </c>
      <c r="H1292" s="5" t="s">
        <v>20</v>
      </c>
      <c r="I1292" s="5" t="s">
        <v>3204</v>
      </c>
      <c r="J1292" s="12" t="str">
        <f>HYPERLINK("https://www.boe.es/gazeta/dias/1805/07/30/pdfs/GMD-1805-61.pdf#page=3","Abrir facsímil")</f>
        <v>Abrir facsímil</v>
      </c>
      <c r="K1292" s="15" t="s">
        <v>22</v>
      </c>
    </row>
    <row r="1293" spans="1:11" ht="42" customHeight="1">
      <c r="A1293" s="4" t="s">
        <v>3205</v>
      </c>
      <c r="B1293" s="5" t="s">
        <v>3206</v>
      </c>
      <c r="C1293" s="5" t="s">
        <v>35</v>
      </c>
      <c r="D1293" s="5" t="s">
        <v>36</v>
      </c>
      <c r="E1293" s="5" t="s">
        <v>327</v>
      </c>
      <c r="F1293" s="9">
        <v>10</v>
      </c>
      <c r="G1293" s="9">
        <v>109</v>
      </c>
      <c r="H1293" s="5" t="s">
        <v>20</v>
      </c>
      <c r="I1293" s="5" t="s">
        <v>3207</v>
      </c>
      <c r="J1293" s="12" t="str">
        <f>HYPERLINK("https://www.boe.es/gazeta/dias/1805/02/01/pdfs/GMD-1805-10.pdf#page=5","Abrir facsímil")</f>
        <v>Abrir facsímil</v>
      </c>
      <c r="K1293" s="15" t="s">
        <v>22</v>
      </c>
    </row>
    <row r="1294" spans="1:11" ht="42" customHeight="1">
      <c r="A1294" s="4" t="s">
        <v>3208</v>
      </c>
      <c r="B1294" s="5" t="s">
        <v>3209</v>
      </c>
      <c r="C1294" s="5" t="s">
        <v>35</v>
      </c>
      <c r="D1294" s="5" t="s">
        <v>36</v>
      </c>
      <c r="E1294" s="5" t="s">
        <v>148</v>
      </c>
      <c r="F1294" s="9">
        <v>50</v>
      </c>
      <c r="G1294" s="9">
        <v>543</v>
      </c>
      <c r="H1294" s="5" t="s">
        <v>20</v>
      </c>
      <c r="I1294" s="5" t="s">
        <v>3210</v>
      </c>
      <c r="J1294" s="12" t="str">
        <f>HYPERLINK("https://www.boe.es/gazeta/dias/1805/06/21/pdfs/GMD-1805-50.pdf#page=11","Abrir facsímil")</f>
        <v>Abrir facsímil</v>
      </c>
      <c r="K1294" s="15" t="s">
        <v>22</v>
      </c>
    </row>
    <row r="1295" spans="1:11" ht="42" customHeight="1">
      <c r="A1295" s="4" t="s">
        <v>3211</v>
      </c>
      <c r="B1295" s="5" t="s">
        <v>3212</v>
      </c>
      <c r="C1295" s="5" t="s">
        <v>35</v>
      </c>
      <c r="D1295" s="5" t="s">
        <v>36</v>
      </c>
      <c r="E1295" s="5" t="s">
        <v>148</v>
      </c>
      <c r="F1295" s="9">
        <v>50</v>
      </c>
      <c r="G1295" s="9">
        <v>543</v>
      </c>
      <c r="H1295" s="5" t="s">
        <v>20</v>
      </c>
      <c r="I1295" s="5" t="s">
        <v>3213</v>
      </c>
      <c r="J1295" s="12" t="str">
        <f>HYPERLINK("https://www.boe.es/gazeta/dias/1805/06/21/pdfs/GMD-1805-50.pdf#page=11","Abrir facsímil")</f>
        <v>Abrir facsímil</v>
      </c>
      <c r="K1295" s="15" t="s">
        <v>22</v>
      </c>
    </row>
    <row r="1296" spans="1:11" ht="42" customHeight="1">
      <c r="A1296" s="4" t="s">
        <v>3214</v>
      </c>
      <c r="B1296" s="5" t="s">
        <v>3215</v>
      </c>
      <c r="C1296" s="5" t="s">
        <v>17</v>
      </c>
      <c r="D1296" s="5" t="s">
        <v>18</v>
      </c>
      <c r="E1296" s="5" t="s">
        <v>356</v>
      </c>
      <c r="F1296" s="9">
        <v>12</v>
      </c>
      <c r="G1296" s="9">
        <v>131</v>
      </c>
      <c r="H1296" s="5" t="s">
        <v>20</v>
      </c>
      <c r="I1296" s="5" t="s">
        <v>3216</v>
      </c>
      <c r="J1296" s="12" t="str">
        <f>HYPERLINK("https://www.boe.es/gazeta/dias/1805/02/08/pdfs/GMD-1805-12.pdf#page=7","Abrir facsímil")</f>
        <v>Abrir facsímil</v>
      </c>
      <c r="K1296" s="15" t="s">
        <v>22</v>
      </c>
    </row>
    <row r="1297" spans="1:11" ht="42" customHeight="1">
      <c r="A1297" s="4" t="s">
        <v>3217</v>
      </c>
      <c r="B1297" s="5" t="s">
        <v>3218</v>
      </c>
      <c r="C1297" s="5" t="s">
        <v>35</v>
      </c>
      <c r="D1297" s="5" t="s">
        <v>36</v>
      </c>
      <c r="E1297" s="5" t="s">
        <v>19</v>
      </c>
      <c r="F1297" s="9">
        <v>86</v>
      </c>
      <c r="G1297" s="9">
        <v>913</v>
      </c>
      <c r="H1297" s="5" t="s">
        <v>20</v>
      </c>
      <c r="I1297" s="5" t="s">
        <v>3219</v>
      </c>
      <c r="J1297" s="12" t="str">
        <f>HYPERLINK("https://www.boe.es/gazeta/dias/1805/10/25/pdfs/GMD-1805-86.pdf#page=9","Abrir facsímil")</f>
        <v>Abrir facsímil</v>
      </c>
      <c r="K1297" s="15" t="s">
        <v>22</v>
      </c>
    </row>
    <row r="1298" spans="1:11" ht="42" customHeight="1">
      <c r="A1298" s="4" t="s">
        <v>3220</v>
      </c>
      <c r="B1298" s="5" t="s">
        <v>3221</v>
      </c>
      <c r="C1298" s="5" t="s">
        <v>85</v>
      </c>
      <c r="D1298" s="5" t="s">
        <v>86</v>
      </c>
      <c r="E1298" s="5" t="s">
        <v>352</v>
      </c>
      <c r="F1298" s="9">
        <v>60</v>
      </c>
      <c r="G1298" s="9">
        <v>637</v>
      </c>
      <c r="H1298" s="5" t="s">
        <v>20</v>
      </c>
      <c r="I1298" s="5" t="s">
        <v>3222</v>
      </c>
      <c r="J1298" s="12" t="str">
        <f>HYPERLINK("https://www.boe.es/gazeta/dias/1805/07/26/pdfs/GMD-1805-60.pdf#page=1","Abrir facsímil")</f>
        <v>Abrir facsímil</v>
      </c>
      <c r="K1298" s="15" t="s">
        <v>22</v>
      </c>
    </row>
    <row r="1299" spans="1:11" ht="42" customHeight="1">
      <c r="A1299" s="4" t="s">
        <v>3220</v>
      </c>
      <c r="B1299" s="5" t="s">
        <v>3221</v>
      </c>
      <c r="C1299" s="5" t="s">
        <v>85</v>
      </c>
      <c r="D1299" s="5" t="s">
        <v>86</v>
      </c>
      <c r="E1299" s="5" t="s">
        <v>76</v>
      </c>
      <c r="F1299" s="9">
        <v>66</v>
      </c>
      <c r="G1299" s="9">
        <v>705</v>
      </c>
      <c r="H1299" s="5" t="s">
        <v>20</v>
      </c>
      <c r="I1299" s="5" t="s">
        <v>3223</v>
      </c>
      <c r="J1299" s="12" t="str">
        <f>HYPERLINK("https://www.boe.es/gazeta/dias/1805/08/16/pdfs/GMD-1805-66.pdf#page=5","Abrir facsímil")</f>
        <v>Abrir facsímil</v>
      </c>
      <c r="K1299" s="15" t="s">
        <v>22</v>
      </c>
    </row>
    <row r="1300" spans="1:11" ht="42" customHeight="1">
      <c r="A1300" s="4" t="s">
        <v>3224</v>
      </c>
      <c r="B1300" s="5" t="s">
        <v>3225</v>
      </c>
      <c r="C1300" s="5" t="s">
        <v>35</v>
      </c>
      <c r="D1300" s="5" t="s">
        <v>36</v>
      </c>
      <c r="E1300" s="5" t="s">
        <v>645</v>
      </c>
      <c r="F1300" s="9">
        <v>55</v>
      </c>
      <c r="G1300" s="9">
        <v>592</v>
      </c>
      <c r="H1300" s="5" t="s">
        <v>20</v>
      </c>
      <c r="I1300" s="5" t="s">
        <v>3226</v>
      </c>
      <c r="J1300" s="12" t="str">
        <f>HYPERLINK("https://www.boe.es/gazeta/dias/1805/07/09/pdfs/GMD-C-1805-55.pdf#page=4","Abrir facsímil")</f>
        <v>Abrir facsímil</v>
      </c>
      <c r="K1300" s="15" t="s">
        <v>22</v>
      </c>
    </row>
    <row r="1301" spans="1:11" ht="42" customHeight="1">
      <c r="A1301" s="4" t="s">
        <v>3227</v>
      </c>
      <c r="B1301" s="5" t="s">
        <v>3228</v>
      </c>
      <c r="C1301" s="5" t="s">
        <v>35</v>
      </c>
      <c r="D1301" s="5" t="s">
        <v>36</v>
      </c>
      <c r="E1301" s="5" t="s">
        <v>217</v>
      </c>
      <c r="F1301" s="9">
        <v>96</v>
      </c>
      <c r="G1301" s="9">
        <v>1030</v>
      </c>
      <c r="H1301" s="5" t="s">
        <v>20</v>
      </c>
      <c r="I1301" s="5" t="s">
        <v>3229</v>
      </c>
      <c r="J1301" s="12" t="str">
        <f>HYPERLINK("https://www.boe.es/gazeta/dias/1805/11/29/pdfs/GMD-1805-96.pdf#page=6","Abrir facsímil")</f>
        <v>Abrir facsímil</v>
      </c>
      <c r="K1301" s="15" t="s">
        <v>22</v>
      </c>
    </row>
    <row r="1302" spans="1:11" ht="42" customHeight="1">
      <c r="A1302" s="4" t="s">
        <v>3230</v>
      </c>
      <c r="B1302" s="5" t="s">
        <v>3231</v>
      </c>
      <c r="C1302" s="5" t="s">
        <v>17</v>
      </c>
      <c r="D1302" s="5" t="s">
        <v>18</v>
      </c>
      <c r="E1302" s="5" t="s">
        <v>107</v>
      </c>
      <c r="F1302" s="9">
        <v>19</v>
      </c>
      <c r="G1302" s="9">
        <v>197</v>
      </c>
      <c r="H1302" s="5" t="s">
        <v>20</v>
      </c>
      <c r="I1302" s="5" t="s">
        <v>3232</v>
      </c>
      <c r="J1302" s="12" t="str">
        <f>HYPERLINK("https://www.boe.es/gazeta/dias/1805/03/05/pdfs/GMD-1805-19.pdf#page=9","Abrir facsímil")</f>
        <v>Abrir facsímil</v>
      </c>
      <c r="K1302" s="15" t="s">
        <v>22</v>
      </c>
    </row>
    <row r="1303" spans="1:11" ht="42" customHeight="1">
      <c r="A1303" s="4" t="s">
        <v>3233</v>
      </c>
      <c r="B1303" s="5" t="s">
        <v>3234</v>
      </c>
      <c r="C1303" s="5" t="s">
        <v>35</v>
      </c>
      <c r="D1303" s="5" t="s">
        <v>36</v>
      </c>
      <c r="E1303" s="5" t="s">
        <v>649</v>
      </c>
      <c r="F1303" s="9">
        <v>7</v>
      </c>
      <c r="G1303" s="9">
        <v>74</v>
      </c>
      <c r="H1303" s="5" t="s">
        <v>20</v>
      </c>
      <c r="I1303" s="5" t="s">
        <v>3235</v>
      </c>
      <c r="J1303" s="12" t="str">
        <f>HYPERLINK("https://www.boe.es/gazeta/dias/1805/01/22/pdfs/GMD-1805-7.pdf#page=6","Abrir facsímil")</f>
        <v>Abrir facsímil</v>
      </c>
      <c r="K1303" s="15" t="s">
        <v>22</v>
      </c>
    </row>
    <row r="1304" spans="1:11" ht="42" customHeight="1">
      <c r="A1304" s="4" t="s">
        <v>3236</v>
      </c>
      <c r="B1304" s="5" t="s">
        <v>3237</v>
      </c>
      <c r="C1304" s="5" t="s">
        <v>35</v>
      </c>
      <c r="D1304" s="5" t="s">
        <v>36</v>
      </c>
      <c r="E1304" s="5" t="s">
        <v>711</v>
      </c>
      <c r="F1304" s="9">
        <v>63</v>
      </c>
      <c r="G1304" s="9">
        <v>673</v>
      </c>
      <c r="H1304" s="5" t="s">
        <v>20</v>
      </c>
      <c r="I1304" s="5" t="s">
        <v>3238</v>
      </c>
      <c r="J1304" s="12" t="str">
        <f>HYPERLINK("https://www.boe.es/gazeta/dias/1805/08/06/pdfs/GMD-1805-63.pdf#page=9","Abrir facsímil")</f>
        <v>Abrir facsímil</v>
      </c>
      <c r="K1304" s="15" t="s">
        <v>22</v>
      </c>
    </row>
    <row r="1305" spans="1:11" ht="42" customHeight="1">
      <c r="A1305" s="4" t="s">
        <v>3239</v>
      </c>
      <c r="B1305" s="5" t="s">
        <v>3240</v>
      </c>
      <c r="C1305" s="5" t="s">
        <v>85</v>
      </c>
      <c r="D1305" s="5" t="s">
        <v>86</v>
      </c>
      <c r="E1305" s="5" t="s">
        <v>552</v>
      </c>
      <c r="F1305" s="9">
        <v>94</v>
      </c>
      <c r="G1305" s="9">
        <v>1008</v>
      </c>
      <c r="H1305" s="5" t="s">
        <v>20</v>
      </c>
      <c r="I1305" s="5" t="s">
        <v>3241</v>
      </c>
      <c r="J1305" s="12" t="str">
        <f>HYPERLINK("https://www.boe.es/gazeta/dias/1805/11/22/pdfs/GMD-1805-94.pdf#page=8","Abrir facsímil")</f>
        <v>Abrir facsímil</v>
      </c>
      <c r="K1305" s="15" t="s">
        <v>22</v>
      </c>
    </row>
    <row r="1306" spans="1:11" ht="42" customHeight="1">
      <c r="A1306" s="4" t="s">
        <v>3242</v>
      </c>
      <c r="B1306" s="5" t="s">
        <v>3243</v>
      </c>
      <c r="C1306" s="5" t="s">
        <v>35</v>
      </c>
      <c r="D1306" s="5" t="s">
        <v>36</v>
      </c>
      <c r="E1306" s="5" t="s">
        <v>135</v>
      </c>
      <c r="F1306" s="9">
        <v>71</v>
      </c>
      <c r="G1306" s="9">
        <v>758</v>
      </c>
      <c r="H1306" s="5" t="s">
        <v>20</v>
      </c>
      <c r="I1306" s="5" t="s">
        <v>3244</v>
      </c>
      <c r="J1306" s="12" t="str">
        <f>HYPERLINK("https://www.boe.es/gazeta/dias/1805/09/03/pdfs/GMD-1805-71.pdf#page=10","Abrir facsímil")</f>
        <v>Abrir facsímil</v>
      </c>
      <c r="K1306" s="15" t="s">
        <v>22</v>
      </c>
    </row>
    <row r="1307" spans="1:11" ht="42" customHeight="1">
      <c r="A1307" s="4" t="s">
        <v>3245</v>
      </c>
      <c r="B1307" s="5" t="s">
        <v>3246</v>
      </c>
      <c r="C1307" s="5" t="s">
        <v>85</v>
      </c>
      <c r="D1307" s="5" t="s">
        <v>86</v>
      </c>
      <c r="E1307" s="5" t="s">
        <v>91</v>
      </c>
      <c r="F1307" s="9">
        <v>28</v>
      </c>
      <c r="G1307" s="9">
        <v>299</v>
      </c>
      <c r="H1307" s="5" t="s">
        <v>20</v>
      </c>
      <c r="I1307" s="5" t="s">
        <v>3247</v>
      </c>
      <c r="J1307" s="12" t="str">
        <f>HYPERLINK("https://www.boe.es/gazeta/dias/1805/04/05/pdfs/GMD-1805-28.pdf#page=7","Abrir facsímil")</f>
        <v>Abrir facsímil</v>
      </c>
      <c r="K1307" s="15" t="s">
        <v>22</v>
      </c>
    </row>
    <row r="1308" spans="1:11" ht="42" customHeight="1">
      <c r="A1308" s="4" t="s">
        <v>3248</v>
      </c>
      <c r="B1308" s="5" t="s">
        <v>3249</v>
      </c>
      <c r="C1308" s="5" t="s">
        <v>35</v>
      </c>
      <c r="D1308" s="5" t="s">
        <v>36</v>
      </c>
      <c r="E1308" s="5" t="s">
        <v>506</v>
      </c>
      <c r="F1308" s="9">
        <v>80</v>
      </c>
      <c r="G1308" s="9">
        <v>852</v>
      </c>
      <c r="H1308" s="5" t="s">
        <v>20</v>
      </c>
      <c r="I1308" s="5" t="s">
        <v>3250</v>
      </c>
      <c r="J1308" s="12" t="str">
        <f>HYPERLINK("https://www.boe.es/gazeta/dias/1805/10/04/pdfs/GMD-1805-80.pdf#page=12","Abrir facsímil")</f>
        <v>Abrir facsímil</v>
      </c>
      <c r="K1308" s="15" t="s">
        <v>22</v>
      </c>
    </row>
    <row r="1309" spans="1:11" ht="42" customHeight="1">
      <c r="A1309" s="4" t="s">
        <v>3251</v>
      </c>
      <c r="B1309" s="5" t="s">
        <v>3252</v>
      </c>
      <c r="C1309" s="5" t="s">
        <v>17</v>
      </c>
      <c r="D1309" s="5" t="s">
        <v>18</v>
      </c>
      <c r="E1309" s="5" t="s">
        <v>59</v>
      </c>
      <c r="F1309" s="9">
        <v>21</v>
      </c>
      <c r="G1309" s="9">
        <v>220</v>
      </c>
      <c r="H1309" s="5" t="s">
        <v>20</v>
      </c>
      <c r="I1309" s="5" t="s">
        <v>3253</v>
      </c>
      <c r="J1309" s="12" t="str">
        <f>HYPERLINK("https://www.boe.es/gazeta/dias/1805/03/12/pdfs/GMD-1805-21.pdf#page=8","Abrir facsímil")</f>
        <v>Abrir facsímil</v>
      </c>
      <c r="K1309" s="15" t="s">
        <v>22</v>
      </c>
    </row>
    <row r="1310" spans="1:11" ht="42" customHeight="1">
      <c r="A1310" s="4" t="s">
        <v>3254</v>
      </c>
      <c r="B1310" s="5" t="s">
        <v>3255</v>
      </c>
      <c r="C1310" s="5" t="s">
        <v>35</v>
      </c>
      <c r="D1310" s="5" t="s">
        <v>36</v>
      </c>
      <c r="E1310" s="5" t="s">
        <v>276</v>
      </c>
      <c r="F1310" s="9">
        <v>51</v>
      </c>
      <c r="G1310" s="9">
        <v>551</v>
      </c>
      <c r="H1310" s="5" t="s">
        <v>20</v>
      </c>
      <c r="I1310" s="5" t="s">
        <v>3256</v>
      </c>
      <c r="J1310" s="12" t="str">
        <f>HYPERLINK("https://www.boe.es/gazeta/dias/1805/06/25/pdfs/GMD-1805-51.pdf#page=7","Abrir facsímil")</f>
        <v>Abrir facsímil</v>
      </c>
      <c r="K1310" s="15" t="s">
        <v>22</v>
      </c>
    </row>
    <row r="1311" spans="1:11" ht="42" customHeight="1">
      <c r="A1311" s="4" t="s">
        <v>3257</v>
      </c>
      <c r="B1311" s="5" t="s">
        <v>3258</v>
      </c>
      <c r="C1311" s="5" t="s">
        <v>85</v>
      </c>
      <c r="D1311" s="5" t="s">
        <v>86</v>
      </c>
      <c r="E1311" s="5" t="s">
        <v>273</v>
      </c>
      <c r="F1311" s="9">
        <v>8</v>
      </c>
      <c r="G1311" s="9">
        <v>89</v>
      </c>
      <c r="H1311" s="5" t="s">
        <v>20</v>
      </c>
      <c r="I1311" s="5" t="s">
        <v>3259</v>
      </c>
      <c r="J1311" s="12" t="str">
        <f>HYPERLINK("https://www.boe.es/gazeta/dias/1805/01/25/pdfs/GMD-1805-8.pdf#page=9","Abrir facsímil")</f>
        <v>Abrir facsímil</v>
      </c>
      <c r="K1311" s="15" t="s">
        <v>22</v>
      </c>
    </row>
    <row r="1312" spans="1:11" ht="42" customHeight="1">
      <c r="A1312" s="4" t="s">
        <v>3260</v>
      </c>
      <c r="B1312" s="5" t="s">
        <v>3261</v>
      </c>
      <c r="C1312" s="5" t="s">
        <v>17</v>
      </c>
      <c r="D1312" s="5" t="s">
        <v>18</v>
      </c>
      <c r="E1312" s="5" t="s">
        <v>585</v>
      </c>
      <c r="F1312" s="9">
        <v>64</v>
      </c>
      <c r="G1312" s="9">
        <v>686</v>
      </c>
      <c r="H1312" s="5" t="s">
        <v>20</v>
      </c>
      <c r="I1312" s="5" t="s">
        <v>3262</v>
      </c>
      <c r="J1312" s="12" t="str">
        <f>HYPERLINK("https://www.boe.es/gazeta/dias/1805/08/09/pdfs/GMD-1805-64.pdf#page=10","Abrir facsímil")</f>
        <v>Abrir facsímil</v>
      </c>
      <c r="K1312" s="15" t="s">
        <v>22</v>
      </c>
    </row>
    <row r="1313" spans="1:11" ht="42" customHeight="1">
      <c r="A1313" s="4" t="s">
        <v>3260</v>
      </c>
      <c r="B1313" s="5" t="s">
        <v>3261</v>
      </c>
      <c r="C1313" s="5" t="s">
        <v>17</v>
      </c>
      <c r="D1313" s="5" t="s">
        <v>18</v>
      </c>
      <c r="E1313" s="5" t="s">
        <v>209</v>
      </c>
      <c r="F1313" s="9">
        <v>89</v>
      </c>
      <c r="G1313" s="9">
        <v>953</v>
      </c>
      <c r="H1313" s="5" t="s">
        <v>20</v>
      </c>
      <c r="I1313" s="5" t="s">
        <v>3263</v>
      </c>
      <c r="J1313" s="12" t="str">
        <f>HYPERLINK("https://www.boe.es/gazeta/dias/1805/11/05/pdfs/GMD-1805-89.pdf#page=13","Abrir facsímil")</f>
        <v>Abrir facsímil</v>
      </c>
      <c r="K1313" s="15" t="s">
        <v>22</v>
      </c>
    </row>
    <row r="1314" spans="1:11" ht="42" customHeight="1">
      <c r="A1314" s="4" t="s">
        <v>3260</v>
      </c>
      <c r="B1314" s="5" t="s">
        <v>3261</v>
      </c>
      <c r="C1314" s="5" t="s">
        <v>17</v>
      </c>
      <c r="D1314" s="5" t="s">
        <v>18</v>
      </c>
      <c r="E1314" s="5" t="s">
        <v>200</v>
      </c>
      <c r="F1314" s="9">
        <v>91</v>
      </c>
      <c r="G1314" s="9">
        <v>976</v>
      </c>
      <c r="H1314" s="5" t="s">
        <v>20</v>
      </c>
      <c r="I1314" s="5" t="s">
        <v>3264</v>
      </c>
      <c r="J1314" s="12" t="str">
        <f>HYPERLINK("https://www.boe.es/gazeta/dias/1805/11/12/pdfs/GMD-1805-91.pdf#page=8","Abrir facsímil")</f>
        <v>Abrir facsímil</v>
      </c>
      <c r="K1314" s="15" t="s">
        <v>22</v>
      </c>
    </row>
    <row r="1315" spans="1:11" ht="42" customHeight="1">
      <c r="A1315" s="4" t="s">
        <v>3260</v>
      </c>
      <c r="B1315" s="5" t="s">
        <v>3261</v>
      </c>
      <c r="C1315" s="5" t="s">
        <v>35</v>
      </c>
      <c r="D1315" s="5" t="s">
        <v>36</v>
      </c>
      <c r="E1315" s="5" t="s">
        <v>200</v>
      </c>
      <c r="F1315" s="9">
        <v>91</v>
      </c>
      <c r="G1315" s="9">
        <v>978</v>
      </c>
      <c r="H1315" s="5" t="s">
        <v>20</v>
      </c>
      <c r="I1315" s="5" t="s">
        <v>3265</v>
      </c>
      <c r="J1315" s="12" t="str">
        <f>HYPERLINK("https://www.boe.es/gazeta/dias/1805/11/12/pdfs/GMD-1805-91.pdf#page=10","Abrir facsímil")</f>
        <v>Abrir facsímil</v>
      </c>
      <c r="K1315" s="15" t="s">
        <v>22</v>
      </c>
    </row>
    <row r="1316" spans="1:11" ht="42" customHeight="1">
      <c r="A1316" s="4" t="s">
        <v>3266</v>
      </c>
      <c r="B1316" s="5" t="s">
        <v>3267</v>
      </c>
      <c r="C1316" s="5" t="s">
        <v>29</v>
      </c>
      <c r="D1316" s="5" t="s">
        <v>30</v>
      </c>
      <c r="E1316" s="5" t="s">
        <v>363</v>
      </c>
      <c r="F1316" s="9">
        <v>1</v>
      </c>
      <c r="G1316" s="9">
        <v>12</v>
      </c>
      <c r="H1316" s="5" t="s">
        <v>20</v>
      </c>
      <c r="I1316" s="5" t="s">
        <v>3268</v>
      </c>
      <c r="J1316" s="12" t="str">
        <f>HYPERLINK("https://www.boe.es/gazeta/dias/1805/01/01/pdfs/GMD-1805-1.pdf#page=12","Abrir facsímil")</f>
        <v>Abrir facsímil</v>
      </c>
      <c r="K1316" s="15" t="s">
        <v>22</v>
      </c>
    </row>
    <row r="1317" spans="1:11" ht="42" customHeight="1">
      <c r="A1317" s="4" t="s">
        <v>3266</v>
      </c>
      <c r="B1317" s="5" t="s">
        <v>3267</v>
      </c>
      <c r="C1317" s="5" t="s">
        <v>29</v>
      </c>
      <c r="D1317" s="5" t="s">
        <v>30</v>
      </c>
      <c r="E1317" s="5" t="s">
        <v>128</v>
      </c>
      <c r="F1317" s="9">
        <v>23</v>
      </c>
      <c r="G1317" s="9">
        <v>247</v>
      </c>
      <c r="H1317" s="5" t="s">
        <v>20</v>
      </c>
      <c r="I1317" s="5" t="s">
        <v>3269</v>
      </c>
      <c r="J1317" s="12" t="str">
        <f>HYPERLINK("https://www.boe.es/gazeta/dias/1805/03/19/pdfs/GMD-1805-23.pdf#page=11","Abrir facsímil")</f>
        <v>Abrir facsímil</v>
      </c>
      <c r="K1317" s="15" t="s">
        <v>22</v>
      </c>
    </row>
    <row r="1318" spans="1:11" ht="42" customHeight="1">
      <c r="A1318" s="4" t="s">
        <v>3270</v>
      </c>
      <c r="B1318" s="5" t="s">
        <v>3271</v>
      </c>
      <c r="C1318" s="5" t="s">
        <v>85</v>
      </c>
      <c r="D1318" s="5" t="s">
        <v>86</v>
      </c>
      <c r="E1318" s="5" t="s">
        <v>303</v>
      </c>
      <c r="F1318" s="9">
        <v>57</v>
      </c>
      <c r="G1318" s="9">
        <v>612</v>
      </c>
      <c r="H1318" s="5" t="s">
        <v>20</v>
      </c>
      <c r="I1318" s="5" t="s">
        <v>3272</v>
      </c>
      <c r="J1318" s="12" t="str">
        <f>HYPERLINK("https://www.boe.es/gazeta/dias/1805/07/16/pdfs/GMD-1805-57.pdf#page=8","Abrir facsímil")</f>
        <v>Abrir facsímil</v>
      </c>
      <c r="K1318" s="15" t="s">
        <v>22</v>
      </c>
    </row>
    <row r="1319" spans="1:11" ht="42" customHeight="1">
      <c r="A1319" s="4" t="s">
        <v>3273</v>
      </c>
      <c r="B1319" s="5" t="s">
        <v>3274</v>
      </c>
      <c r="C1319" s="5" t="s">
        <v>35</v>
      </c>
      <c r="D1319" s="5" t="s">
        <v>36</v>
      </c>
      <c r="E1319" s="5" t="s">
        <v>37</v>
      </c>
      <c r="F1319" s="9">
        <v>54</v>
      </c>
      <c r="G1319" s="9">
        <v>578</v>
      </c>
      <c r="H1319" s="5" t="s">
        <v>20</v>
      </c>
      <c r="I1319" s="5" t="s">
        <v>3275</v>
      </c>
      <c r="J1319" s="12" t="str">
        <f>HYPERLINK("https://www.boe.es/gazeta/dias/1805/07/05/pdfs/GMD-1805-54.pdf#page=6","Abrir facsímil")</f>
        <v>Abrir facsímil</v>
      </c>
      <c r="K1319" s="15" t="s">
        <v>22</v>
      </c>
    </row>
    <row r="1320" spans="1:11" ht="42" customHeight="1">
      <c r="A1320" s="4" t="s">
        <v>3276</v>
      </c>
      <c r="B1320" s="5" t="s">
        <v>3277</v>
      </c>
      <c r="C1320" s="5" t="s">
        <v>85</v>
      </c>
      <c r="D1320" s="5" t="s">
        <v>86</v>
      </c>
      <c r="E1320" s="5" t="s">
        <v>426</v>
      </c>
      <c r="F1320" s="9">
        <v>75</v>
      </c>
      <c r="G1320" s="9">
        <v>798</v>
      </c>
      <c r="H1320" s="5" t="s">
        <v>20</v>
      </c>
      <c r="I1320" s="5" t="s">
        <v>3278</v>
      </c>
      <c r="J1320" s="12" t="str">
        <f>HYPERLINK("https://www.boe.es/gazeta/dias/1805/09/17/pdfs/GMD-1805-75.pdf#page=10","Abrir facsímil")</f>
        <v>Abrir facsímil</v>
      </c>
      <c r="K1320" s="15" t="s">
        <v>22</v>
      </c>
    </row>
    <row r="1321" spans="1:11" ht="42" customHeight="1">
      <c r="A1321" s="4" t="s">
        <v>3279</v>
      </c>
      <c r="B1321" s="5" t="s">
        <v>3280</v>
      </c>
      <c r="C1321" s="5" t="s">
        <v>35</v>
      </c>
      <c r="D1321" s="5" t="s">
        <v>36</v>
      </c>
      <c r="E1321" s="5" t="s">
        <v>512</v>
      </c>
      <c r="F1321" s="9">
        <v>100</v>
      </c>
      <c r="G1321" s="9">
        <v>1081</v>
      </c>
      <c r="H1321" s="5" t="s">
        <v>20</v>
      </c>
      <c r="I1321" s="5" t="s">
        <v>3281</v>
      </c>
      <c r="J1321" s="12" t="str">
        <f>HYPERLINK("https://www.boe.es/gazeta/dias/1805/12/13/pdfs/GMD-1805-100.pdf#page=9","Abrir facsímil")</f>
        <v>Abrir facsímil</v>
      </c>
      <c r="K1321" s="15" t="s">
        <v>22</v>
      </c>
    </row>
    <row r="1322" spans="1:11" ht="42" customHeight="1">
      <c r="A1322" s="4" t="s">
        <v>3282</v>
      </c>
      <c r="B1322" s="5" t="s">
        <v>3283</v>
      </c>
      <c r="C1322" s="5" t="s">
        <v>80</v>
      </c>
      <c r="D1322" s="5" t="s">
        <v>81</v>
      </c>
      <c r="E1322" s="5" t="s">
        <v>649</v>
      </c>
      <c r="F1322" s="9">
        <v>7</v>
      </c>
      <c r="G1322" s="9">
        <v>70</v>
      </c>
      <c r="H1322" s="5" t="s">
        <v>20</v>
      </c>
      <c r="I1322" s="5" t="s">
        <v>3284</v>
      </c>
      <c r="J1322" s="12" t="str">
        <f>HYPERLINK("https://www.boe.es/gazeta/dias/1805/01/22/pdfs/GMD-1805-7.pdf#page=2","Abrir facsímil")</f>
        <v>Abrir facsímil</v>
      </c>
      <c r="K1322" s="15" t="s">
        <v>22</v>
      </c>
    </row>
    <row r="1323" spans="1:11" ht="42" customHeight="1">
      <c r="A1323" s="4" t="s">
        <v>3285</v>
      </c>
      <c r="B1323" s="5" t="s">
        <v>3286</v>
      </c>
      <c r="C1323" s="5" t="s">
        <v>17</v>
      </c>
      <c r="D1323" s="5" t="s">
        <v>18</v>
      </c>
      <c r="E1323" s="5" t="s">
        <v>506</v>
      </c>
      <c r="F1323" s="9">
        <v>80</v>
      </c>
      <c r="G1323" s="9">
        <v>849</v>
      </c>
      <c r="H1323" s="5" t="s">
        <v>20</v>
      </c>
      <c r="I1323" s="5" t="s">
        <v>3287</v>
      </c>
      <c r="J1323" s="12" t="str">
        <f>HYPERLINK("https://www.boe.es/gazeta/dias/1805/10/04/pdfs/GMD-1805-80.pdf#page=9","Abrir facsímil")</f>
        <v>Abrir facsímil</v>
      </c>
      <c r="K1323" s="15" t="s">
        <v>22</v>
      </c>
    </row>
    <row r="1324" spans="1:11" ht="42" customHeight="1">
      <c r="A1324" s="4" t="s">
        <v>3288</v>
      </c>
      <c r="B1324" s="5" t="s">
        <v>3289</v>
      </c>
      <c r="C1324" s="5" t="s">
        <v>17</v>
      </c>
      <c r="D1324" s="5" t="s">
        <v>18</v>
      </c>
      <c r="E1324" s="5" t="s">
        <v>163</v>
      </c>
      <c r="F1324" s="9">
        <v>77</v>
      </c>
      <c r="G1324" s="9">
        <v>818</v>
      </c>
      <c r="H1324" s="5" t="s">
        <v>20</v>
      </c>
      <c r="I1324" s="5" t="s">
        <v>3290</v>
      </c>
      <c r="J1324" s="12" t="str">
        <f>HYPERLINK("https://www.boe.es/gazeta/dias/1805/09/24/pdfs/GMD-1805-77.pdf#page=10","Abrir facsímil")</f>
        <v>Abrir facsímil</v>
      </c>
      <c r="K1324" s="15" t="s">
        <v>22</v>
      </c>
    </row>
    <row r="1325" spans="1:11" ht="42" customHeight="1">
      <c r="A1325" s="4" t="s">
        <v>3291</v>
      </c>
      <c r="B1325" s="5" t="s">
        <v>3292</v>
      </c>
      <c r="C1325" s="5" t="s">
        <v>35</v>
      </c>
      <c r="D1325" s="5" t="s">
        <v>36</v>
      </c>
      <c r="E1325" s="5" t="s">
        <v>226</v>
      </c>
      <c r="F1325" s="9">
        <v>73</v>
      </c>
      <c r="G1325" s="9">
        <v>774</v>
      </c>
      <c r="H1325" s="5" t="s">
        <v>20</v>
      </c>
      <c r="I1325" s="5" t="s">
        <v>3293</v>
      </c>
      <c r="J1325" s="12" t="str">
        <f>HYPERLINK("https://www.boe.es/gazeta/dias/1805/09/10/pdfs/GMD-1805-73.pdf#page=6","Abrir facsímil")</f>
        <v>Abrir facsímil</v>
      </c>
      <c r="K1325" s="15" t="s">
        <v>22</v>
      </c>
    </row>
    <row r="1326" spans="1:11" ht="42" customHeight="1">
      <c r="A1326" s="4" t="s">
        <v>3294</v>
      </c>
      <c r="B1326" s="5" t="s">
        <v>3295</v>
      </c>
      <c r="C1326" s="5" t="s">
        <v>17</v>
      </c>
      <c r="D1326" s="5" t="s">
        <v>18</v>
      </c>
      <c r="E1326" s="5" t="s">
        <v>170</v>
      </c>
      <c r="F1326" s="9">
        <v>9</v>
      </c>
      <c r="G1326" s="9">
        <v>101</v>
      </c>
      <c r="H1326" s="5" t="s">
        <v>20</v>
      </c>
      <c r="I1326" s="5" t="s">
        <v>3296</v>
      </c>
      <c r="J1326" s="12" t="str">
        <f>HYPERLINK("https://www.boe.es/gazeta/dias/1805/01/29/pdfs/GMD-1805-9.pdf#page=9","Abrir facsímil")</f>
        <v>Abrir facsímil</v>
      </c>
      <c r="K1326" s="15" t="s">
        <v>22</v>
      </c>
    </row>
    <row r="1327" spans="1:11" ht="42" customHeight="1">
      <c r="A1327" s="4" t="s">
        <v>3294</v>
      </c>
      <c r="B1327" s="5" t="s">
        <v>3295</v>
      </c>
      <c r="C1327" s="5" t="s">
        <v>17</v>
      </c>
      <c r="D1327" s="5" t="s">
        <v>18</v>
      </c>
      <c r="E1327" s="5" t="s">
        <v>188</v>
      </c>
      <c r="F1327" s="9">
        <v>68</v>
      </c>
      <c r="G1327" s="9">
        <v>731</v>
      </c>
      <c r="H1327" s="5" t="s">
        <v>20</v>
      </c>
      <c r="I1327" s="5" t="s">
        <v>3297</v>
      </c>
      <c r="J1327" s="12" t="str">
        <f>HYPERLINK("https://www.boe.es/gazeta/dias/1805/08/23/pdfs/GMD-1805-68.pdf#page=11","Abrir facsímil")</f>
        <v>Abrir facsímil</v>
      </c>
      <c r="K1327" s="15" t="s">
        <v>22</v>
      </c>
    </row>
    <row r="1328" spans="1:11" ht="42" customHeight="1">
      <c r="A1328" s="4" t="s">
        <v>3298</v>
      </c>
      <c r="B1328" s="5" t="s">
        <v>3299</v>
      </c>
      <c r="C1328" s="5" t="s">
        <v>35</v>
      </c>
      <c r="D1328" s="5" t="s">
        <v>36</v>
      </c>
      <c r="E1328" s="5" t="s">
        <v>673</v>
      </c>
      <c r="F1328" s="9">
        <v>32</v>
      </c>
      <c r="G1328" s="9">
        <v>342</v>
      </c>
      <c r="H1328" s="5" t="s">
        <v>20</v>
      </c>
      <c r="I1328" s="5" t="s">
        <v>3300</v>
      </c>
      <c r="J1328" s="12" t="str">
        <f>HYPERLINK("https://www.boe.es/gazeta/dias/1805/04/19/pdfs/GMD-1805-32.pdf#page=6","Abrir facsímil")</f>
        <v>Abrir facsímil</v>
      </c>
      <c r="K1328" s="15" t="s">
        <v>22</v>
      </c>
    </row>
    <row r="1329" spans="1:11" ht="42" customHeight="1">
      <c r="A1329" s="4" t="s">
        <v>3301</v>
      </c>
      <c r="B1329" s="5" t="s">
        <v>3302</v>
      </c>
      <c r="C1329" s="5" t="s">
        <v>35</v>
      </c>
      <c r="D1329" s="5" t="s">
        <v>36</v>
      </c>
      <c r="E1329" s="5" t="s">
        <v>300</v>
      </c>
      <c r="F1329" s="9">
        <v>81</v>
      </c>
      <c r="G1329" s="9">
        <v>858</v>
      </c>
      <c r="H1329" s="5" t="s">
        <v>20</v>
      </c>
      <c r="I1329" s="5" t="s">
        <v>3303</v>
      </c>
      <c r="J1329" s="12" t="str">
        <f>HYPERLINK("https://www.boe.es/gazeta/dias/1805/10/08/pdfs/GMD-1805-81.pdf#page=6","Abrir facsímil")</f>
        <v>Abrir facsímil</v>
      </c>
      <c r="K1329" s="15" t="s">
        <v>22</v>
      </c>
    </row>
    <row r="1330" spans="1:11" ht="42" customHeight="1">
      <c r="A1330" s="4" t="s">
        <v>3304</v>
      </c>
      <c r="B1330" s="5" t="s">
        <v>3305</v>
      </c>
      <c r="C1330" s="5" t="s">
        <v>29</v>
      </c>
      <c r="D1330" s="5" t="s">
        <v>30</v>
      </c>
      <c r="E1330" s="5" t="s">
        <v>303</v>
      </c>
      <c r="F1330" s="9">
        <v>57</v>
      </c>
      <c r="G1330" s="9">
        <v>610</v>
      </c>
      <c r="H1330" s="5" t="s">
        <v>20</v>
      </c>
      <c r="I1330" s="5" t="s">
        <v>3306</v>
      </c>
      <c r="J1330" s="12" t="str">
        <f>HYPERLINK("https://www.boe.es/gazeta/dias/1805/07/16/pdfs/GMD-1805-57.pdf#page=6","Abrir facsímil")</f>
        <v>Abrir facsímil</v>
      </c>
      <c r="K1330" s="15" t="s">
        <v>22</v>
      </c>
    </row>
    <row r="1331" spans="1:11" ht="42" customHeight="1">
      <c r="A1331" s="4" t="s">
        <v>3307</v>
      </c>
      <c r="B1331" s="5" t="s">
        <v>3308</v>
      </c>
      <c r="C1331" s="5" t="s">
        <v>17</v>
      </c>
      <c r="D1331" s="5" t="s">
        <v>18</v>
      </c>
      <c r="E1331" s="5" t="s">
        <v>135</v>
      </c>
      <c r="F1331" s="9">
        <v>71</v>
      </c>
      <c r="G1331" s="9">
        <v>758</v>
      </c>
      <c r="H1331" s="5" t="s">
        <v>20</v>
      </c>
      <c r="I1331" s="5" t="s">
        <v>3309</v>
      </c>
      <c r="J1331" s="12" t="str">
        <f>HYPERLINK("https://www.boe.es/gazeta/dias/1805/09/03/pdfs/GMD-1805-71.pdf#page=10","Abrir facsímil")</f>
        <v>Abrir facsímil</v>
      </c>
      <c r="K1331" s="15" t="s">
        <v>22</v>
      </c>
    </row>
    <row r="1332" spans="1:11" ht="42" customHeight="1">
      <c r="A1332" s="4" t="s">
        <v>3310</v>
      </c>
      <c r="B1332" s="5" t="s">
        <v>3311</v>
      </c>
      <c r="C1332" s="5" t="s">
        <v>29</v>
      </c>
      <c r="D1332" s="5" t="s">
        <v>30</v>
      </c>
      <c r="E1332" s="5" t="s">
        <v>128</v>
      </c>
      <c r="F1332" s="9">
        <v>23</v>
      </c>
      <c r="G1332" s="9">
        <v>248</v>
      </c>
      <c r="H1332" s="5" t="s">
        <v>20</v>
      </c>
      <c r="I1332" s="5" t="s">
        <v>3312</v>
      </c>
      <c r="J1332" s="12" t="str">
        <f>HYPERLINK("https://www.boe.es/gazeta/dias/1805/03/19/pdfs/GMD-1805-23.pdf#page=12","Abrir facsímil")</f>
        <v>Abrir facsímil</v>
      </c>
      <c r="K1332" s="15" t="s">
        <v>22</v>
      </c>
    </row>
    <row r="1333" spans="1:11" ht="42" customHeight="1">
      <c r="A1333" s="4" t="s">
        <v>3313</v>
      </c>
      <c r="B1333" s="5" t="s">
        <v>3314</v>
      </c>
      <c r="C1333" s="5" t="s">
        <v>17</v>
      </c>
      <c r="D1333" s="5" t="s">
        <v>18</v>
      </c>
      <c r="E1333" s="5" t="s">
        <v>128</v>
      </c>
      <c r="F1333" s="9">
        <v>23</v>
      </c>
      <c r="G1333" s="9">
        <v>248</v>
      </c>
      <c r="H1333" s="5" t="s">
        <v>20</v>
      </c>
      <c r="I1333" s="5" t="s">
        <v>3315</v>
      </c>
      <c r="J1333" s="12" t="str">
        <f>HYPERLINK("https://www.boe.es/gazeta/dias/1805/03/19/pdfs/GMD-1805-23.pdf#page=12","Abrir facsímil")</f>
        <v>Abrir facsímil</v>
      </c>
      <c r="K1333" s="15" t="s">
        <v>22</v>
      </c>
    </row>
    <row r="1334" spans="1:11" ht="42" customHeight="1">
      <c r="A1334" s="4" t="s">
        <v>3316</v>
      </c>
      <c r="B1334" s="5" t="s">
        <v>3317</v>
      </c>
      <c r="C1334" s="5" t="s">
        <v>80</v>
      </c>
      <c r="D1334" s="5" t="s">
        <v>81</v>
      </c>
      <c r="E1334" s="5" t="s">
        <v>273</v>
      </c>
      <c r="F1334" s="9">
        <v>8</v>
      </c>
      <c r="G1334" s="9">
        <v>85</v>
      </c>
      <c r="H1334" s="5" t="s">
        <v>20</v>
      </c>
      <c r="I1334" s="5" t="s">
        <v>3318</v>
      </c>
      <c r="J1334" s="12" t="str">
        <f>HYPERLINK("https://www.boe.es/gazeta/dias/1805/01/25/pdfs/GMD-1805-8.pdf#page=5","Abrir facsímil")</f>
        <v>Abrir facsímil</v>
      </c>
      <c r="K1334" s="15" t="s">
        <v>22</v>
      </c>
    </row>
    <row r="1335" spans="1:11" ht="42" customHeight="1">
      <c r="A1335" s="4" t="s">
        <v>3319</v>
      </c>
      <c r="B1335" s="5" t="s">
        <v>3320</v>
      </c>
      <c r="C1335" s="5" t="s">
        <v>35</v>
      </c>
      <c r="D1335" s="5" t="s">
        <v>36</v>
      </c>
      <c r="E1335" s="5" t="s">
        <v>19</v>
      </c>
      <c r="F1335" s="9">
        <v>86</v>
      </c>
      <c r="G1335" s="9">
        <v>914</v>
      </c>
      <c r="H1335" s="5" t="s">
        <v>20</v>
      </c>
      <c r="I1335" s="5" t="s">
        <v>3321</v>
      </c>
      <c r="J1335" s="12" t="str">
        <f>HYPERLINK("https://www.boe.es/gazeta/dias/1805/10/25/pdfs/GMD-1805-86.pdf#page=10","Abrir facsímil")</f>
        <v>Abrir facsímil</v>
      </c>
      <c r="K1335" s="15" t="s">
        <v>22</v>
      </c>
    </row>
    <row r="1336" spans="1:11" ht="42" customHeight="1">
      <c r="A1336" s="4" t="s">
        <v>3322</v>
      </c>
      <c r="B1336" s="5" t="s">
        <v>3323</v>
      </c>
      <c r="C1336" s="5" t="s">
        <v>35</v>
      </c>
      <c r="D1336" s="5" t="s">
        <v>36</v>
      </c>
      <c r="E1336" s="5" t="s">
        <v>19</v>
      </c>
      <c r="F1336" s="9">
        <v>86</v>
      </c>
      <c r="G1336" s="9">
        <v>914</v>
      </c>
      <c r="H1336" s="5" t="s">
        <v>20</v>
      </c>
      <c r="I1336" s="5" t="s">
        <v>3324</v>
      </c>
      <c r="J1336" s="12" t="str">
        <f>HYPERLINK("https://www.boe.es/gazeta/dias/1805/10/25/pdfs/GMD-1805-86.pdf#page=10","Abrir facsímil")</f>
        <v>Abrir facsímil</v>
      </c>
      <c r="K1336" s="15" t="s">
        <v>22</v>
      </c>
    </row>
    <row r="1337" spans="1:11" ht="42" customHeight="1">
      <c r="A1337" s="4" t="s">
        <v>3325</v>
      </c>
      <c r="B1337" s="5" t="s">
        <v>3326</v>
      </c>
      <c r="C1337" s="5" t="s">
        <v>17</v>
      </c>
      <c r="D1337" s="5" t="s">
        <v>18</v>
      </c>
      <c r="E1337" s="5" t="s">
        <v>356</v>
      </c>
      <c r="F1337" s="9">
        <v>12</v>
      </c>
      <c r="G1337" s="9">
        <v>131</v>
      </c>
      <c r="H1337" s="5" t="s">
        <v>20</v>
      </c>
      <c r="I1337" s="5" t="s">
        <v>3327</v>
      </c>
      <c r="J1337" s="12" t="str">
        <f>HYPERLINK("https://www.boe.es/gazeta/dias/1805/02/08/pdfs/GMD-1805-12.pdf#page=7","Abrir facsímil")</f>
        <v>Abrir facsímil</v>
      </c>
      <c r="K1337" s="15" t="s">
        <v>22</v>
      </c>
    </row>
    <row r="1338" spans="1:11" ht="42" customHeight="1">
      <c r="A1338" s="4" t="s">
        <v>3328</v>
      </c>
      <c r="B1338" s="5" t="s">
        <v>3329</v>
      </c>
      <c r="C1338" s="5" t="s">
        <v>17</v>
      </c>
      <c r="D1338" s="5" t="s">
        <v>18</v>
      </c>
      <c r="E1338" s="5" t="s">
        <v>226</v>
      </c>
      <c r="F1338" s="9">
        <v>73</v>
      </c>
      <c r="G1338" s="9">
        <v>773</v>
      </c>
      <c r="H1338" s="5" t="s">
        <v>20</v>
      </c>
      <c r="I1338" s="5" t="s">
        <v>3330</v>
      </c>
      <c r="J1338" s="12" t="str">
        <f>HYPERLINK("https://www.boe.es/gazeta/dias/1805/09/10/pdfs/GMD-1805-73.pdf#page=5","Abrir facsímil")</f>
        <v>Abrir facsímil</v>
      </c>
      <c r="K1338" s="15" t="s">
        <v>22</v>
      </c>
    </row>
    <row r="1339" spans="1:11" ht="42" customHeight="1">
      <c r="A1339" s="4" t="s">
        <v>3331</v>
      </c>
      <c r="B1339" s="5" t="s">
        <v>3332</v>
      </c>
      <c r="C1339" s="5" t="s">
        <v>85</v>
      </c>
      <c r="D1339" s="5" t="s">
        <v>86</v>
      </c>
      <c r="E1339" s="5" t="s">
        <v>192</v>
      </c>
      <c r="F1339" s="9">
        <v>105</v>
      </c>
      <c r="G1339" s="9">
        <v>1137</v>
      </c>
      <c r="H1339" s="5" t="s">
        <v>20</v>
      </c>
      <c r="I1339" s="5" t="s">
        <v>3333</v>
      </c>
      <c r="J1339" s="12" t="str">
        <f>HYPERLINK("https://www.boe.es/gazeta/dias/1805/12/31/pdfs/GMD-1805-105.pdf#page=9","Abrir facsímil")</f>
        <v>Abrir facsímil</v>
      </c>
      <c r="K1339" s="15" t="s">
        <v>22</v>
      </c>
    </row>
    <row r="1340" spans="1:11" ht="42" customHeight="1">
      <c r="A1340" s="4" t="s">
        <v>3334</v>
      </c>
      <c r="B1340" s="5" t="s">
        <v>3335</v>
      </c>
      <c r="C1340" s="5" t="s">
        <v>17</v>
      </c>
      <c r="D1340" s="5" t="s">
        <v>18</v>
      </c>
      <c r="E1340" s="5" t="s">
        <v>135</v>
      </c>
      <c r="F1340" s="9">
        <v>71</v>
      </c>
      <c r="G1340" s="9">
        <v>758</v>
      </c>
      <c r="H1340" s="5" t="s">
        <v>20</v>
      </c>
      <c r="I1340" s="5" t="s">
        <v>3336</v>
      </c>
      <c r="J1340" s="12" t="str">
        <f>HYPERLINK("https://www.boe.es/gazeta/dias/1805/09/03/pdfs/GMD-1805-71.pdf#page=10","Abrir facsímil")</f>
        <v>Abrir facsímil</v>
      </c>
      <c r="K1340" s="15" t="s">
        <v>22</v>
      </c>
    </row>
    <row r="1341" spans="1:11" ht="42" customHeight="1">
      <c r="A1341" s="4" t="s">
        <v>3337</v>
      </c>
      <c r="B1341" s="5" t="s">
        <v>3338</v>
      </c>
      <c r="C1341" s="5" t="s">
        <v>17</v>
      </c>
      <c r="D1341" s="5" t="s">
        <v>18</v>
      </c>
      <c r="E1341" s="5" t="s">
        <v>226</v>
      </c>
      <c r="F1341" s="9">
        <v>73</v>
      </c>
      <c r="G1341" s="9">
        <v>773</v>
      </c>
      <c r="H1341" s="5" t="s">
        <v>20</v>
      </c>
      <c r="I1341" s="5" t="s">
        <v>3339</v>
      </c>
      <c r="J1341" s="12" t="str">
        <f>HYPERLINK("https://www.boe.es/gazeta/dias/1805/09/10/pdfs/GMD-1805-73.pdf#page=5","Abrir facsímil")</f>
        <v>Abrir facsímil</v>
      </c>
      <c r="K1341" s="15" t="s">
        <v>22</v>
      </c>
    </row>
    <row r="1342" spans="1:11" ht="42" customHeight="1">
      <c r="A1342" s="4" t="s">
        <v>3340</v>
      </c>
      <c r="B1342" s="5" t="s">
        <v>3341</v>
      </c>
      <c r="C1342" s="5" t="s">
        <v>35</v>
      </c>
      <c r="D1342" s="5" t="s">
        <v>36</v>
      </c>
      <c r="E1342" s="5" t="s">
        <v>286</v>
      </c>
      <c r="F1342" s="9">
        <v>48</v>
      </c>
      <c r="G1342" s="9">
        <v>520</v>
      </c>
      <c r="H1342" s="5" t="s">
        <v>20</v>
      </c>
      <c r="I1342" s="5" t="s">
        <v>3342</v>
      </c>
      <c r="J1342" s="12" t="str">
        <f>HYPERLINK("https://www.boe.es/gazeta/dias/1805/06/14/pdfs/GMD-1805-48.pdf#page=8","Abrir facsímil")</f>
        <v>Abrir facsímil</v>
      </c>
      <c r="K1342" s="15" t="s">
        <v>22</v>
      </c>
    </row>
    <row r="1343" spans="1:11" ht="42" customHeight="1">
      <c r="A1343" s="4" t="s">
        <v>3340</v>
      </c>
      <c r="B1343" s="5" t="s">
        <v>3341</v>
      </c>
      <c r="C1343" s="5" t="s">
        <v>17</v>
      </c>
      <c r="D1343" s="5" t="s">
        <v>18</v>
      </c>
      <c r="E1343" s="5" t="s">
        <v>163</v>
      </c>
      <c r="F1343" s="9">
        <v>77</v>
      </c>
      <c r="G1343" s="9">
        <v>818</v>
      </c>
      <c r="H1343" s="5" t="s">
        <v>20</v>
      </c>
      <c r="I1343" s="5" t="s">
        <v>3343</v>
      </c>
      <c r="J1343" s="12" t="str">
        <f>HYPERLINK("https://www.boe.es/gazeta/dias/1805/09/24/pdfs/GMD-1805-77.pdf#page=10","Abrir facsímil")</f>
        <v>Abrir facsímil</v>
      </c>
      <c r="K1343" s="15" t="s">
        <v>22</v>
      </c>
    </row>
    <row r="1344" spans="1:11" ht="42" customHeight="1">
      <c r="A1344" s="4" t="s">
        <v>3340</v>
      </c>
      <c r="B1344" s="5" t="s">
        <v>3341</v>
      </c>
      <c r="C1344" s="5" t="s">
        <v>80</v>
      </c>
      <c r="D1344" s="5" t="s">
        <v>81</v>
      </c>
      <c r="E1344" s="5" t="s">
        <v>864</v>
      </c>
      <c r="F1344" s="9">
        <v>88</v>
      </c>
      <c r="G1344" s="9">
        <v>929</v>
      </c>
      <c r="H1344" s="5" t="s">
        <v>20</v>
      </c>
      <c r="I1344" s="5" t="s">
        <v>3344</v>
      </c>
      <c r="J1344" s="12" t="str">
        <f>HYPERLINK("https://www.boe.es/gazeta/dias/1805/11/01/pdfs/GMD-1805-88.pdf#page=1","Abrir facsímil")</f>
        <v>Abrir facsímil</v>
      </c>
      <c r="K1344" s="15" t="s">
        <v>22</v>
      </c>
    </row>
    <row r="1345" spans="1:11" ht="42" customHeight="1">
      <c r="A1345" s="4" t="s">
        <v>3345</v>
      </c>
      <c r="B1345" s="5" t="s">
        <v>3346</v>
      </c>
      <c r="C1345" s="5" t="s">
        <v>35</v>
      </c>
      <c r="D1345" s="5" t="s">
        <v>36</v>
      </c>
      <c r="E1345" s="5" t="s">
        <v>213</v>
      </c>
      <c r="F1345" s="9">
        <v>56</v>
      </c>
      <c r="G1345" s="9">
        <v>596</v>
      </c>
      <c r="H1345" s="5" t="s">
        <v>20</v>
      </c>
      <c r="I1345" s="5" t="s">
        <v>3347</v>
      </c>
      <c r="J1345" s="12" t="str">
        <f>HYPERLINK("https://www.boe.es/gazeta/dias/1805/07/12/pdfs/GMD-1805-56.pdf#page=4","Abrir facsímil")</f>
        <v>Abrir facsímil</v>
      </c>
      <c r="K1345" s="15" t="s">
        <v>22</v>
      </c>
    </row>
    <row r="1346" spans="1:11" ht="42" customHeight="1">
      <c r="A1346" s="4" t="s">
        <v>3348</v>
      </c>
      <c r="B1346" s="5" t="s">
        <v>3349</v>
      </c>
      <c r="C1346" s="5" t="s">
        <v>17</v>
      </c>
      <c r="D1346" s="5" t="s">
        <v>18</v>
      </c>
      <c r="E1346" s="5" t="s">
        <v>63</v>
      </c>
      <c r="F1346" s="9">
        <v>101</v>
      </c>
      <c r="G1346" s="9">
        <v>1091</v>
      </c>
      <c r="H1346" s="5" t="s">
        <v>20</v>
      </c>
      <c r="I1346" s="5" t="s">
        <v>3350</v>
      </c>
      <c r="J1346" s="12" t="str">
        <f>HYPERLINK("https://www.boe.es/gazeta/dias/1805/12/17/pdfs/GMD-1805-101.pdf#page=7","Abrir facsímil")</f>
        <v>Abrir facsímil</v>
      </c>
      <c r="K1346" s="15" t="s">
        <v>22</v>
      </c>
    </row>
    <row r="1347" spans="1:11" ht="42" customHeight="1">
      <c r="A1347" s="4" t="s">
        <v>3351</v>
      </c>
      <c r="B1347" s="5" t="s">
        <v>3352</v>
      </c>
      <c r="C1347" s="5" t="s">
        <v>35</v>
      </c>
      <c r="D1347" s="5" t="s">
        <v>36</v>
      </c>
      <c r="E1347" s="5" t="s">
        <v>40</v>
      </c>
      <c r="F1347" s="9">
        <v>59</v>
      </c>
      <c r="G1347" s="9">
        <v>631</v>
      </c>
      <c r="H1347" s="5" t="s">
        <v>20</v>
      </c>
      <c r="I1347" s="5" t="s">
        <v>3353</v>
      </c>
      <c r="J1347" s="12" t="str">
        <f>HYPERLINK("https://www.boe.es/gazeta/dias/1805/07/23/pdfs/GMD-1805-59.pdf#page=7","Abrir facsímil")</f>
        <v>Abrir facsímil</v>
      </c>
      <c r="K1347" s="15" t="s">
        <v>22</v>
      </c>
    </row>
    <row r="1348" spans="1:11" ht="42" customHeight="1">
      <c r="A1348" s="4" t="s">
        <v>3354</v>
      </c>
      <c r="B1348" s="5" t="s">
        <v>3355</v>
      </c>
      <c r="C1348" s="5" t="s">
        <v>85</v>
      </c>
      <c r="D1348" s="5" t="s">
        <v>86</v>
      </c>
      <c r="E1348" s="5" t="s">
        <v>290</v>
      </c>
      <c r="F1348" s="9">
        <v>36</v>
      </c>
      <c r="G1348" s="9">
        <v>389</v>
      </c>
      <c r="H1348" s="5" t="s">
        <v>20</v>
      </c>
      <c r="I1348" s="5" t="s">
        <v>3356</v>
      </c>
      <c r="J1348" s="12" t="str">
        <f>HYPERLINK("https://www.boe.es/gazeta/dias/1805/05/03/pdfs/GMD-1805-36.pdf#page=9","Abrir facsímil")</f>
        <v>Abrir facsímil</v>
      </c>
      <c r="K1348" s="15" t="s">
        <v>22</v>
      </c>
    </row>
    <row r="1349" spans="1:11" ht="42" customHeight="1">
      <c r="A1349" s="4" t="s">
        <v>3357</v>
      </c>
      <c r="B1349" s="5" t="s">
        <v>3358</v>
      </c>
      <c r="C1349" s="5" t="s">
        <v>35</v>
      </c>
      <c r="D1349" s="5" t="s">
        <v>36</v>
      </c>
      <c r="E1349" s="5" t="s">
        <v>27</v>
      </c>
      <c r="F1349" s="9">
        <v>37</v>
      </c>
      <c r="G1349" s="9">
        <v>401</v>
      </c>
      <c r="H1349" s="5" t="s">
        <v>20</v>
      </c>
      <c r="I1349" s="5" t="s">
        <v>3359</v>
      </c>
      <c r="J1349" s="12" t="str">
        <f>HYPERLINK("https://www.boe.es/gazeta/dias/1805/05/07/pdfs/GMD-1805-37.pdf#page=9","Abrir facsímil")</f>
        <v>Abrir facsímil</v>
      </c>
      <c r="K1349" s="15" t="s">
        <v>22</v>
      </c>
    </row>
    <row r="1350" spans="1:11" ht="42" customHeight="1">
      <c r="A1350" s="4" t="s">
        <v>3360</v>
      </c>
      <c r="B1350" s="5" t="s">
        <v>3361</v>
      </c>
      <c r="C1350" s="5" t="s">
        <v>35</v>
      </c>
      <c r="D1350" s="5" t="s">
        <v>36</v>
      </c>
      <c r="E1350" s="5" t="s">
        <v>63</v>
      </c>
      <c r="F1350" s="9">
        <v>101</v>
      </c>
      <c r="G1350" s="9">
        <v>1092</v>
      </c>
      <c r="H1350" s="5" t="s">
        <v>20</v>
      </c>
      <c r="I1350" s="5" t="s">
        <v>3362</v>
      </c>
      <c r="J1350" s="12" t="str">
        <f>HYPERLINK("https://www.boe.es/gazeta/dias/1805/12/17/pdfs/GMD-1805-101.pdf#page=8","Abrir facsímil")</f>
        <v>Abrir facsímil</v>
      </c>
      <c r="K1350" s="15" t="s">
        <v>22</v>
      </c>
    </row>
    <row r="1351" spans="1:11" ht="42" customHeight="1">
      <c r="A1351" s="4" t="s">
        <v>3363</v>
      </c>
      <c r="B1351" s="5" t="s">
        <v>3364</v>
      </c>
      <c r="C1351" s="5" t="s">
        <v>35</v>
      </c>
      <c r="D1351" s="5" t="s">
        <v>36</v>
      </c>
      <c r="E1351" s="5" t="s">
        <v>141</v>
      </c>
      <c r="F1351" s="9">
        <v>82</v>
      </c>
      <c r="G1351" s="9">
        <v>870</v>
      </c>
      <c r="H1351" s="5" t="s">
        <v>20</v>
      </c>
      <c r="I1351" s="5" t="s">
        <v>3365</v>
      </c>
      <c r="J1351" s="12" t="str">
        <f>HYPERLINK("https://www.boe.es/gazeta/dias/1805/10/11/pdfs/GMD-1805-82.pdf#page=10","Abrir facsímil")</f>
        <v>Abrir facsímil</v>
      </c>
      <c r="K1351" s="15" t="s">
        <v>22</v>
      </c>
    </row>
    <row r="1352" spans="1:11" ht="42" customHeight="1">
      <c r="A1352" s="4" t="s">
        <v>3366</v>
      </c>
      <c r="B1352" s="5" t="s">
        <v>3367</v>
      </c>
      <c r="C1352" s="5" t="s">
        <v>29</v>
      </c>
      <c r="D1352" s="5" t="s">
        <v>30</v>
      </c>
      <c r="E1352" s="5" t="s">
        <v>585</v>
      </c>
      <c r="F1352" s="9">
        <v>64</v>
      </c>
      <c r="G1352" s="9">
        <v>686</v>
      </c>
      <c r="H1352" s="5" t="s">
        <v>20</v>
      </c>
      <c r="I1352" s="5" t="s">
        <v>3368</v>
      </c>
      <c r="J1352" s="12" t="str">
        <f>HYPERLINK("https://www.boe.es/gazeta/dias/1805/08/09/pdfs/GMD-1805-64.pdf#page=10","Abrir facsímil")</f>
        <v>Abrir facsímil</v>
      </c>
      <c r="K1352" s="15" t="s">
        <v>22</v>
      </c>
    </row>
    <row r="1353" spans="1:11" ht="42" customHeight="1">
      <c r="A1353" s="4" t="s">
        <v>3369</v>
      </c>
      <c r="B1353" s="5" t="s">
        <v>3370</v>
      </c>
      <c r="C1353" s="5" t="s">
        <v>85</v>
      </c>
      <c r="D1353" s="5" t="s">
        <v>86</v>
      </c>
      <c r="E1353" s="5" t="s">
        <v>1445</v>
      </c>
      <c r="F1353" s="9">
        <v>6</v>
      </c>
      <c r="G1353" s="9">
        <v>66</v>
      </c>
      <c r="H1353" s="5" t="s">
        <v>20</v>
      </c>
      <c r="I1353" s="5" t="s">
        <v>3371</v>
      </c>
      <c r="J1353" s="12" t="str">
        <f>HYPERLINK("https://www.boe.es/gazeta/dias/1805/01/18/pdfs/GMD-1805-6.pdf#page=10","Abrir facsímil")</f>
        <v>Abrir facsímil</v>
      </c>
      <c r="K1353" s="15" t="s">
        <v>22</v>
      </c>
    </row>
    <row r="1354" spans="1:11" ht="42" customHeight="1">
      <c r="A1354" s="4" t="s">
        <v>3372</v>
      </c>
      <c r="B1354" s="5" t="s">
        <v>3373</v>
      </c>
      <c r="C1354" s="5" t="s">
        <v>85</v>
      </c>
      <c r="D1354" s="5" t="s">
        <v>86</v>
      </c>
      <c r="E1354" s="5" t="s">
        <v>1445</v>
      </c>
      <c r="F1354" s="9">
        <v>6</v>
      </c>
      <c r="G1354" s="9">
        <v>66</v>
      </c>
      <c r="H1354" s="5" t="s">
        <v>20</v>
      </c>
      <c r="I1354" s="5" t="s">
        <v>3374</v>
      </c>
      <c r="J1354" s="12" t="str">
        <f>HYPERLINK("https://www.boe.es/gazeta/dias/1805/01/18/pdfs/GMD-1805-6.pdf#page=10","Abrir facsímil")</f>
        <v>Abrir facsímil</v>
      </c>
      <c r="K1354" s="15" t="s">
        <v>22</v>
      </c>
    </row>
    <row r="1355" spans="1:11" ht="42" customHeight="1">
      <c r="A1355" s="4" t="s">
        <v>3375</v>
      </c>
      <c r="B1355" s="5" t="s">
        <v>3376</v>
      </c>
      <c r="C1355" s="5" t="s">
        <v>35</v>
      </c>
      <c r="D1355" s="5" t="s">
        <v>36</v>
      </c>
      <c r="E1355" s="5" t="s">
        <v>904</v>
      </c>
      <c r="F1355" s="9">
        <v>47</v>
      </c>
      <c r="G1355" s="9">
        <v>510</v>
      </c>
      <c r="H1355" s="5" t="s">
        <v>20</v>
      </c>
      <c r="I1355" s="5" t="s">
        <v>3377</v>
      </c>
      <c r="J1355" s="12" t="str">
        <f>HYPERLINK("https://www.boe.es/gazeta/dias/1805/06/11/pdfs/GMD-1805-47.pdf#page=10","Abrir facsímil")</f>
        <v>Abrir facsímil</v>
      </c>
      <c r="K1355" s="15" t="s">
        <v>22</v>
      </c>
    </row>
    <row r="1356" spans="1:11" ht="42" customHeight="1">
      <c r="A1356" s="4" t="s">
        <v>3378</v>
      </c>
      <c r="B1356" s="5" t="s">
        <v>3379</v>
      </c>
      <c r="C1356" s="5" t="s">
        <v>17</v>
      </c>
      <c r="D1356" s="5" t="s">
        <v>18</v>
      </c>
      <c r="E1356" s="5" t="s">
        <v>114</v>
      </c>
      <c r="F1356" s="9">
        <v>17</v>
      </c>
      <c r="G1356" s="9">
        <v>178</v>
      </c>
      <c r="H1356" s="5" t="s">
        <v>20</v>
      </c>
      <c r="I1356" s="5" t="s">
        <v>3380</v>
      </c>
      <c r="J1356" s="12" t="str">
        <f>HYPERLINK("https://www.boe.es/gazeta/dias/1805/02/26/pdfs/GMD-1805-17.pdf#page=10","Abrir facsímil")</f>
        <v>Abrir facsímil</v>
      </c>
      <c r="K1356" s="15" t="s">
        <v>22</v>
      </c>
    </row>
    <row r="1357" spans="1:11" ht="42" customHeight="1">
      <c r="A1357" s="4" t="s">
        <v>3381</v>
      </c>
      <c r="B1357" s="5" t="s">
        <v>3382</v>
      </c>
      <c r="C1357" s="5" t="s">
        <v>52</v>
      </c>
      <c r="D1357" s="5" t="s">
        <v>53</v>
      </c>
      <c r="E1357" s="5" t="s">
        <v>144</v>
      </c>
      <c r="F1357" s="9">
        <v>85</v>
      </c>
      <c r="G1357" s="9" t="s">
        <v>772</v>
      </c>
      <c r="H1357" s="5" t="s">
        <v>20</v>
      </c>
      <c r="I1357" s="5" t="s">
        <v>3383</v>
      </c>
      <c r="J1357" s="12" t="str">
        <f>HYPERLINK("https://www.boe.es/gazeta/dias/1805/10/22/pdfs/GMD-C-1805-85.pdf#page=6","Abrir facsímil")</f>
        <v>Abrir facsímil</v>
      </c>
      <c r="K1357" s="15" t="s">
        <v>22</v>
      </c>
    </row>
    <row r="1358" spans="1:11" ht="42" customHeight="1">
      <c r="A1358" s="4" t="s">
        <v>3384</v>
      </c>
      <c r="B1358" s="5" t="s">
        <v>3385</v>
      </c>
      <c r="C1358" s="5" t="s">
        <v>184</v>
      </c>
      <c r="D1358" s="5" t="s">
        <v>86</v>
      </c>
      <c r="E1358" s="5" t="s">
        <v>303</v>
      </c>
      <c r="F1358" s="9">
        <v>57</v>
      </c>
      <c r="G1358" s="9">
        <v>614</v>
      </c>
      <c r="H1358" s="5" t="s">
        <v>20</v>
      </c>
      <c r="I1358" s="5" t="s">
        <v>3386</v>
      </c>
      <c r="J1358" s="12" t="str">
        <f>HYPERLINK("https://www.boe.es/gazeta/dias/1805/07/16/pdfs/GMD-1805-57.pdf#page=10","Abrir facsímil")</f>
        <v>Abrir facsímil</v>
      </c>
      <c r="K1358" s="15" t="s">
        <v>22</v>
      </c>
    </row>
    <row r="1359" spans="1:11" ht="42" customHeight="1">
      <c r="A1359" s="4" t="s">
        <v>3384</v>
      </c>
      <c r="B1359" s="5" t="s">
        <v>3385</v>
      </c>
      <c r="C1359" s="5" t="s">
        <v>184</v>
      </c>
      <c r="D1359" s="5" t="s">
        <v>86</v>
      </c>
      <c r="E1359" s="5" t="s">
        <v>188</v>
      </c>
      <c r="F1359" s="9">
        <v>68</v>
      </c>
      <c r="G1359" s="9">
        <v>731</v>
      </c>
      <c r="H1359" s="5" t="s">
        <v>20</v>
      </c>
      <c r="I1359" s="5" t="s">
        <v>3387</v>
      </c>
      <c r="J1359" s="12" t="str">
        <f>HYPERLINK("https://www.boe.es/gazeta/dias/1805/08/23/pdfs/GMD-1805-68.pdf#page=11","Abrir facsímil")</f>
        <v>Abrir facsímil</v>
      </c>
      <c r="K1359" s="15" t="s">
        <v>22</v>
      </c>
    </row>
    <row r="1360" spans="1:11" ht="42" customHeight="1">
      <c r="A1360" s="4" t="s">
        <v>3384</v>
      </c>
      <c r="B1360" s="5" t="s">
        <v>3385</v>
      </c>
      <c r="C1360" s="5" t="s">
        <v>35</v>
      </c>
      <c r="D1360" s="5" t="s">
        <v>36</v>
      </c>
      <c r="E1360" s="5" t="s">
        <v>99</v>
      </c>
      <c r="F1360" s="9">
        <v>83</v>
      </c>
      <c r="G1360" s="9">
        <v>883</v>
      </c>
      <c r="H1360" s="5" t="s">
        <v>20</v>
      </c>
      <c r="I1360" s="5" t="s">
        <v>3388</v>
      </c>
      <c r="J1360" s="12" t="str">
        <f>HYPERLINK("https://www.boe.es/gazeta/dias/1805/10/15/pdfs/GMD-1805-83.pdf#page=11","Abrir facsímil")</f>
        <v>Abrir facsímil</v>
      </c>
      <c r="K1360" s="15" t="s">
        <v>22</v>
      </c>
    </row>
    <row r="1361" spans="1:11" ht="42" customHeight="1">
      <c r="A1361" s="4" t="s">
        <v>3384</v>
      </c>
      <c r="B1361" s="5" t="s">
        <v>3385</v>
      </c>
      <c r="C1361" s="5" t="s">
        <v>184</v>
      </c>
      <c r="D1361" s="5" t="s">
        <v>86</v>
      </c>
      <c r="E1361" s="5" t="s">
        <v>495</v>
      </c>
      <c r="F1361" s="9">
        <v>103</v>
      </c>
      <c r="G1361" s="9">
        <v>1116</v>
      </c>
      <c r="H1361" s="5" t="s">
        <v>20</v>
      </c>
      <c r="I1361" s="5" t="s">
        <v>3389</v>
      </c>
      <c r="J1361" s="12" t="str">
        <f>HYPERLINK("https://www.boe.es/gazeta/dias/1805/12/24/pdfs/GMD-1805-103.pdf#page=8","Abrir facsímil")</f>
        <v>Abrir facsímil</v>
      </c>
      <c r="K1361" s="15" t="s">
        <v>22</v>
      </c>
    </row>
    <row r="1362" spans="1:11" ht="42" customHeight="1">
      <c r="A1362" s="4" t="s">
        <v>3390</v>
      </c>
      <c r="B1362" s="5" t="s">
        <v>3391</v>
      </c>
      <c r="C1362" s="5" t="s">
        <v>29</v>
      </c>
      <c r="D1362" s="5" t="s">
        <v>30</v>
      </c>
      <c r="E1362" s="5" t="s">
        <v>27</v>
      </c>
      <c r="F1362" s="9">
        <v>37</v>
      </c>
      <c r="G1362" s="9">
        <v>404</v>
      </c>
      <c r="H1362" s="5" t="s">
        <v>20</v>
      </c>
      <c r="I1362" s="5" t="s">
        <v>3392</v>
      </c>
      <c r="J1362" s="12" t="str">
        <f>HYPERLINK("https://www.boe.es/gazeta/dias/1805/05/07/pdfs/GMD-1805-37.pdf#page=12","Abrir facsímil")</f>
        <v>Abrir facsímil</v>
      </c>
      <c r="K1362" s="15" t="s">
        <v>22</v>
      </c>
    </row>
    <row r="1363" spans="1:11" ht="42" customHeight="1">
      <c r="A1363" s="4" t="s">
        <v>3393</v>
      </c>
      <c r="B1363" s="5" t="s">
        <v>3394</v>
      </c>
      <c r="C1363" s="5" t="s">
        <v>35</v>
      </c>
      <c r="D1363" s="5" t="s">
        <v>36</v>
      </c>
      <c r="E1363" s="5" t="s">
        <v>539</v>
      </c>
      <c r="F1363" s="9">
        <v>97</v>
      </c>
      <c r="G1363" s="9">
        <v>1045</v>
      </c>
      <c r="H1363" s="5" t="s">
        <v>20</v>
      </c>
      <c r="I1363" s="5" t="s">
        <v>3395</v>
      </c>
      <c r="J1363" s="12" t="str">
        <f>HYPERLINK("https://www.boe.es/gazeta/dias/1805/12/03/pdfs/GMD-1805-97.pdf#page=9","Abrir facsímil")</f>
        <v>Abrir facsímil</v>
      </c>
      <c r="K1363" s="15" t="s">
        <v>22</v>
      </c>
    </row>
    <row r="1364" spans="1:11" ht="42" customHeight="1">
      <c r="A1364" s="4" t="s">
        <v>3396</v>
      </c>
      <c r="B1364" s="5" t="s">
        <v>3397</v>
      </c>
      <c r="C1364" s="5" t="s">
        <v>35</v>
      </c>
      <c r="D1364" s="5" t="s">
        <v>36</v>
      </c>
      <c r="E1364" s="5" t="s">
        <v>539</v>
      </c>
      <c r="F1364" s="9">
        <v>97</v>
      </c>
      <c r="G1364" s="9">
        <v>1044</v>
      </c>
      <c r="H1364" s="5" t="s">
        <v>20</v>
      </c>
      <c r="I1364" s="5" t="s">
        <v>3398</v>
      </c>
      <c r="J1364" s="12" t="str">
        <f>HYPERLINK("https://www.boe.es/gazeta/dias/1805/12/03/pdfs/GMD-1805-97.pdf#page=8","Abrir facsímil")</f>
        <v>Abrir facsímil</v>
      </c>
      <c r="K1364" s="15" t="s">
        <v>22</v>
      </c>
    </row>
    <row r="1365" spans="1:11" ht="42" customHeight="1">
      <c r="A1365" s="4" t="s">
        <v>3399</v>
      </c>
      <c r="B1365" s="5" t="s">
        <v>3400</v>
      </c>
      <c r="C1365" s="5" t="s">
        <v>35</v>
      </c>
      <c r="D1365" s="5" t="s">
        <v>36</v>
      </c>
      <c r="E1365" s="5" t="s">
        <v>44</v>
      </c>
      <c r="F1365" s="9">
        <v>29</v>
      </c>
      <c r="G1365" s="9">
        <v>311</v>
      </c>
      <c r="H1365" s="5" t="s">
        <v>20</v>
      </c>
      <c r="I1365" s="5" t="s">
        <v>3401</v>
      </c>
      <c r="J1365" s="12" t="str">
        <f>HYPERLINK("https://www.boe.es/gazeta/dias/1805/04/09/pdfs/GMD-1805-29.pdf#page=7","Abrir facsímil")</f>
        <v>Abrir facsímil</v>
      </c>
      <c r="K1365" s="15" t="s">
        <v>22</v>
      </c>
    </row>
    <row r="1366" spans="1:11" ht="42" customHeight="1">
      <c r="A1366" s="4" t="s">
        <v>3402</v>
      </c>
      <c r="B1366" s="5" t="s">
        <v>3403</v>
      </c>
      <c r="C1366" s="5" t="s">
        <v>85</v>
      </c>
      <c r="D1366" s="5" t="s">
        <v>86</v>
      </c>
      <c r="E1366" s="5" t="s">
        <v>181</v>
      </c>
      <c r="F1366" s="9">
        <v>90</v>
      </c>
      <c r="G1366" s="9">
        <v>966</v>
      </c>
      <c r="H1366" s="5" t="s">
        <v>20</v>
      </c>
      <c r="I1366" s="5" t="s">
        <v>3404</v>
      </c>
      <c r="J1366" s="12" t="str">
        <f>HYPERLINK("https://www.boe.es/gazeta/dias/1805/11/08/pdfs/GMD-1805-90.pdf#page=10","Abrir facsímil")</f>
        <v>Abrir facsímil</v>
      </c>
      <c r="K1366" s="15" t="s">
        <v>22</v>
      </c>
    </row>
    <row r="1367" spans="1:11" ht="42" customHeight="1">
      <c r="A1367" s="4" t="s">
        <v>3405</v>
      </c>
      <c r="B1367" s="5" t="s">
        <v>3406</v>
      </c>
      <c r="C1367" s="5" t="s">
        <v>85</v>
      </c>
      <c r="D1367" s="5" t="s">
        <v>86</v>
      </c>
      <c r="E1367" s="5" t="s">
        <v>24</v>
      </c>
      <c r="F1367" s="9">
        <v>11</v>
      </c>
      <c r="G1367" s="9">
        <v>123</v>
      </c>
      <c r="H1367" s="5" t="s">
        <v>20</v>
      </c>
      <c r="I1367" s="5" t="s">
        <v>3407</v>
      </c>
      <c r="J1367" s="12" t="str">
        <f>HYPERLINK("https://www.boe.es/gazeta/dias/1805/02/05/pdfs/GMD-1805-11.pdf#page=11","Abrir facsímil")</f>
        <v>Abrir facsímil</v>
      </c>
      <c r="K1367" s="15" t="s">
        <v>22</v>
      </c>
    </row>
    <row r="1368" spans="1:11" ht="42" customHeight="1">
      <c r="A1368" s="4" t="s">
        <v>3408</v>
      </c>
      <c r="B1368" s="5" t="s">
        <v>3409</v>
      </c>
      <c r="C1368" s="5" t="s">
        <v>35</v>
      </c>
      <c r="D1368" s="5" t="s">
        <v>36</v>
      </c>
      <c r="E1368" s="5" t="s">
        <v>261</v>
      </c>
      <c r="F1368" s="9">
        <v>18</v>
      </c>
      <c r="G1368" s="9">
        <v>188</v>
      </c>
      <c r="H1368" s="5" t="s">
        <v>20</v>
      </c>
      <c r="I1368" s="5" t="s">
        <v>3410</v>
      </c>
      <c r="J1368" s="12" t="str">
        <f>HYPERLINK("https://www.boe.es/gazeta/dias/1805/03/01/pdfs/GMD-1805-18.pdf#page=8","Abrir facsímil")</f>
        <v>Abrir facsímil</v>
      </c>
      <c r="K1368" s="15" t="s">
        <v>22</v>
      </c>
    </row>
    <row r="1369" spans="1:11" ht="42" customHeight="1">
      <c r="A1369" s="4" t="s">
        <v>3411</v>
      </c>
      <c r="B1369" s="5" t="s">
        <v>3412</v>
      </c>
      <c r="C1369" s="5" t="s">
        <v>184</v>
      </c>
      <c r="D1369" s="5" t="s">
        <v>86</v>
      </c>
      <c r="E1369" s="5" t="s">
        <v>24</v>
      </c>
      <c r="F1369" s="9">
        <v>11</v>
      </c>
      <c r="G1369" s="9">
        <v>122</v>
      </c>
      <c r="H1369" s="5" t="s">
        <v>20</v>
      </c>
      <c r="I1369" s="5" t="s">
        <v>3413</v>
      </c>
      <c r="J1369" s="12" t="str">
        <f>HYPERLINK("https://www.boe.es/gazeta/dias/1805/02/05/pdfs/GMD-1805-11.pdf#page=10","Abrir facsímil")</f>
        <v>Abrir facsímil</v>
      </c>
      <c r="K1369" s="15" t="s">
        <v>22</v>
      </c>
    </row>
    <row r="1370" spans="1:11" ht="42" customHeight="1">
      <c r="A1370" s="4" t="s">
        <v>3411</v>
      </c>
      <c r="B1370" s="5" t="s">
        <v>3412</v>
      </c>
      <c r="C1370" s="5" t="s">
        <v>184</v>
      </c>
      <c r="D1370" s="5" t="s">
        <v>86</v>
      </c>
      <c r="E1370" s="5" t="s">
        <v>188</v>
      </c>
      <c r="F1370" s="9">
        <v>68</v>
      </c>
      <c r="G1370" s="9">
        <v>732</v>
      </c>
      <c r="H1370" s="5" t="s">
        <v>20</v>
      </c>
      <c r="I1370" s="5" t="s">
        <v>3414</v>
      </c>
      <c r="J1370" s="12" t="str">
        <f>HYPERLINK("https://www.boe.es/gazeta/dias/1805/08/23/pdfs/GMD-1805-68.pdf#page=12","Abrir facsímil")</f>
        <v>Abrir facsímil</v>
      </c>
      <c r="K1370" s="15" t="s">
        <v>22</v>
      </c>
    </row>
    <row r="1371" spans="1:11" ht="42" customHeight="1">
      <c r="A1371" s="4" t="s">
        <v>3411</v>
      </c>
      <c r="B1371" s="5" t="s">
        <v>3412</v>
      </c>
      <c r="C1371" s="5" t="s">
        <v>184</v>
      </c>
      <c r="D1371" s="5" t="s">
        <v>86</v>
      </c>
      <c r="E1371" s="5" t="s">
        <v>19</v>
      </c>
      <c r="F1371" s="9">
        <v>86</v>
      </c>
      <c r="G1371" s="9">
        <v>915</v>
      </c>
      <c r="H1371" s="5" t="s">
        <v>20</v>
      </c>
      <c r="I1371" s="5" t="s">
        <v>3415</v>
      </c>
      <c r="J1371" s="12" t="str">
        <f>HYPERLINK("https://www.boe.es/gazeta/dias/1805/10/25/pdfs/GMD-1805-86.pdf#page=11","Abrir facsímil")</f>
        <v>Abrir facsímil</v>
      </c>
      <c r="K1371" s="15" t="s">
        <v>22</v>
      </c>
    </row>
    <row r="1372" spans="1:11" ht="42" customHeight="1">
      <c r="A1372" s="4" t="s">
        <v>3416</v>
      </c>
      <c r="B1372" s="5" t="s">
        <v>3417</v>
      </c>
      <c r="C1372" s="5" t="s">
        <v>35</v>
      </c>
      <c r="D1372" s="5" t="s">
        <v>36</v>
      </c>
      <c r="E1372" s="5" t="s">
        <v>864</v>
      </c>
      <c r="F1372" s="9">
        <v>88</v>
      </c>
      <c r="G1372" s="9">
        <v>939</v>
      </c>
      <c r="H1372" s="5" t="s">
        <v>20</v>
      </c>
      <c r="I1372" s="5" t="s">
        <v>3418</v>
      </c>
      <c r="J1372" s="12" t="str">
        <f>HYPERLINK("https://www.boe.es/gazeta/dias/1805/11/01/pdfs/GMD-1805-88.pdf#page=11","Abrir facsímil")</f>
        <v>Abrir facsímil</v>
      </c>
      <c r="K1372" s="15" t="s">
        <v>22</v>
      </c>
    </row>
    <row r="1373" spans="1:11" ht="42" customHeight="1">
      <c r="A1373" s="4" t="s">
        <v>3419</v>
      </c>
      <c r="B1373" s="5" t="s">
        <v>3420</v>
      </c>
      <c r="C1373" s="5" t="s">
        <v>17</v>
      </c>
      <c r="D1373" s="5" t="s">
        <v>18</v>
      </c>
      <c r="E1373" s="5" t="s">
        <v>261</v>
      </c>
      <c r="F1373" s="9">
        <v>18</v>
      </c>
      <c r="G1373" s="9">
        <v>184</v>
      </c>
      <c r="H1373" s="5" t="s">
        <v>20</v>
      </c>
      <c r="I1373" s="5" t="s">
        <v>3421</v>
      </c>
      <c r="J1373" s="12" t="str">
        <f>HYPERLINK("https://www.boe.es/gazeta/dias/1805/03/01/pdfs/GMD-1805-18.pdf#page=4","Abrir facsímil")</f>
        <v>Abrir facsímil</v>
      </c>
      <c r="K1373" s="15" t="s">
        <v>22</v>
      </c>
    </row>
    <row r="1374" spans="1:11" ht="42" customHeight="1">
      <c r="A1374" s="4" t="s">
        <v>3422</v>
      </c>
      <c r="B1374" s="5" t="s">
        <v>3423</v>
      </c>
      <c r="C1374" s="5" t="s">
        <v>35</v>
      </c>
      <c r="D1374" s="5" t="s">
        <v>36</v>
      </c>
      <c r="E1374" s="5" t="s">
        <v>293</v>
      </c>
      <c r="F1374" s="9">
        <v>5</v>
      </c>
      <c r="G1374" s="9">
        <v>51</v>
      </c>
      <c r="H1374" s="5" t="s">
        <v>20</v>
      </c>
      <c r="I1374" s="5" t="s">
        <v>3424</v>
      </c>
      <c r="J1374" s="12" t="str">
        <f>HYPERLINK("https://www.boe.es/gazeta/dias/1805/01/15/pdfs/GMD-1805-5.pdf#page=7","Abrir facsímil")</f>
        <v>Abrir facsímil</v>
      </c>
      <c r="K1374" s="15" t="s">
        <v>22</v>
      </c>
    </row>
    <row r="1375" spans="1:11" ht="42" customHeight="1">
      <c r="A1375" s="4" t="s">
        <v>3425</v>
      </c>
      <c r="B1375" s="5" t="s">
        <v>3426</v>
      </c>
      <c r="C1375" s="5" t="s">
        <v>35</v>
      </c>
      <c r="D1375" s="5" t="s">
        <v>36</v>
      </c>
      <c r="E1375" s="5" t="s">
        <v>67</v>
      </c>
      <c r="F1375" s="9">
        <v>98</v>
      </c>
      <c r="G1375" s="9">
        <v>1058</v>
      </c>
      <c r="H1375" s="5" t="s">
        <v>20</v>
      </c>
      <c r="I1375" s="5" t="s">
        <v>3427</v>
      </c>
      <c r="J1375" s="12" t="str">
        <f>HYPERLINK("https://www.boe.es/gazeta/dias/1805/12/06/pdfs/GMD-1805-98.pdf#page=10","Abrir facsímil")</f>
        <v>Abrir facsímil</v>
      </c>
      <c r="K1375" s="15" t="s">
        <v>22</v>
      </c>
    </row>
    <row r="1376" spans="1:11" ht="42" customHeight="1">
      <c r="A1376" s="4" t="s">
        <v>3428</v>
      </c>
      <c r="B1376" s="5" t="s">
        <v>3429</v>
      </c>
      <c r="C1376" s="5" t="s">
        <v>17</v>
      </c>
      <c r="D1376" s="5" t="s">
        <v>18</v>
      </c>
      <c r="E1376" s="5" t="s">
        <v>440</v>
      </c>
      <c r="F1376" s="9">
        <v>27</v>
      </c>
      <c r="G1376" s="9">
        <v>292</v>
      </c>
      <c r="H1376" s="5" t="s">
        <v>20</v>
      </c>
      <c r="I1376" s="5" t="s">
        <v>3430</v>
      </c>
      <c r="J1376" s="12" t="str">
        <f>HYPERLINK("https://www.boe.es/gazeta/dias/1805/04/02/pdfs/GMD-1805-27.pdf#page=12","Abrir facsímil")</f>
        <v>Abrir facsímil</v>
      </c>
      <c r="K1376" s="15" t="s">
        <v>22</v>
      </c>
    </row>
    <row r="1377" spans="1:11" ht="42" customHeight="1">
      <c r="A1377" s="4" t="s">
        <v>3431</v>
      </c>
      <c r="B1377" s="5" t="s">
        <v>3432</v>
      </c>
      <c r="C1377" s="5" t="s">
        <v>85</v>
      </c>
      <c r="D1377" s="5" t="s">
        <v>86</v>
      </c>
      <c r="E1377" s="5" t="s">
        <v>188</v>
      </c>
      <c r="F1377" s="9">
        <v>68</v>
      </c>
      <c r="G1377" s="9">
        <v>729</v>
      </c>
      <c r="H1377" s="5" t="s">
        <v>20</v>
      </c>
      <c r="I1377" s="5" t="s">
        <v>3433</v>
      </c>
      <c r="J1377" s="12" t="str">
        <f>HYPERLINK("https://www.boe.es/gazeta/dias/1805/08/23/pdfs/GMD-1805-68.pdf#page=9","Abrir facsímil")</f>
        <v>Abrir facsímil</v>
      </c>
      <c r="K1377" s="15" t="s">
        <v>22</v>
      </c>
    </row>
    <row r="1378" spans="1:11" ht="42" customHeight="1">
      <c r="A1378" s="4" t="s">
        <v>3434</v>
      </c>
      <c r="B1378" s="5" t="s">
        <v>3435</v>
      </c>
      <c r="C1378" s="5" t="s">
        <v>35</v>
      </c>
      <c r="D1378" s="5" t="s">
        <v>36</v>
      </c>
      <c r="E1378" s="5" t="s">
        <v>138</v>
      </c>
      <c r="F1378" s="9">
        <v>102</v>
      </c>
      <c r="G1378" s="9">
        <v>1104</v>
      </c>
      <c r="H1378" s="5" t="s">
        <v>20</v>
      </c>
      <c r="I1378" s="5" t="s">
        <v>3436</v>
      </c>
      <c r="J1378" s="12" t="str">
        <f>HYPERLINK("https://www.boe.es/gazeta/dias/1805/12/20/pdfs/GMD-1805-102.pdf#page=8","Abrir facsímil")</f>
        <v>Abrir facsímil</v>
      </c>
      <c r="K1378" s="15" t="s">
        <v>22</v>
      </c>
    </row>
    <row r="1379" spans="1:11" ht="42" customHeight="1">
      <c r="A1379" s="4" t="s">
        <v>3437</v>
      </c>
      <c r="B1379" s="5" t="s">
        <v>3438</v>
      </c>
      <c r="C1379" s="5" t="s">
        <v>17</v>
      </c>
      <c r="D1379" s="5" t="s">
        <v>18</v>
      </c>
      <c r="E1379" s="5" t="s">
        <v>63</v>
      </c>
      <c r="F1379" s="9">
        <v>101</v>
      </c>
      <c r="G1379" s="9">
        <v>1092</v>
      </c>
      <c r="H1379" s="5" t="s">
        <v>20</v>
      </c>
      <c r="I1379" s="5" t="s">
        <v>3439</v>
      </c>
      <c r="J1379" s="12" t="str">
        <f>HYPERLINK("https://www.boe.es/gazeta/dias/1805/12/17/pdfs/GMD-1805-101.pdf#page=8","Abrir facsímil")</f>
        <v>Abrir facsímil</v>
      </c>
      <c r="K1379" s="15" t="s">
        <v>22</v>
      </c>
    </row>
    <row r="1380" spans="1:11" ht="42" customHeight="1">
      <c r="A1380" s="4" t="s">
        <v>3440</v>
      </c>
      <c r="B1380" s="5" t="s">
        <v>3441</v>
      </c>
      <c r="C1380" s="5" t="s">
        <v>35</v>
      </c>
      <c r="D1380" s="5" t="s">
        <v>36</v>
      </c>
      <c r="E1380" s="5" t="s">
        <v>95</v>
      </c>
      <c r="F1380" s="9">
        <v>13</v>
      </c>
      <c r="G1380" s="9">
        <v>139</v>
      </c>
      <c r="H1380" s="5" t="s">
        <v>20</v>
      </c>
      <c r="I1380" s="5" t="s">
        <v>3442</v>
      </c>
      <c r="J1380" s="12" t="str">
        <f>HYPERLINK("https://www.boe.es/gazeta/dias/1805/02/12/pdfs/GMD-1805-13.pdf#page=7","Abrir facsímil")</f>
        <v>Abrir facsímil</v>
      </c>
      <c r="K1380" s="15" t="s">
        <v>22</v>
      </c>
    </row>
    <row r="1381" spans="1:11" ht="42" customHeight="1">
      <c r="A1381" s="4" t="s">
        <v>3443</v>
      </c>
      <c r="B1381" s="5" t="s">
        <v>3444</v>
      </c>
      <c r="C1381" s="5" t="s">
        <v>35</v>
      </c>
      <c r="D1381" s="5" t="s">
        <v>36</v>
      </c>
      <c r="E1381" s="5" t="s">
        <v>226</v>
      </c>
      <c r="F1381" s="9">
        <v>73</v>
      </c>
      <c r="G1381" s="9">
        <v>772</v>
      </c>
      <c r="H1381" s="5" t="s">
        <v>20</v>
      </c>
      <c r="I1381" s="5" t="s">
        <v>3445</v>
      </c>
      <c r="J1381" s="12" t="str">
        <f>HYPERLINK("https://www.boe.es/gazeta/dias/1805/09/10/pdfs/GMD-1805-73.pdf#page=4","Abrir facsímil")</f>
        <v>Abrir facsímil</v>
      </c>
      <c r="K1381" s="15" t="s">
        <v>22</v>
      </c>
    </row>
    <row r="1382" spans="1:11" ht="42" customHeight="1">
      <c r="A1382" s="4" t="s">
        <v>3446</v>
      </c>
      <c r="B1382" s="5" t="s">
        <v>3447</v>
      </c>
      <c r="C1382" s="5" t="s">
        <v>17</v>
      </c>
      <c r="D1382" s="5" t="s">
        <v>18</v>
      </c>
      <c r="E1382" s="5" t="s">
        <v>363</v>
      </c>
      <c r="F1382" s="9">
        <v>1</v>
      </c>
      <c r="G1382" s="9">
        <v>10</v>
      </c>
      <c r="H1382" s="5" t="s">
        <v>20</v>
      </c>
      <c r="I1382" s="5" t="s">
        <v>3448</v>
      </c>
      <c r="J1382" s="12" t="str">
        <f>HYPERLINK("https://www.boe.es/gazeta/dias/1805/01/01/pdfs/GMD-1805-1.pdf#page=10","Abrir facsímil")</f>
        <v>Abrir facsímil</v>
      </c>
      <c r="K1382" s="15" t="s">
        <v>22</v>
      </c>
    </row>
    <row r="1383" spans="1:11" ht="42" customHeight="1">
      <c r="A1383" s="4" t="s">
        <v>3449</v>
      </c>
      <c r="B1383" s="5" t="s">
        <v>3450</v>
      </c>
      <c r="C1383" s="5" t="s">
        <v>184</v>
      </c>
      <c r="D1383" s="5" t="s">
        <v>86</v>
      </c>
      <c r="E1383" s="5" t="s">
        <v>552</v>
      </c>
      <c r="F1383" s="9">
        <v>94</v>
      </c>
      <c r="G1383" s="9">
        <v>1012</v>
      </c>
      <c r="H1383" s="5" t="s">
        <v>20</v>
      </c>
      <c r="I1383" s="5" t="s">
        <v>3451</v>
      </c>
      <c r="J1383" s="12" t="str">
        <f>HYPERLINK("https://www.boe.es/gazeta/dias/1805/11/22/pdfs/GMD-1805-94.pdf#page=12","Abrir facsímil")</f>
        <v>Abrir facsímil</v>
      </c>
      <c r="K1383" s="15" t="s">
        <v>22</v>
      </c>
    </row>
    <row r="1384" spans="1:11" ht="42" customHeight="1">
      <c r="A1384" s="4" t="s">
        <v>3452</v>
      </c>
      <c r="B1384" s="5" t="s">
        <v>3453</v>
      </c>
      <c r="C1384" s="5" t="s">
        <v>17</v>
      </c>
      <c r="D1384" s="5" t="s">
        <v>18</v>
      </c>
      <c r="E1384" s="5" t="s">
        <v>365</v>
      </c>
      <c r="F1384" s="9">
        <v>3</v>
      </c>
      <c r="G1384" s="9">
        <v>30</v>
      </c>
      <c r="H1384" s="5" t="s">
        <v>20</v>
      </c>
      <c r="I1384" s="5" t="s">
        <v>3454</v>
      </c>
      <c r="J1384" s="12" t="str">
        <f>HYPERLINK("https://www.boe.es/gazeta/dias/1805/01/08/pdfs/GMD-1805-3.pdf#page=6","Abrir facsímil")</f>
        <v>Abrir facsímil</v>
      </c>
      <c r="K1384" s="15" t="s">
        <v>22</v>
      </c>
    </row>
    <row r="1385" spans="1:11" ht="42" customHeight="1">
      <c r="A1385" s="4" t="s">
        <v>3452</v>
      </c>
      <c r="B1385" s="5" t="s">
        <v>3453</v>
      </c>
      <c r="C1385" s="5" t="s">
        <v>17</v>
      </c>
      <c r="D1385" s="5" t="s">
        <v>18</v>
      </c>
      <c r="E1385" s="5" t="s">
        <v>729</v>
      </c>
      <c r="F1385" s="9">
        <v>61</v>
      </c>
      <c r="G1385" s="9">
        <v>655</v>
      </c>
      <c r="H1385" s="5" t="s">
        <v>20</v>
      </c>
      <c r="I1385" s="5" t="s">
        <v>3455</v>
      </c>
      <c r="J1385" s="12" t="str">
        <f>HYPERLINK("https://www.boe.es/gazeta/dias/1805/07/30/pdfs/GMD-1805-61.pdf#page=7","Abrir facsímil")</f>
        <v>Abrir facsímil</v>
      </c>
      <c r="K1385" s="15" t="s">
        <v>22</v>
      </c>
    </row>
    <row r="1386" spans="1:11" ht="42" customHeight="1">
      <c r="A1386" s="4" t="s">
        <v>3456</v>
      </c>
      <c r="B1386" s="5" t="s">
        <v>3457</v>
      </c>
      <c r="C1386" s="5" t="s">
        <v>52</v>
      </c>
      <c r="D1386" s="5" t="s">
        <v>53</v>
      </c>
      <c r="E1386" s="5" t="s">
        <v>144</v>
      </c>
      <c r="F1386" s="9">
        <v>85</v>
      </c>
      <c r="G1386" s="9" t="s">
        <v>1002</v>
      </c>
      <c r="H1386" s="5" t="s">
        <v>20</v>
      </c>
      <c r="I1386" s="5" t="s">
        <v>3458</v>
      </c>
      <c r="J1386" s="12" t="str">
        <f>HYPERLINK("https://www.boe.es/gazeta/dias/1805/10/22/pdfs/GMD-C-1805-85.pdf#page=7","Abrir facsímil")</f>
        <v>Abrir facsímil</v>
      </c>
      <c r="K1386" s="15" t="s">
        <v>22</v>
      </c>
    </row>
    <row r="1387" spans="1:11" ht="42" customHeight="1">
      <c r="A1387" s="4" t="s">
        <v>3459</v>
      </c>
      <c r="B1387" s="5" t="s">
        <v>3460</v>
      </c>
      <c r="C1387" s="5" t="s">
        <v>17</v>
      </c>
      <c r="D1387" s="5" t="s">
        <v>18</v>
      </c>
      <c r="E1387" s="5" t="s">
        <v>850</v>
      </c>
      <c r="F1387" s="9">
        <v>42</v>
      </c>
      <c r="G1387" s="9">
        <v>453</v>
      </c>
      <c r="H1387" s="5" t="s">
        <v>20</v>
      </c>
      <c r="I1387" s="5" t="s">
        <v>3461</v>
      </c>
      <c r="J1387" s="12" t="str">
        <f>HYPERLINK("https://www.boe.es/gazeta/dias/1805/05/24/pdfs/GMD-1805-42.pdf#page=9","Abrir facsímil")</f>
        <v>Abrir facsímil</v>
      </c>
      <c r="K1387" s="15" t="s">
        <v>22</v>
      </c>
    </row>
    <row r="1388" spans="1:11" ht="42" customHeight="1">
      <c r="A1388" s="4" t="s">
        <v>3459</v>
      </c>
      <c r="B1388" s="5" t="s">
        <v>3460</v>
      </c>
      <c r="C1388" s="5" t="s">
        <v>35</v>
      </c>
      <c r="D1388" s="5" t="s">
        <v>36</v>
      </c>
      <c r="E1388" s="5" t="s">
        <v>456</v>
      </c>
      <c r="F1388" s="9">
        <v>70</v>
      </c>
      <c r="G1388" s="9">
        <v>746</v>
      </c>
      <c r="H1388" s="5" t="s">
        <v>20</v>
      </c>
      <c r="I1388" s="5" t="s">
        <v>3462</v>
      </c>
      <c r="J1388" s="12" t="str">
        <f>HYPERLINK("https://www.boe.es/gazeta/dias/1805/08/30/pdfs/GMD-1805-70.pdf#page=6","Abrir facsímil")</f>
        <v>Abrir facsímil</v>
      </c>
      <c r="K1388" s="15" t="s">
        <v>22</v>
      </c>
    </row>
    <row r="1389" spans="1:11" ht="42" customHeight="1">
      <c r="A1389" s="4" t="s">
        <v>3463</v>
      </c>
      <c r="B1389" s="5" t="s">
        <v>3464</v>
      </c>
      <c r="C1389" s="5" t="s">
        <v>35</v>
      </c>
      <c r="D1389" s="5" t="s">
        <v>36</v>
      </c>
      <c r="E1389" s="5" t="s">
        <v>215</v>
      </c>
      <c r="F1389" s="9">
        <v>87</v>
      </c>
      <c r="G1389" s="9">
        <v>927</v>
      </c>
      <c r="H1389" s="5" t="s">
        <v>20</v>
      </c>
      <c r="I1389" s="5" t="s">
        <v>3465</v>
      </c>
      <c r="J1389" s="12" t="str">
        <f>HYPERLINK("https://www.boe.es/gazeta/dias/1805/10/29/pdfs/GMD-1805-87.pdf#page=11","Abrir facsímil")</f>
        <v>Abrir facsímil</v>
      </c>
      <c r="K1389" s="15" t="s">
        <v>22</v>
      </c>
    </row>
    <row r="1390" spans="1:11" ht="42" customHeight="1">
      <c r="A1390" s="4" t="s">
        <v>3466</v>
      </c>
      <c r="B1390" s="5" t="s">
        <v>3467</v>
      </c>
      <c r="C1390" s="5" t="s">
        <v>29</v>
      </c>
      <c r="D1390" s="5" t="s">
        <v>30</v>
      </c>
      <c r="E1390" s="5" t="s">
        <v>135</v>
      </c>
      <c r="F1390" s="9">
        <v>71</v>
      </c>
      <c r="G1390" s="9">
        <v>758</v>
      </c>
      <c r="H1390" s="5" t="s">
        <v>20</v>
      </c>
      <c r="I1390" s="5" t="s">
        <v>3468</v>
      </c>
      <c r="J1390" s="12" t="str">
        <f>HYPERLINK("https://www.boe.es/gazeta/dias/1805/09/03/pdfs/GMD-1805-71.pdf#page=10","Abrir facsímil")</f>
        <v>Abrir facsímil</v>
      </c>
      <c r="K1390" s="15" t="s">
        <v>22</v>
      </c>
    </row>
    <row r="1391" spans="1:11" ht="42" customHeight="1">
      <c r="A1391" s="4" t="s">
        <v>3469</v>
      </c>
      <c r="B1391" s="5" t="s">
        <v>3470</v>
      </c>
      <c r="C1391" s="5" t="s">
        <v>17</v>
      </c>
      <c r="D1391" s="5" t="s">
        <v>18</v>
      </c>
      <c r="E1391" s="5" t="s">
        <v>107</v>
      </c>
      <c r="F1391" s="9">
        <v>19</v>
      </c>
      <c r="G1391" s="9">
        <v>197</v>
      </c>
      <c r="H1391" s="5" t="s">
        <v>20</v>
      </c>
      <c r="I1391" s="5" t="s">
        <v>3471</v>
      </c>
      <c r="J1391" s="12" t="str">
        <f>HYPERLINK("https://www.boe.es/gazeta/dias/1805/03/05/pdfs/GMD-1805-19.pdf#page=9","Abrir facsímil")</f>
        <v>Abrir facsímil</v>
      </c>
      <c r="K1391" s="15" t="s">
        <v>22</v>
      </c>
    </row>
    <row r="1392" spans="1:11" ht="42" customHeight="1">
      <c r="A1392" s="4" t="s">
        <v>3472</v>
      </c>
      <c r="B1392" s="5" t="s">
        <v>3473</v>
      </c>
      <c r="C1392" s="5" t="s">
        <v>85</v>
      </c>
      <c r="D1392" s="5" t="s">
        <v>86</v>
      </c>
      <c r="E1392" s="5" t="s">
        <v>87</v>
      </c>
      <c r="F1392" s="9">
        <v>14</v>
      </c>
      <c r="G1392" s="9">
        <v>147</v>
      </c>
      <c r="H1392" s="5" t="s">
        <v>20</v>
      </c>
      <c r="I1392" s="5" t="s">
        <v>3474</v>
      </c>
      <c r="J1392" s="12" t="str">
        <f>HYPERLINK("https://www.boe.es/gazeta/dias/1805/02/15/pdfs/GMD-1805-14.pdf#page=7","Abrir facsímil")</f>
        <v>Abrir facsímil</v>
      </c>
      <c r="K1392" s="15" t="s">
        <v>22</v>
      </c>
    </row>
    <row r="1393" spans="1:11" ht="42" customHeight="1">
      <c r="A1393" s="4" t="s">
        <v>3475</v>
      </c>
      <c r="B1393" s="5" t="s">
        <v>3476</v>
      </c>
      <c r="C1393" s="5" t="s">
        <v>85</v>
      </c>
      <c r="D1393" s="5" t="s">
        <v>86</v>
      </c>
      <c r="E1393" s="5" t="s">
        <v>440</v>
      </c>
      <c r="F1393" s="9">
        <v>27</v>
      </c>
      <c r="G1393" s="9">
        <v>288</v>
      </c>
      <c r="H1393" s="5" t="s">
        <v>20</v>
      </c>
      <c r="I1393" s="5" t="s">
        <v>3477</v>
      </c>
      <c r="J1393" s="12" t="str">
        <f>HYPERLINK("https://www.boe.es/gazeta/dias/1805/04/02/pdfs/GMD-1805-27.pdf#page=8","Abrir facsímil")</f>
        <v>Abrir facsímil</v>
      </c>
      <c r="K1393" s="15" t="s">
        <v>22</v>
      </c>
    </row>
    <row r="1394" spans="1:11" ht="42" customHeight="1">
      <c r="A1394" s="4" t="s">
        <v>3478</v>
      </c>
      <c r="B1394" s="5" t="s">
        <v>3479</v>
      </c>
      <c r="C1394" s="5" t="s">
        <v>35</v>
      </c>
      <c r="D1394" s="5" t="s">
        <v>36</v>
      </c>
      <c r="E1394" s="5" t="s">
        <v>261</v>
      </c>
      <c r="F1394" s="9">
        <v>18</v>
      </c>
      <c r="G1394" s="9">
        <v>186</v>
      </c>
      <c r="H1394" s="5" t="s">
        <v>20</v>
      </c>
      <c r="I1394" s="5" t="s">
        <v>3480</v>
      </c>
      <c r="J1394" s="12" t="str">
        <f>HYPERLINK("https://www.boe.es/gazeta/dias/1805/03/01/pdfs/GMD-1805-18.pdf#page=6","Abrir facsímil")</f>
        <v>Abrir facsímil</v>
      </c>
      <c r="K1394" s="15" t="s">
        <v>22</v>
      </c>
    </row>
    <row r="1395" spans="1:11" ht="42" customHeight="1">
      <c r="A1395" s="4" t="s">
        <v>3481</v>
      </c>
      <c r="B1395" s="5" t="s">
        <v>3482</v>
      </c>
      <c r="C1395" s="5" t="s">
        <v>17</v>
      </c>
      <c r="D1395" s="5" t="s">
        <v>18</v>
      </c>
      <c r="E1395" s="5" t="s">
        <v>286</v>
      </c>
      <c r="F1395" s="9">
        <v>48</v>
      </c>
      <c r="G1395" s="9">
        <v>520</v>
      </c>
      <c r="H1395" s="5" t="s">
        <v>20</v>
      </c>
      <c r="I1395" s="5" t="s">
        <v>3483</v>
      </c>
      <c r="J1395" s="12" t="str">
        <f>HYPERLINK("https://www.boe.es/gazeta/dias/1805/06/14/pdfs/GMD-1805-48.pdf#page=8","Abrir facsímil")</f>
        <v>Abrir facsímil</v>
      </c>
      <c r="K1395" s="15" t="s">
        <v>22</v>
      </c>
    </row>
    <row r="1396" spans="1:11" ht="42" customHeight="1">
      <c r="A1396" s="4" t="s">
        <v>3484</v>
      </c>
      <c r="B1396" s="5" t="s">
        <v>3485</v>
      </c>
      <c r="C1396" s="5" t="s">
        <v>35</v>
      </c>
      <c r="D1396" s="5" t="s">
        <v>36</v>
      </c>
      <c r="E1396" s="5" t="s">
        <v>303</v>
      </c>
      <c r="F1396" s="9">
        <v>57</v>
      </c>
      <c r="G1396" s="9">
        <v>611</v>
      </c>
      <c r="H1396" s="5" t="s">
        <v>20</v>
      </c>
      <c r="I1396" s="5" t="s">
        <v>3486</v>
      </c>
      <c r="J1396" s="12" t="str">
        <f>HYPERLINK("https://www.boe.es/gazeta/dias/1805/07/16/pdfs/GMD-1805-57.pdf#page=7","Abrir facsímil")</f>
        <v>Abrir facsímil</v>
      </c>
      <c r="K1396" s="15" t="s">
        <v>22</v>
      </c>
    </row>
    <row r="1397" spans="1:11" ht="42" customHeight="1">
      <c r="A1397" s="4" t="s">
        <v>3487</v>
      </c>
      <c r="B1397" s="5" t="s">
        <v>3488</v>
      </c>
      <c r="C1397" s="5" t="s">
        <v>184</v>
      </c>
      <c r="D1397" s="5" t="s">
        <v>86</v>
      </c>
      <c r="E1397" s="5" t="s">
        <v>144</v>
      </c>
      <c r="F1397" s="9">
        <v>85</v>
      </c>
      <c r="G1397" s="9">
        <v>902</v>
      </c>
      <c r="H1397" s="5" t="s">
        <v>20</v>
      </c>
      <c r="I1397" s="5" t="s">
        <v>3489</v>
      </c>
      <c r="J1397" s="12" t="str">
        <f>HYPERLINK("https://www.boe.es/gazeta/dias/1805/10/22/pdfs/GMD-1805-85.pdf#page=10","Abrir facsímil")</f>
        <v>Abrir facsímil</v>
      </c>
      <c r="K1397" s="15" t="s">
        <v>22</v>
      </c>
    </row>
    <row r="1398" spans="1:11" ht="42" customHeight="1">
      <c r="A1398" s="4" t="s">
        <v>3490</v>
      </c>
      <c r="B1398" s="5" t="s">
        <v>3491</v>
      </c>
      <c r="C1398" s="5" t="s">
        <v>52</v>
      </c>
      <c r="D1398" s="5" t="s">
        <v>53</v>
      </c>
      <c r="E1398" s="5" t="s">
        <v>144</v>
      </c>
      <c r="F1398" s="9">
        <v>85</v>
      </c>
      <c r="G1398" s="9" t="s">
        <v>1002</v>
      </c>
      <c r="H1398" s="5" t="s">
        <v>20</v>
      </c>
      <c r="I1398" s="5" t="s">
        <v>3492</v>
      </c>
      <c r="J1398" s="12" t="str">
        <f>HYPERLINK("https://www.boe.es/gazeta/dias/1805/10/22/pdfs/GMD-C-1805-85.pdf#page=7","Abrir facsímil")</f>
        <v>Abrir facsímil</v>
      </c>
      <c r="K1398" s="15" t="s">
        <v>22</v>
      </c>
    </row>
    <row r="1399" spans="1:11" ht="42" customHeight="1">
      <c r="A1399" s="4" t="s">
        <v>3493</v>
      </c>
      <c r="B1399" s="5" t="s">
        <v>3494</v>
      </c>
      <c r="C1399" s="5" t="s">
        <v>17</v>
      </c>
      <c r="D1399" s="5" t="s">
        <v>18</v>
      </c>
      <c r="E1399" s="5" t="s">
        <v>138</v>
      </c>
      <c r="F1399" s="9">
        <v>102</v>
      </c>
      <c r="G1399" s="9">
        <v>1104</v>
      </c>
      <c r="H1399" s="5" t="s">
        <v>20</v>
      </c>
      <c r="I1399" s="5" t="s">
        <v>3495</v>
      </c>
      <c r="J1399" s="12" t="str">
        <f>HYPERLINK("https://www.boe.es/gazeta/dias/1805/12/20/pdfs/GMD-1805-102.pdf#page=8","Abrir facsímil")</f>
        <v>Abrir facsímil</v>
      </c>
      <c r="K1399" s="15" t="s">
        <v>22</v>
      </c>
    </row>
    <row r="1400" spans="1:11" ht="42" customHeight="1">
      <c r="A1400" s="4" t="s">
        <v>3496</v>
      </c>
      <c r="B1400" s="5" t="s">
        <v>3497</v>
      </c>
      <c r="C1400" s="5" t="s">
        <v>35</v>
      </c>
      <c r="D1400" s="5" t="s">
        <v>36</v>
      </c>
      <c r="E1400" s="5" t="s">
        <v>1132</v>
      </c>
      <c r="F1400" s="9">
        <v>72</v>
      </c>
      <c r="G1400" s="9">
        <v>767</v>
      </c>
      <c r="H1400" s="5" t="s">
        <v>20</v>
      </c>
      <c r="I1400" s="5" t="s">
        <v>3498</v>
      </c>
      <c r="J1400" s="12" t="str">
        <f>HYPERLINK("https://www.boe.es/gazeta/dias/1805/09/06/pdfs/GMD-1805-72.pdf#page=7","Abrir facsímil")</f>
        <v>Abrir facsímil</v>
      </c>
      <c r="K1400" s="15" t="s">
        <v>22</v>
      </c>
    </row>
    <row r="1401" spans="1:11" ht="42" customHeight="1">
      <c r="A1401" s="4" t="s">
        <v>3499</v>
      </c>
      <c r="B1401" s="5" t="s">
        <v>3500</v>
      </c>
      <c r="C1401" s="5" t="s">
        <v>35</v>
      </c>
      <c r="D1401" s="5" t="s">
        <v>36</v>
      </c>
      <c r="E1401" s="5" t="s">
        <v>138</v>
      </c>
      <c r="F1401" s="9">
        <v>102</v>
      </c>
      <c r="G1401" s="9">
        <v>1103</v>
      </c>
      <c r="H1401" s="5" t="s">
        <v>20</v>
      </c>
      <c r="I1401" s="5" t="s">
        <v>3501</v>
      </c>
      <c r="J1401" s="12" t="str">
        <f>HYPERLINK("https://www.boe.es/gazeta/dias/1805/12/20/pdfs/GMD-1805-102.pdf#page=7","Abrir facsímil")</f>
        <v>Abrir facsímil</v>
      </c>
      <c r="K1401" s="15" t="s">
        <v>22</v>
      </c>
    </row>
    <row r="1402" spans="1:11" ht="42" customHeight="1">
      <c r="A1402" s="4" t="s">
        <v>3502</v>
      </c>
      <c r="B1402" s="5" t="s">
        <v>3503</v>
      </c>
      <c r="C1402" s="5" t="s">
        <v>184</v>
      </c>
      <c r="D1402" s="5" t="s">
        <v>86</v>
      </c>
      <c r="E1402" s="5" t="s">
        <v>120</v>
      </c>
      <c r="F1402" s="9">
        <v>24</v>
      </c>
      <c r="G1402" s="9">
        <v>258</v>
      </c>
      <c r="H1402" s="5" t="s">
        <v>20</v>
      </c>
      <c r="I1402" s="5" t="s">
        <v>3504</v>
      </c>
      <c r="J1402" s="12" t="str">
        <f>HYPERLINK("https://www.boe.es/gazeta/dias/1805/03/22/pdfs/GMD-1805-24.pdf#page=10","Abrir facsímil")</f>
        <v>Abrir facsímil</v>
      </c>
      <c r="K1402" s="15" t="s">
        <v>22</v>
      </c>
    </row>
    <row r="1403" spans="1:11" ht="42" customHeight="1">
      <c r="A1403" s="4" t="s">
        <v>3502</v>
      </c>
      <c r="B1403" s="5" t="s">
        <v>3503</v>
      </c>
      <c r="C1403" s="5" t="s">
        <v>17</v>
      </c>
      <c r="D1403" s="5" t="s">
        <v>18</v>
      </c>
      <c r="E1403" s="5" t="s">
        <v>958</v>
      </c>
      <c r="F1403" s="9">
        <v>58</v>
      </c>
      <c r="G1403" s="9">
        <v>622</v>
      </c>
      <c r="H1403" s="5" t="s">
        <v>20</v>
      </c>
      <c r="I1403" s="5" t="s">
        <v>3505</v>
      </c>
      <c r="J1403" s="12" t="str">
        <f>HYPERLINK("https://www.boe.es/gazeta/dias/1805/07/19/pdfs/GMD-1805-58.pdf#page=6","Abrir facsímil")</f>
        <v>Abrir facsímil</v>
      </c>
      <c r="K1403" s="15" t="s">
        <v>22</v>
      </c>
    </row>
    <row r="1404" spans="1:11" ht="42" customHeight="1">
      <c r="A1404" s="4" t="s">
        <v>3502</v>
      </c>
      <c r="B1404" s="5" t="s">
        <v>3503</v>
      </c>
      <c r="C1404" s="5" t="s">
        <v>17</v>
      </c>
      <c r="D1404" s="5" t="s">
        <v>18</v>
      </c>
      <c r="E1404" s="5" t="s">
        <v>886</v>
      </c>
      <c r="F1404" s="9">
        <v>93</v>
      </c>
      <c r="G1404" s="9">
        <v>1000</v>
      </c>
      <c r="H1404" s="5" t="s">
        <v>20</v>
      </c>
      <c r="I1404" s="5" t="s">
        <v>3506</v>
      </c>
      <c r="J1404" s="12" t="str">
        <f>HYPERLINK("https://www.boe.es/gazeta/dias/1805/11/19/pdfs/GMD-1805-93.pdf#page=12","Abrir facsímil")</f>
        <v>Abrir facsímil</v>
      </c>
      <c r="K1404" s="15" t="s">
        <v>22</v>
      </c>
    </row>
    <row r="1405" spans="1:11" ht="42" customHeight="1">
      <c r="A1405" s="4" t="s">
        <v>3507</v>
      </c>
      <c r="B1405" s="5" t="s">
        <v>3508</v>
      </c>
      <c r="C1405" s="5" t="s">
        <v>17</v>
      </c>
      <c r="D1405" s="5" t="s">
        <v>18</v>
      </c>
      <c r="E1405" s="5" t="s">
        <v>114</v>
      </c>
      <c r="F1405" s="9">
        <v>17</v>
      </c>
      <c r="G1405" s="9">
        <v>177</v>
      </c>
      <c r="H1405" s="5" t="s">
        <v>20</v>
      </c>
      <c r="I1405" s="5" t="s">
        <v>3509</v>
      </c>
      <c r="J1405" s="12" t="str">
        <f>HYPERLINK("https://www.boe.es/gazeta/dias/1805/02/26/pdfs/GMD-1805-17.pdf#page=9","Abrir facsímil")</f>
        <v>Abrir facsímil</v>
      </c>
      <c r="K1405" s="15" t="s">
        <v>22</v>
      </c>
    </row>
    <row r="1406" spans="1:11" ht="42" customHeight="1">
      <c r="A1406" s="4" t="s">
        <v>3510</v>
      </c>
      <c r="B1406" s="5" t="s">
        <v>3511</v>
      </c>
      <c r="C1406" s="5" t="s">
        <v>35</v>
      </c>
      <c r="D1406" s="5" t="s">
        <v>36</v>
      </c>
      <c r="E1406" s="5" t="s">
        <v>138</v>
      </c>
      <c r="F1406" s="9">
        <v>102</v>
      </c>
      <c r="G1406" s="9">
        <v>1104</v>
      </c>
      <c r="H1406" s="5" t="s">
        <v>20</v>
      </c>
      <c r="I1406" s="5" t="s">
        <v>3512</v>
      </c>
      <c r="J1406" s="12" t="str">
        <f>HYPERLINK("https://www.boe.es/gazeta/dias/1805/12/20/pdfs/GMD-1805-102.pdf#page=8","Abrir facsímil")</f>
        <v>Abrir facsímil</v>
      </c>
      <c r="K1406" s="15" t="s">
        <v>22</v>
      </c>
    </row>
    <row r="1407" spans="1:11" ht="42" customHeight="1">
      <c r="A1407" s="4" t="s">
        <v>3513</v>
      </c>
      <c r="B1407" s="5" t="s">
        <v>3514</v>
      </c>
      <c r="C1407" s="5" t="s">
        <v>35</v>
      </c>
      <c r="D1407" s="5" t="s">
        <v>36</v>
      </c>
      <c r="E1407" s="5" t="s">
        <v>122</v>
      </c>
      <c r="F1407" s="9">
        <v>38</v>
      </c>
      <c r="G1407" s="9">
        <v>411</v>
      </c>
      <c r="H1407" s="5" t="s">
        <v>20</v>
      </c>
      <c r="I1407" s="5" t="s">
        <v>3515</v>
      </c>
      <c r="J1407" s="12" t="str">
        <f>HYPERLINK("https://www.boe.es/gazeta/dias/1805/05/10/pdfs/GMD-1805-38.pdf#page=7","Abrir facsímil")</f>
        <v>Abrir facsímil</v>
      </c>
      <c r="K1407" s="15" t="s">
        <v>22</v>
      </c>
    </row>
    <row r="1408" spans="1:11" ht="42" customHeight="1">
      <c r="A1408" s="4" t="s">
        <v>3516</v>
      </c>
      <c r="B1408" s="5" t="s">
        <v>3517</v>
      </c>
      <c r="C1408" s="5" t="s">
        <v>17</v>
      </c>
      <c r="D1408" s="5" t="s">
        <v>18</v>
      </c>
      <c r="E1408" s="5" t="s">
        <v>495</v>
      </c>
      <c r="F1408" s="9">
        <v>103</v>
      </c>
      <c r="G1408" s="9">
        <v>1113</v>
      </c>
      <c r="H1408" s="5" t="s">
        <v>20</v>
      </c>
      <c r="I1408" s="5" t="s">
        <v>3518</v>
      </c>
      <c r="J1408" s="12" t="str">
        <f>HYPERLINK("https://www.boe.es/gazeta/dias/1805/12/24/pdfs/GMD-1805-103.pdf#page=5","Abrir facsímil")</f>
        <v>Abrir facsímil</v>
      </c>
      <c r="K1408" s="15" t="s">
        <v>22</v>
      </c>
    </row>
    <row r="1409" spans="1:11" ht="42" customHeight="1">
      <c r="A1409" s="4" t="s">
        <v>3519</v>
      </c>
      <c r="B1409" s="5" t="s">
        <v>3520</v>
      </c>
      <c r="C1409" s="5" t="s">
        <v>85</v>
      </c>
      <c r="D1409" s="5" t="s">
        <v>86</v>
      </c>
      <c r="E1409" s="5" t="s">
        <v>440</v>
      </c>
      <c r="F1409" s="9">
        <v>27</v>
      </c>
      <c r="G1409" s="9">
        <v>288</v>
      </c>
      <c r="H1409" s="5" t="s">
        <v>20</v>
      </c>
      <c r="I1409" s="5" t="s">
        <v>3521</v>
      </c>
      <c r="J1409" s="12" t="str">
        <f>HYPERLINK("https://www.boe.es/gazeta/dias/1805/04/02/pdfs/GMD-1805-27.pdf#page=8","Abrir facsímil")</f>
        <v>Abrir facsímil</v>
      </c>
      <c r="K1409" s="15" t="s">
        <v>22</v>
      </c>
    </row>
    <row r="1410" spans="1:11" ht="42" customHeight="1">
      <c r="A1410" s="4" t="s">
        <v>3522</v>
      </c>
      <c r="B1410" s="5" t="s">
        <v>3523</v>
      </c>
      <c r="C1410" s="5" t="s">
        <v>17</v>
      </c>
      <c r="D1410" s="5" t="s">
        <v>18</v>
      </c>
      <c r="E1410" s="5" t="s">
        <v>120</v>
      </c>
      <c r="F1410" s="9">
        <v>24</v>
      </c>
      <c r="G1410" s="9">
        <v>258</v>
      </c>
      <c r="H1410" s="5" t="s">
        <v>20</v>
      </c>
      <c r="I1410" s="5" t="s">
        <v>3524</v>
      </c>
      <c r="J1410" s="12" t="str">
        <f>HYPERLINK("https://www.boe.es/gazeta/dias/1805/03/22/pdfs/GMD-1805-24.pdf#page=10","Abrir facsímil")</f>
        <v>Abrir facsímil</v>
      </c>
      <c r="K1410" s="15" t="s">
        <v>22</v>
      </c>
    </row>
    <row r="1411" spans="1:11" ht="42" customHeight="1">
      <c r="A1411" s="4" t="s">
        <v>3522</v>
      </c>
      <c r="B1411" s="5" t="s">
        <v>3523</v>
      </c>
      <c r="C1411" s="5" t="s">
        <v>17</v>
      </c>
      <c r="D1411" s="5" t="s">
        <v>18</v>
      </c>
      <c r="E1411" s="5" t="s">
        <v>958</v>
      </c>
      <c r="F1411" s="9">
        <v>58</v>
      </c>
      <c r="G1411" s="9">
        <v>621</v>
      </c>
      <c r="H1411" s="5" t="s">
        <v>20</v>
      </c>
      <c r="I1411" s="5" t="s">
        <v>3525</v>
      </c>
      <c r="J1411" s="12" t="str">
        <f>HYPERLINK("https://www.boe.es/gazeta/dias/1805/07/19/pdfs/GMD-1805-58.pdf#page=5","Abrir facsímil")</f>
        <v>Abrir facsímil</v>
      </c>
      <c r="K1411" s="15" t="s">
        <v>22</v>
      </c>
    </row>
    <row r="1412" spans="1:11" ht="42" customHeight="1">
      <c r="A1412" s="4" t="s">
        <v>3522</v>
      </c>
      <c r="B1412" s="5" t="s">
        <v>3523</v>
      </c>
      <c r="C1412" s="5" t="s">
        <v>17</v>
      </c>
      <c r="D1412" s="5" t="s">
        <v>18</v>
      </c>
      <c r="E1412" s="5" t="s">
        <v>886</v>
      </c>
      <c r="F1412" s="9">
        <v>93</v>
      </c>
      <c r="G1412" s="9">
        <v>1000</v>
      </c>
      <c r="H1412" s="5" t="s">
        <v>20</v>
      </c>
      <c r="I1412" s="5" t="s">
        <v>3526</v>
      </c>
      <c r="J1412" s="12" t="str">
        <f>HYPERLINK("https://www.boe.es/gazeta/dias/1805/11/19/pdfs/GMD-1805-93.pdf#page=12","Abrir facsímil")</f>
        <v>Abrir facsímil</v>
      </c>
      <c r="K1412" s="15" t="s">
        <v>22</v>
      </c>
    </row>
    <row r="1413" spans="1:11" ht="42" customHeight="1">
      <c r="A1413" s="4" t="s">
        <v>3527</v>
      </c>
      <c r="B1413" s="5" t="s">
        <v>3528</v>
      </c>
      <c r="C1413" s="5" t="s">
        <v>184</v>
      </c>
      <c r="D1413" s="5" t="s">
        <v>86</v>
      </c>
      <c r="E1413" s="5" t="s">
        <v>293</v>
      </c>
      <c r="F1413" s="9">
        <v>5</v>
      </c>
      <c r="G1413" s="9">
        <v>53</v>
      </c>
      <c r="H1413" s="5" t="s">
        <v>20</v>
      </c>
      <c r="I1413" s="5" t="s">
        <v>3529</v>
      </c>
      <c r="J1413" s="12" t="str">
        <f>HYPERLINK("https://www.boe.es/gazeta/dias/1805/01/15/pdfs/GMD-1805-5.pdf#page=9","Abrir facsímil")</f>
        <v>Abrir facsímil</v>
      </c>
      <c r="K1413" s="15" t="s">
        <v>22</v>
      </c>
    </row>
    <row r="1414" spans="1:11" ht="42" customHeight="1">
      <c r="A1414" s="4" t="s">
        <v>3530</v>
      </c>
      <c r="B1414" s="5" t="s">
        <v>3531</v>
      </c>
      <c r="C1414" s="5" t="s">
        <v>35</v>
      </c>
      <c r="D1414" s="5" t="s">
        <v>36</v>
      </c>
      <c r="E1414" s="5" t="s">
        <v>163</v>
      </c>
      <c r="F1414" s="9">
        <v>77</v>
      </c>
      <c r="G1414" s="9">
        <v>817</v>
      </c>
      <c r="H1414" s="5" t="s">
        <v>20</v>
      </c>
      <c r="I1414" s="5" t="s">
        <v>3532</v>
      </c>
      <c r="J1414" s="12" t="str">
        <f>HYPERLINK("https://www.boe.es/gazeta/dias/1805/09/24/pdfs/GMD-1805-77.pdf#page=9","Abrir facsímil")</f>
        <v>Abrir facsímil</v>
      </c>
      <c r="K1414" s="15" t="s">
        <v>22</v>
      </c>
    </row>
    <row r="1415" spans="1:11" ht="42" customHeight="1">
      <c r="A1415" s="4" t="s">
        <v>3533</v>
      </c>
      <c r="B1415" s="5" t="s">
        <v>3534</v>
      </c>
      <c r="C1415" s="5" t="s">
        <v>85</v>
      </c>
      <c r="D1415" s="5" t="s">
        <v>86</v>
      </c>
      <c r="E1415" s="5" t="s">
        <v>138</v>
      </c>
      <c r="F1415" s="9">
        <v>102</v>
      </c>
      <c r="G1415" s="9">
        <v>1102</v>
      </c>
      <c r="H1415" s="5" t="s">
        <v>20</v>
      </c>
      <c r="I1415" s="5" t="s">
        <v>3535</v>
      </c>
      <c r="J1415" s="12" t="str">
        <f>HYPERLINK("https://www.boe.es/gazeta/dias/1805/12/20/pdfs/GMD-1805-102.pdf#page=6","Abrir facsímil")</f>
        <v>Abrir facsímil</v>
      </c>
      <c r="K1415" s="15" t="s">
        <v>22</v>
      </c>
    </row>
    <row r="1416" spans="1:11" ht="42" customHeight="1">
      <c r="A1416" s="4" t="s">
        <v>3536</v>
      </c>
      <c r="B1416" s="5" t="s">
        <v>3537</v>
      </c>
      <c r="C1416" s="5" t="s">
        <v>35</v>
      </c>
      <c r="D1416" s="5" t="s">
        <v>36</v>
      </c>
      <c r="E1416" s="5" t="s">
        <v>181</v>
      </c>
      <c r="F1416" s="9">
        <v>90</v>
      </c>
      <c r="G1416" s="9">
        <v>964</v>
      </c>
      <c r="H1416" s="5" t="s">
        <v>20</v>
      </c>
      <c r="I1416" s="5" t="s">
        <v>3538</v>
      </c>
      <c r="J1416" s="12" t="str">
        <f>HYPERLINK("https://www.boe.es/gazeta/dias/1805/11/08/pdfs/GMD-1805-90.pdf#page=8","Abrir facsímil")</f>
        <v>Abrir facsímil</v>
      </c>
      <c r="K1416" s="15" t="s">
        <v>22</v>
      </c>
    </row>
    <row r="1417" spans="1:11" ht="42" customHeight="1">
      <c r="A1417" s="4" t="s">
        <v>3539</v>
      </c>
      <c r="B1417" s="5" t="s">
        <v>3540</v>
      </c>
      <c r="C1417" s="5" t="s">
        <v>35</v>
      </c>
      <c r="D1417" s="5" t="s">
        <v>36</v>
      </c>
      <c r="E1417" s="5" t="s">
        <v>426</v>
      </c>
      <c r="F1417" s="9">
        <v>75</v>
      </c>
      <c r="G1417" s="9">
        <v>798</v>
      </c>
      <c r="H1417" s="5" t="s">
        <v>20</v>
      </c>
      <c r="I1417" s="5" t="s">
        <v>3541</v>
      </c>
      <c r="J1417" s="12" t="str">
        <f>HYPERLINK("https://www.boe.es/gazeta/dias/1805/09/17/pdfs/GMD-1805-75.pdf#page=10","Abrir facsímil")</f>
        <v>Abrir facsímil</v>
      </c>
      <c r="K1417" s="15" t="s">
        <v>22</v>
      </c>
    </row>
    <row r="1418" spans="1:11" ht="42" customHeight="1">
      <c r="A1418" s="4" t="s">
        <v>3539</v>
      </c>
      <c r="B1418" s="5" t="s">
        <v>3540</v>
      </c>
      <c r="C1418" s="5" t="s">
        <v>17</v>
      </c>
      <c r="D1418" s="5" t="s">
        <v>18</v>
      </c>
      <c r="E1418" s="5" t="s">
        <v>1259</v>
      </c>
      <c r="F1418" s="9">
        <v>78</v>
      </c>
      <c r="G1418" s="9">
        <v>827</v>
      </c>
      <c r="H1418" s="5" t="s">
        <v>20</v>
      </c>
      <c r="I1418" s="5" t="s">
        <v>3542</v>
      </c>
      <c r="J1418" s="12" t="str">
        <f>HYPERLINK("https://www.boe.es/gazeta/dias/1805/09/27/pdfs/GMD-1805-78.pdf#page=7","Abrir facsímil")</f>
        <v>Abrir facsímil</v>
      </c>
      <c r="K1418" s="15" t="s">
        <v>22</v>
      </c>
    </row>
    <row r="1419" spans="1:11" ht="42" customHeight="1">
      <c r="A1419" s="4" t="s">
        <v>3543</v>
      </c>
      <c r="B1419" s="5" t="s">
        <v>3544</v>
      </c>
      <c r="C1419" s="5" t="s">
        <v>35</v>
      </c>
      <c r="D1419" s="5" t="s">
        <v>36</v>
      </c>
      <c r="E1419" s="5" t="s">
        <v>273</v>
      </c>
      <c r="F1419" s="9">
        <v>8</v>
      </c>
      <c r="G1419" s="9">
        <v>89</v>
      </c>
      <c r="H1419" s="5" t="s">
        <v>20</v>
      </c>
      <c r="I1419" s="5" t="s">
        <v>3545</v>
      </c>
      <c r="J1419" s="12" t="str">
        <f>HYPERLINK("https://www.boe.es/gazeta/dias/1805/01/25/pdfs/GMD-1805-8.pdf#page=9","Abrir facsímil")</f>
        <v>Abrir facsímil</v>
      </c>
      <c r="K1419" s="15" t="s">
        <v>22</v>
      </c>
    </row>
    <row r="1420" spans="1:11" ht="42" customHeight="1">
      <c r="A1420" s="4" t="s">
        <v>3546</v>
      </c>
      <c r="B1420" s="5" t="s">
        <v>3547</v>
      </c>
      <c r="C1420" s="5" t="s">
        <v>17</v>
      </c>
      <c r="D1420" s="5" t="s">
        <v>18</v>
      </c>
      <c r="E1420" s="5" t="s">
        <v>63</v>
      </c>
      <c r="F1420" s="9">
        <v>101</v>
      </c>
      <c r="G1420" s="9">
        <v>1093</v>
      </c>
      <c r="H1420" s="5" t="s">
        <v>20</v>
      </c>
      <c r="I1420" s="5" t="s">
        <v>3548</v>
      </c>
      <c r="J1420" s="12" t="str">
        <f>HYPERLINK("https://www.boe.es/gazeta/dias/1805/12/17/pdfs/GMD-1805-101.pdf#page=9","Abrir facsímil")</f>
        <v>Abrir facsímil</v>
      </c>
      <c r="K1420" s="15" t="s">
        <v>22</v>
      </c>
    </row>
    <row r="1421" spans="1:11" ht="42" customHeight="1">
      <c r="A1421" s="4" t="s">
        <v>3549</v>
      </c>
      <c r="B1421" s="5" t="s">
        <v>3550</v>
      </c>
      <c r="C1421" s="5" t="s">
        <v>29</v>
      </c>
      <c r="D1421" s="5" t="s">
        <v>30</v>
      </c>
      <c r="E1421" s="5" t="s">
        <v>27</v>
      </c>
      <c r="F1421" s="9">
        <v>37</v>
      </c>
      <c r="G1421" s="9">
        <v>404</v>
      </c>
      <c r="H1421" s="5" t="s">
        <v>20</v>
      </c>
      <c r="I1421" s="5" t="s">
        <v>3551</v>
      </c>
      <c r="J1421" s="12" t="str">
        <f>HYPERLINK("https://www.boe.es/gazeta/dias/1805/05/07/pdfs/GMD-1805-37.pdf#page=12","Abrir facsímil")</f>
        <v>Abrir facsímil</v>
      </c>
      <c r="K1421" s="15" t="s">
        <v>22</v>
      </c>
    </row>
    <row r="1422" spans="1:11" ht="42" customHeight="1">
      <c r="A1422" s="4" t="s">
        <v>3552</v>
      </c>
      <c r="B1422" s="5" t="s">
        <v>3553</v>
      </c>
      <c r="C1422" s="5" t="s">
        <v>35</v>
      </c>
      <c r="D1422" s="5" t="s">
        <v>36</v>
      </c>
      <c r="E1422" s="5" t="s">
        <v>456</v>
      </c>
      <c r="F1422" s="9">
        <v>70</v>
      </c>
      <c r="G1422" s="9">
        <v>746</v>
      </c>
      <c r="H1422" s="5" t="s">
        <v>20</v>
      </c>
      <c r="I1422" s="5" t="s">
        <v>3554</v>
      </c>
      <c r="J1422" s="12" t="str">
        <f>HYPERLINK("https://www.boe.es/gazeta/dias/1805/08/30/pdfs/GMD-1805-70.pdf#page=6","Abrir facsímil")</f>
        <v>Abrir facsímil</v>
      </c>
      <c r="K1422" s="15" t="s">
        <v>22</v>
      </c>
    </row>
    <row r="1423" spans="1:11" ht="42" customHeight="1">
      <c r="A1423" s="4" t="s">
        <v>3555</v>
      </c>
      <c r="B1423" s="5" t="s">
        <v>3556</v>
      </c>
      <c r="C1423" s="5" t="s">
        <v>17</v>
      </c>
      <c r="D1423" s="5" t="s">
        <v>18</v>
      </c>
      <c r="E1423" s="5" t="s">
        <v>649</v>
      </c>
      <c r="F1423" s="9">
        <v>7</v>
      </c>
      <c r="G1423" s="9">
        <v>80</v>
      </c>
      <c r="H1423" s="5" t="s">
        <v>20</v>
      </c>
      <c r="I1423" s="5" t="s">
        <v>3557</v>
      </c>
      <c r="J1423" s="12" t="str">
        <f>HYPERLINK("https://www.boe.es/gazeta/dias/1805/01/22/pdfs/GMD-1805-7.pdf#page=12","Abrir facsímil")</f>
        <v>Abrir facsímil</v>
      </c>
      <c r="K1423" s="15" t="s">
        <v>22</v>
      </c>
    </row>
    <row r="1424" spans="1:11" ht="42" customHeight="1">
      <c r="A1424" s="4" t="s">
        <v>3558</v>
      </c>
      <c r="B1424" s="5" t="s">
        <v>3559</v>
      </c>
      <c r="C1424" s="5" t="s">
        <v>35</v>
      </c>
      <c r="D1424" s="5" t="s">
        <v>36</v>
      </c>
      <c r="E1424" s="5" t="s">
        <v>181</v>
      </c>
      <c r="F1424" s="9">
        <v>90</v>
      </c>
      <c r="G1424" s="9">
        <v>964</v>
      </c>
      <c r="H1424" s="5" t="s">
        <v>20</v>
      </c>
      <c r="I1424" s="5" t="s">
        <v>3560</v>
      </c>
      <c r="J1424" s="12" t="str">
        <f>HYPERLINK("https://www.boe.es/gazeta/dias/1805/11/08/pdfs/GMD-1805-90.pdf#page=8","Abrir facsímil")</f>
        <v>Abrir facsímil</v>
      </c>
      <c r="K1424" s="15" t="s">
        <v>22</v>
      </c>
    </row>
    <row r="1425" spans="1:11" ht="42" customHeight="1">
      <c r="A1425" s="4" t="s">
        <v>3561</v>
      </c>
      <c r="B1425" s="5" t="s">
        <v>3562</v>
      </c>
      <c r="C1425" s="5" t="s">
        <v>35</v>
      </c>
      <c r="D1425" s="5" t="s">
        <v>36</v>
      </c>
      <c r="E1425" s="5" t="s">
        <v>163</v>
      </c>
      <c r="F1425" s="9">
        <v>77</v>
      </c>
      <c r="G1425" s="9">
        <v>818</v>
      </c>
      <c r="H1425" s="5" t="s">
        <v>20</v>
      </c>
      <c r="I1425" s="5" t="s">
        <v>3563</v>
      </c>
      <c r="J1425" s="12" t="str">
        <f>HYPERLINK("https://www.boe.es/gazeta/dias/1805/09/24/pdfs/GMD-1805-77.pdf#page=10","Abrir facsímil")</f>
        <v>Abrir facsímil</v>
      </c>
      <c r="K1425" s="15" t="s">
        <v>22</v>
      </c>
    </row>
    <row r="1426" spans="1:11" ht="42" customHeight="1">
      <c r="A1426" s="4" t="s">
        <v>3564</v>
      </c>
      <c r="B1426" s="5" t="s">
        <v>3565</v>
      </c>
      <c r="C1426" s="5" t="s">
        <v>85</v>
      </c>
      <c r="D1426" s="5" t="s">
        <v>86</v>
      </c>
      <c r="E1426" s="5" t="s">
        <v>539</v>
      </c>
      <c r="F1426" s="9">
        <v>97</v>
      </c>
      <c r="G1426" s="9">
        <v>1044</v>
      </c>
      <c r="H1426" s="5" t="s">
        <v>20</v>
      </c>
      <c r="I1426" s="5" t="s">
        <v>3566</v>
      </c>
      <c r="J1426" s="12" t="str">
        <f>HYPERLINK("https://www.boe.es/gazeta/dias/1805/12/03/pdfs/GMD-1805-97.pdf#page=8","Abrir facsímil")</f>
        <v>Abrir facsímil</v>
      </c>
      <c r="K1426" s="15" t="s">
        <v>22</v>
      </c>
    </row>
    <row r="1427" spans="1:11" ht="42" customHeight="1">
      <c r="A1427" s="4" t="s">
        <v>3567</v>
      </c>
      <c r="B1427" s="5" t="s">
        <v>3568</v>
      </c>
      <c r="C1427" s="5" t="s">
        <v>184</v>
      </c>
      <c r="D1427" s="5" t="s">
        <v>86</v>
      </c>
      <c r="E1427" s="5" t="s">
        <v>1292</v>
      </c>
      <c r="F1427" s="9">
        <v>43</v>
      </c>
      <c r="G1427" s="9">
        <v>464</v>
      </c>
      <c r="H1427" s="5" t="s">
        <v>20</v>
      </c>
      <c r="I1427" s="5" t="s">
        <v>3569</v>
      </c>
      <c r="J1427" s="12" t="str">
        <f>HYPERLINK("https://www.boe.es/gazeta/dias/1805/05/28/pdfs/GMD-1805-43.pdf#page=8","Abrir facsímil")</f>
        <v>Abrir facsímil</v>
      </c>
      <c r="K1427" s="15" t="s">
        <v>22</v>
      </c>
    </row>
    <row r="1428" spans="1:11" ht="42" customHeight="1">
      <c r="A1428" s="4" t="s">
        <v>3570</v>
      </c>
      <c r="B1428" s="5" t="s">
        <v>3571</v>
      </c>
      <c r="C1428" s="5" t="s">
        <v>35</v>
      </c>
      <c r="D1428" s="5" t="s">
        <v>36</v>
      </c>
      <c r="E1428" s="5" t="s">
        <v>1494</v>
      </c>
      <c r="F1428" s="9">
        <v>31</v>
      </c>
      <c r="G1428" s="9">
        <v>333</v>
      </c>
      <c r="H1428" s="5" t="s">
        <v>20</v>
      </c>
      <c r="I1428" s="5" t="s">
        <v>3572</v>
      </c>
      <c r="J1428" s="12" t="str">
        <f>HYPERLINK("https://www.boe.es/gazeta/dias/1805/04/16/pdfs/GMD-1805-31.pdf#page=9","Abrir facsímil")</f>
        <v>Abrir facsímil</v>
      </c>
      <c r="K1428" s="15" t="s">
        <v>22</v>
      </c>
    </row>
    <row r="1429" spans="1:11" ht="42" customHeight="1">
      <c r="A1429" s="4" t="s">
        <v>3573</v>
      </c>
      <c r="B1429" s="5" t="s">
        <v>3574</v>
      </c>
      <c r="C1429" s="5" t="s">
        <v>184</v>
      </c>
      <c r="D1429" s="5" t="s">
        <v>86</v>
      </c>
      <c r="E1429" s="5" t="s">
        <v>1259</v>
      </c>
      <c r="F1429" s="9">
        <v>78</v>
      </c>
      <c r="G1429" s="9">
        <v>827</v>
      </c>
      <c r="H1429" s="5" t="s">
        <v>20</v>
      </c>
      <c r="I1429" s="5" t="s">
        <v>3575</v>
      </c>
      <c r="J1429" s="12" t="str">
        <f>HYPERLINK("https://www.boe.es/gazeta/dias/1805/09/27/pdfs/GMD-1805-78.pdf#page=7","Abrir facsímil")</f>
        <v>Abrir facsímil</v>
      </c>
      <c r="K1429" s="15" t="s">
        <v>22</v>
      </c>
    </row>
    <row r="1430" spans="1:11" ht="42" customHeight="1">
      <c r="A1430" s="4" t="s">
        <v>3576</v>
      </c>
      <c r="B1430" s="5" t="s">
        <v>3577</v>
      </c>
      <c r="C1430" s="5" t="s">
        <v>17</v>
      </c>
      <c r="D1430" s="5" t="s">
        <v>18</v>
      </c>
      <c r="E1430" s="5" t="s">
        <v>539</v>
      </c>
      <c r="F1430" s="9">
        <v>97</v>
      </c>
      <c r="G1430" s="9">
        <v>1044</v>
      </c>
      <c r="H1430" s="5" t="s">
        <v>20</v>
      </c>
      <c r="I1430" s="5" t="s">
        <v>3578</v>
      </c>
      <c r="J1430" s="12" t="str">
        <f>HYPERLINK("https://www.boe.es/gazeta/dias/1805/12/03/pdfs/GMD-1805-97.pdf#page=8","Abrir facsímil")</f>
        <v>Abrir facsímil</v>
      </c>
      <c r="K1430" s="15" t="s">
        <v>22</v>
      </c>
    </row>
    <row r="1431" spans="1:11" ht="42" customHeight="1">
      <c r="A1431" s="4" t="s">
        <v>3579</v>
      </c>
      <c r="B1431" s="5" t="s">
        <v>3580</v>
      </c>
      <c r="C1431" s="5" t="s">
        <v>85</v>
      </c>
      <c r="D1431" s="5" t="s">
        <v>86</v>
      </c>
      <c r="E1431" s="5" t="s">
        <v>91</v>
      </c>
      <c r="F1431" s="9">
        <v>28</v>
      </c>
      <c r="G1431" s="9">
        <v>303</v>
      </c>
      <c r="H1431" s="5" t="s">
        <v>20</v>
      </c>
      <c r="I1431" s="5" t="s">
        <v>3581</v>
      </c>
      <c r="J1431" s="12" t="str">
        <f>HYPERLINK("https://www.boe.es/gazeta/dias/1805/04/05/pdfs/GMD-1805-28.pdf#page=11","Abrir facsímil")</f>
        <v>Abrir facsímil</v>
      </c>
      <c r="K1431" s="15" t="s">
        <v>22</v>
      </c>
    </row>
    <row r="1432" spans="1:11" ht="42" customHeight="1">
      <c r="A1432" s="4" t="s">
        <v>3582</v>
      </c>
      <c r="B1432" s="5" t="s">
        <v>3583</v>
      </c>
      <c r="C1432" s="5" t="s">
        <v>35</v>
      </c>
      <c r="D1432" s="5" t="s">
        <v>36</v>
      </c>
      <c r="E1432" s="5" t="s">
        <v>63</v>
      </c>
      <c r="F1432" s="9">
        <v>101</v>
      </c>
      <c r="G1432" s="9">
        <v>1092</v>
      </c>
      <c r="H1432" s="5" t="s">
        <v>20</v>
      </c>
      <c r="I1432" s="5" t="s">
        <v>3584</v>
      </c>
      <c r="J1432" s="12" t="str">
        <f>HYPERLINK("https://www.boe.es/gazeta/dias/1805/12/17/pdfs/GMD-1805-101.pdf#page=8","Abrir facsímil")</f>
        <v>Abrir facsímil</v>
      </c>
      <c r="K1432" s="15" t="s">
        <v>22</v>
      </c>
    </row>
    <row r="1433" spans="1:11" ht="42" customHeight="1">
      <c r="A1433" s="4" t="s">
        <v>3585</v>
      </c>
      <c r="B1433" s="5" t="s">
        <v>3586</v>
      </c>
      <c r="C1433" s="5" t="s">
        <v>85</v>
      </c>
      <c r="D1433" s="5" t="s">
        <v>86</v>
      </c>
      <c r="E1433" s="5" t="s">
        <v>107</v>
      </c>
      <c r="F1433" s="9">
        <v>19</v>
      </c>
      <c r="G1433" s="9">
        <v>198</v>
      </c>
      <c r="H1433" s="5" t="s">
        <v>20</v>
      </c>
      <c r="I1433" s="5" t="s">
        <v>3587</v>
      </c>
      <c r="J1433" s="12" t="str">
        <f>HYPERLINK("https://www.boe.es/gazeta/dias/1805/03/05/pdfs/GMD-1805-19.pdf#page=10","Abrir facsímil")</f>
        <v>Abrir facsímil</v>
      </c>
      <c r="K1433" s="15" t="s">
        <v>22</v>
      </c>
    </row>
    <row r="1434" spans="1:11" ht="42" customHeight="1">
      <c r="A1434" s="4" t="s">
        <v>3588</v>
      </c>
      <c r="B1434" s="5" t="s">
        <v>3589</v>
      </c>
      <c r="C1434" s="5" t="s">
        <v>17</v>
      </c>
      <c r="D1434" s="5" t="s">
        <v>18</v>
      </c>
      <c r="E1434" s="5" t="s">
        <v>729</v>
      </c>
      <c r="F1434" s="9">
        <v>61</v>
      </c>
      <c r="G1434" s="9">
        <v>655</v>
      </c>
      <c r="H1434" s="5" t="s">
        <v>20</v>
      </c>
      <c r="I1434" s="5" t="s">
        <v>3590</v>
      </c>
      <c r="J1434" s="12" t="str">
        <f>HYPERLINK("https://www.boe.es/gazeta/dias/1805/07/30/pdfs/GMD-1805-61.pdf#page=7","Abrir facsímil")</f>
        <v>Abrir facsímil</v>
      </c>
      <c r="K1434" s="15" t="s">
        <v>22</v>
      </c>
    </row>
    <row r="1435" spans="1:11" ht="42" customHeight="1">
      <c r="A1435" s="4" t="s">
        <v>3591</v>
      </c>
      <c r="B1435" s="5" t="s">
        <v>3592</v>
      </c>
      <c r="C1435" s="5" t="s">
        <v>184</v>
      </c>
      <c r="D1435" s="5" t="s">
        <v>86</v>
      </c>
      <c r="E1435" s="5" t="s">
        <v>261</v>
      </c>
      <c r="F1435" s="9">
        <v>18</v>
      </c>
      <c r="G1435" s="9" t="s">
        <v>159</v>
      </c>
      <c r="H1435" s="5" t="s">
        <v>20</v>
      </c>
      <c r="I1435" s="5" t="s">
        <v>3593</v>
      </c>
      <c r="J1435" s="12" t="str">
        <f>HYPERLINK("https://www.boe.es/gazeta/dias/1805/03/01/pdfs/GMD-C-1805-18.pdf#page=3","Abrir facsímil")</f>
        <v>Abrir facsímil</v>
      </c>
      <c r="K1435" s="15" t="s">
        <v>22</v>
      </c>
    </row>
    <row r="1436" spans="1:11" ht="42" customHeight="1">
      <c r="A1436" s="4" t="s">
        <v>3594</v>
      </c>
      <c r="B1436" s="5" t="s">
        <v>3595</v>
      </c>
      <c r="C1436" s="5" t="s">
        <v>184</v>
      </c>
      <c r="D1436" s="5" t="s">
        <v>86</v>
      </c>
      <c r="E1436" s="5" t="s">
        <v>1432</v>
      </c>
      <c r="F1436" s="9">
        <v>53</v>
      </c>
      <c r="G1436" s="9">
        <v>572</v>
      </c>
      <c r="H1436" s="5" t="s">
        <v>20</v>
      </c>
      <c r="I1436" s="5" t="s">
        <v>3596</v>
      </c>
      <c r="J1436" s="12" t="str">
        <f>HYPERLINK("https://www.boe.es/gazeta/dias/1805/07/02/pdfs/GMD-1805-53.pdf#page=8","Abrir facsímil")</f>
        <v>Abrir facsímil</v>
      </c>
      <c r="K1436" s="15" t="s">
        <v>22</v>
      </c>
    </row>
    <row r="1437" spans="1:11" ht="42" customHeight="1">
      <c r="A1437" s="4" t="s">
        <v>3597</v>
      </c>
      <c r="B1437" s="5" t="s">
        <v>3598</v>
      </c>
      <c r="C1437" s="5" t="s">
        <v>184</v>
      </c>
      <c r="D1437" s="5" t="s">
        <v>86</v>
      </c>
      <c r="E1437" s="5" t="s">
        <v>506</v>
      </c>
      <c r="F1437" s="9">
        <v>80</v>
      </c>
      <c r="G1437" s="9">
        <v>852</v>
      </c>
      <c r="H1437" s="5" t="s">
        <v>20</v>
      </c>
      <c r="I1437" s="5" t="s">
        <v>3599</v>
      </c>
      <c r="J1437" s="12" t="str">
        <f>HYPERLINK("https://www.boe.es/gazeta/dias/1805/10/04/pdfs/GMD-1805-80.pdf#page=12","Abrir facsímil")</f>
        <v>Abrir facsímil</v>
      </c>
      <c r="K1437" s="15" t="s">
        <v>22</v>
      </c>
    </row>
    <row r="1438" spans="1:11" ht="42" customHeight="1">
      <c r="A1438" s="4" t="s">
        <v>3600</v>
      </c>
      <c r="B1438" s="5" t="s">
        <v>3601</v>
      </c>
      <c r="C1438" s="5" t="s">
        <v>35</v>
      </c>
      <c r="D1438" s="5" t="s">
        <v>36</v>
      </c>
      <c r="E1438" s="5" t="s">
        <v>213</v>
      </c>
      <c r="F1438" s="9">
        <v>56</v>
      </c>
      <c r="G1438" s="9">
        <v>600</v>
      </c>
      <c r="H1438" s="5" t="s">
        <v>20</v>
      </c>
      <c r="I1438" s="5" t="s">
        <v>3602</v>
      </c>
      <c r="J1438" s="12" t="str">
        <f>HYPERLINK("https://www.boe.es/gazeta/dias/1805/07/12/pdfs/GMD-1805-56.pdf#page=8","Abrir facsímil")</f>
        <v>Abrir facsímil</v>
      </c>
      <c r="K1438" s="15" t="s">
        <v>22</v>
      </c>
    </row>
    <row r="1439" spans="1:11" ht="42" customHeight="1">
      <c r="A1439" s="4" t="s">
        <v>3603</v>
      </c>
      <c r="B1439" s="5" t="s">
        <v>3604</v>
      </c>
      <c r="C1439" s="5" t="s">
        <v>85</v>
      </c>
      <c r="D1439" s="5" t="s">
        <v>86</v>
      </c>
      <c r="E1439" s="5" t="s">
        <v>181</v>
      </c>
      <c r="F1439" s="9">
        <v>90</v>
      </c>
      <c r="G1439" s="9">
        <v>966</v>
      </c>
      <c r="H1439" s="5" t="s">
        <v>20</v>
      </c>
      <c r="I1439" s="5" t="s">
        <v>3605</v>
      </c>
      <c r="J1439" s="12" t="str">
        <f>HYPERLINK("https://www.boe.es/gazeta/dias/1805/11/08/pdfs/GMD-1805-90.pdf#page=10","Abrir facsímil")</f>
        <v>Abrir facsímil</v>
      </c>
      <c r="K1439" s="15" t="s">
        <v>22</v>
      </c>
    </row>
    <row r="1440" spans="1:11" ht="42" customHeight="1">
      <c r="A1440" s="4" t="s">
        <v>3606</v>
      </c>
      <c r="B1440" s="5" t="s">
        <v>3607</v>
      </c>
      <c r="C1440" s="5" t="s">
        <v>85</v>
      </c>
      <c r="D1440" s="5" t="s">
        <v>86</v>
      </c>
      <c r="E1440" s="5" t="s">
        <v>539</v>
      </c>
      <c r="F1440" s="9">
        <v>97</v>
      </c>
      <c r="G1440" s="9">
        <v>1044</v>
      </c>
      <c r="H1440" s="5" t="s">
        <v>20</v>
      </c>
      <c r="I1440" s="5" t="s">
        <v>3608</v>
      </c>
      <c r="J1440" s="12" t="str">
        <f>HYPERLINK("https://www.boe.es/gazeta/dias/1805/12/03/pdfs/GMD-1805-97.pdf#page=8","Abrir facsímil")</f>
        <v>Abrir facsímil</v>
      </c>
      <c r="K1440" s="15" t="s">
        <v>22</v>
      </c>
    </row>
    <row r="1441" spans="1:11" ht="42" customHeight="1">
      <c r="A1441" s="4" t="s">
        <v>3609</v>
      </c>
      <c r="B1441" s="5" t="s">
        <v>3610</v>
      </c>
      <c r="C1441" s="5" t="s">
        <v>17</v>
      </c>
      <c r="D1441" s="5" t="s">
        <v>18</v>
      </c>
      <c r="E1441" s="5" t="s">
        <v>48</v>
      </c>
      <c r="F1441" s="9">
        <v>35</v>
      </c>
      <c r="G1441" s="9">
        <v>379</v>
      </c>
      <c r="H1441" s="5" t="s">
        <v>20</v>
      </c>
      <c r="I1441" s="5" t="s">
        <v>3611</v>
      </c>
      <c r="J1441" s="12" t="str">
        <f>HYPERLINK("https://www.boe.es/gazeta/dias/1805/04/30/pdfs/GMD-1805-35.pdf#page=11","Abrir facsímil")</f>
        <v>Abrir facsímil</v>
      </c>
      <c r="K1441" s="15" t="s">
        <v>22</v>
      </c>
    </row>
    <row r="1442" spans="1:11" ht="42" customHeight="1">
      <c r="A1442" s="4" t="s">
        <v>3612</v>
      </c>
      <c r="B1442" s="5" t="s">
        <v>3613</v>
      </c>
      <c r="C1442" s="5" t="s">
        <v>184</v>
      </c>
      <c r="D1442" s="5" t="s">
        <v>86</v>
      </c>
      <c r="E1442" s="5" t="s">
        <v>76</v>
      </c>
      <c r="F1442" s="9">
        <v>66</v>
      </c>
      <c r="G1442" s="9">
        <v>710</v>
      </c>
      <c r="H1442" s="5" t="s">
        <v>20</v>
      </c>
      <c r="I1442" s="5" t="s">
        <v>3614</v>
      </c>
      <c r="J1442" s="12" t="str">
        <f>HYPERLINK("https://www.boe.es/gazeta/dias/1805/08/16/pdfs/GMD-1805-66.pdf#page=10","Abrir facsímil")</f>
        <v>Abrir facsímil</v>
      </c>
      <c r="K1442" s="15" t="s">
        <v>22</v>
      </c>
    </row>
    <row r="1443" spans="1:11" ht="42" customHeight="1">
      <c r="A1443" s="4" t="s">
        <v>3615</v>
      </c>
      <c r="B1443" s="5" t="s">
        <v>3616</v>
      </c>
      <c r="C1443" s="5" t="s">
        <v>85</v>
      </c>
      <c r="D1443" s="5" t="s">
        <v>86</v>
      </c>
      <c r="E1443" s="5" t="s">
        <v>192</v>
      </c>
      <c r="F1443" s="9">
        <v>105</v>
      </c>
      <c r="G1443" s="9">
        <v>1137</v>
      </c>
      <c r="H1443" s="5" t="s">
        <v>20</v>
      </c>
      <c r="I1443" s="5" t="s">
        <v>3617</v>
      </c>
      <c r="J1443" s="12" t="str">
        <f>HYPERLINK("https://www.boe.es/gazeta/dias/1805/12/31/pdfs/GMD-1805-105.pdf#page=9","Abrir facsímil")</f>
        <v>Abrir facsímil</v>
      </c>
      <c r="K1443" s="15" t="s">
        <v>22</v>
      </c>
    </row>
    <row r="1444" spans="1:11" ht="42" customHeight="1">
      <c r="A1444" s="4" t="s">
        <v>3618</v>
      </c>
      <c r="B1444" s="5" t="s">
        <v>3619</v>
      </c>
      <c r="C1444" s="5" t="s">
        <v>35</v>
      </c>
      <c r="D1444" s="5" t="s">
        <v>36</v>
      </c>
      <c r="E1444" s="5" t="s">
        <v>91</v>
      </c>
      <c r="F1444" s="9">
        <v>28</v>
      </c>
      <c r="G1444" s="9">
        <v>300</v>
      </c>
      <c r="H1444" s="5" t="s">
        <v>20</v>
      </c>
      <c r="I1444" s="5" t="s">
        <v>3620</v>
      </c>
      <c r="J1444" s="12" t="str">
        <f>HYPERLINK("https://www.boe.es/gazeta/dias/1805/04/05/pdfs/GMD-1805-28.pdf#page=8","Abrir facsímil")</f>
        <v>Abrir facsímil</v>
      </c>
      <c r="K1444" s="15" t="s">
        <v>22</v>
      </c>
    </row>
    <row r="1445" spans="1:11" ht="42" customHeight="1">
      <c r="A1445" s="4" t="s">
        <v>3621</v>
      </c>
      <c r="B1445" s="5" t="s">
        <v>3622</v>
      </c>
      <c r="C1445" s="5" t="s">
        <v>85</v>
      </c>
      <c r="D1445" s="5" t="s">
        <v>86</v>
      </c>
      <c r="E1445" s="5" t="s">
        <v>107</v>
      </c>
      <c r="F1445" s="9">
        <v>19</v>
      </c>
      <c r="G1445" s="9">
        <v>199</v>
      </c>
      <c r="H1445" s="5" t="s">
        <v>20</v>
      </c>
      <c r="I1445" s="5" t="s">
        <v>3623</v>
      </c>
      <c r="J1445" s="12" t="str">
        <f>HYPERLINK("https://www.boe.es/gazeta/dias/1805/03/05/pdfs/GMD-1805-19.pdf#page=11","Abrir facsímil")</f>
        <v>Abrir facsímil</v>
      </c>
      <c r="K1445" s="15" t="s">
        <v>22</v>
      </c>
    </row>
    <row r="1446" spans="1:11" ht="42" customHeight="1">
      <c r="A1446" s="4" t="s">
        <v>3624</v>
      </c>
      <c r="B1446" s="5" t="s">
        <v>3625</v>
      </c>
      <c r="C1446" s="5" t="s">
        <v>35</v>
      </c>
      <c r="D1446" s="5" t="s">
        <v>36</v>
      </c>
      <c r="E1446" s="5" t="s">
        <v>303</v>
      </c>
      <c r="F1446" s="9">
        <v>57</v>
      </c>
      <c r="G1446" s="9">
        <v>611</v>
      </c>
      <c r="H1446" s="5" t="s">
        <v>20</v>
      </c>
      <c r="I1446" s="5" t="s">
        <v>3626</v>
      </c>
      <c r="J1446" s="12" t="str">
        <f>HYPERLINK("https://www.boe.es/gazeta/dias/1805/07/16/pdfs/GMD-1805-57.pdf#page=7","Abrir facsímil")</f>
        <v>Abrir facsímil</v>
      </c>
      <c r="K1446" s="15" t="s">
        <v>22</v>
      </c>
    </row>
    <row r="1447" spans="1:11" ht="42" customHeight="1">
      <c r="A1447" s="4" t="s">
        <v>3627</v>
      </c>
      <c r="B1447" s="5" t="s">
        <v>3628</v>
      </c>
      <c r="C1447" s="5" t="s">
        <v>35</v>
      </c>
      <c r="D1447" s="5" t="s">
        <v>36</v>
      </c>
      <c r="E1447" s="5" t="s">
        <v>128</v>
      </c>
      <c r="F1447" s="9">
        <v>23</v>
      </c>
      <c r="G1447" s="9">
        <v>246</v>
      </c>
      <c r="H1447" s="5" t="s">
        <v>20</v>
      </c>
      <c r="I1447" s="5" t="s">
        <v>3629</v>
      </c>
      <c r="J1447" s="12" t="str">
        <f>HYPERLINK("https://www.boe.es/gazeta/dias/1805/03/19/pdfs/GMD-1805-23.pdf#page=10","Abrir facsímil")</f>
        <v>Abrir facsímil</v>
      </c>
      <c r="K1447" s="15" t="s">
        <v>22</v>
      </c>
    </row>
    <row r="1448" spans="1:11" ht="42" customHeight="1">
      <c r="A1448" s="4" t="s">
        <v>3630</v>
      </c>
      <c r="B1448" s="5" t="s">
        <v>3631</v>
      </c>
      <c r="C1448" s="5" t="s">
        <v>52</v>
      </c>
      <c r="D1448" s="5" t="s">
        <v>53</v>
      </c>
      <c r="E1448" s="5" t="s">
        <v>144</v>
      </c>
      <c r="F1448" s="9">
        <v>85</v>
      </c>
      <c r="G1448" s="9" t="s">
        <v>159</v>
      </c>
      <c r="H1448" s="5" t="s">
        <v>20</v>
      </c>
      <c r="I1448" s="5" t="s">
        <v>3632</v>
      </c>
      <c r="J1448" s="12" t="str">
        <f>HYPERLINK("https://www.boe.es/gazeta/dias/1805/10/22/pdfs/GMD-C-1805-85.pdf#page=3","Abrir facsímil")</f>
        <v>Abrir facsímil</v>
      </c>
      <c r="K1448" s="15" t="s">
        <v>22</v>
      </c>
    </row>
    <row r="1449" spans="1:11" ht="42" customHeight="1">
      <c r="A1449" s="4" t="s">
        <v>3633</v>
      </c>
      <c r="B1449" s="5" t="s">
        <v>3634</v>
      </c>
      <c r="C1449" s="5" t="s">
        <v>17</v>
      </c>
      <c r="D1449" s="5" t="s">
        <v>18</v>
      </c>
      <c r="E1449" s="5" t="s">
        <v>59</v>
      </c>
      <c r="F1449" s="9">
        <v>21</v>
      </c>
      <c r="G1449" s="9">
        <v>220</v>
      </c>
      <c r="H1449" s="5" t="s">
        <v>20</v>
      </c>
      <c r="I1449" s="5" t="s">
        <v>3635</v>
      </c>
      <c r="J1449" s="12" t="str">
        <f>HYPERLINK("https://www.boe.es/gazeta/dias/1805/03/12/pdfs/GMD-1805-21.pdf#page=8","Abrir facsímil")</f>
        <v>Abrir facsímil</v>
      </c>
      <c r="K1449" s="15" t="s">
        <v>22</v>
      </c>
    </row>
    <row r="1450" spans="1:11" ht="42" customHeight="1">
      <c r="A1450" s="4" t="s">
        <v>3636</v>
      </c>
      <c r="B1450" s="5" t="s">
        <v>3637</v>
      </c>
      <c r="C1450" s="5" t="s">
        <v>35</v>
      </c>
      <c r="D1450" s="5" t="s">
        <v>36</v>
      </c>
      <c r="E1450" s="5" t="s">
        <v>456</v>
      </c>
      <c r="F1450" s="9">
        <v>70</v>
      </c>
      <c r="G1450" s="9">
        <v>747</v>
      </c>
      <c r="H1450" s="5" t="s">
        <v>20</v>
      </c>
      <c r="I1450" s="5" t="s">
        <v>3638</v>
      </c>
      <c r="J1450" s="12" t="str">
        <f>HYPERLINK("https://www.boe.es/gazeta/dias/1805/08/30/pdfs/GMD-1805-70.pdf#page=7","Abrir facsímil")</f>
        <v>Abrir facsímil</v>
      </c>
      <c r="K1450" s="15" t="s">
        <v>22</v>
      </c>
    </row>
    <row r="1451" spans="1:11" ht="42" customHeight="1">
      <c r="A1451" s="4" t="s">
        <v>3639</v>
      </c>
      <c r="B1451" s="5" t="s">
        <v>3640</v>
      </c>
      <c r="C1451" s="5" t="s">
        <v>17</v>
      </c>
      <c r="D1451" s="5" t="s">
        <v>18</v>
      </c>
      <c r="E1451" s="5" t="s">
        <v>290</v>
      </c>
      <c r="F1451" s="9">
        <v>36</v>
      </c>
      <c r="G1451" s="9">
        <v>389</v>
      </c>
      <c r="H1451" s="5" t="s">
        <v>20</v>
      </c>
      <c r="I1451" s="5" t="s">
        <v>3641</v>
      </c>
      <c r="J1451" s="12" t="str">
        <f>HYPERLINK("https://www.boe.es/gazeta/dias/1805/05/03/pdfs/GMD-1805-36.pdf#page=9","Abrir facsímil")</f>
        <v>Abrir facsímil</v>
      </c>
      <c r="K1451" s="15" t="s">
        <v>22</v>
      </c>
    </row>
    <row r="1452" spans="1:11" ht="42" customHeight="1">
      <c r="A1452" s="4" t="s">
        <v>3642</v>
      </c>
      <c r="B1452" s="5" t="s">
        <v>3643</v>
      </c>
      <c r="C1452" s="5" t="s">
        <v>35</v>
      </c>
      <c r="D1452" s="5" t="s">
        <v>36</v>
      </c>
      <c r="E1452" s="5" t="s">
        <v>817</v>
      </c>
      <c r="F1452" s="9">
        <v>92</v>
      </c>
      <c r="G1452" s="9">
        <v>987</v>
      </c>
      <c r="H1452" s="5" t="s">
        <v>20</v>
      </c>
      <c r="I1452" s="5" t="s">
        <v>3644</v>
      </c>
      <c r="J1452" s="12" t="str">
        <f>HYPERLINK("https://www.boe.es/gazeta/dias/1805/11/15/pdfs/GMD-1805-92.pdf#page=7","Abrir facsímil")</f>
        <v>Abrir facsímil</v>
      </c>
      <c r="K1452" s="15" t="s">
        <v>22</v>
      </c>
    </row>
    <row r="1453" spans="1:11" ht="42" customHeight="1">
      <c r="A1453" s="4" t="s">
        <v>3645</v>
      </c>
      <c r="B1453" s="5" t="s">
        <v>3646</v>
      </c>
      <c r="C1453" s="5" t="s">
        <v>80</v>
      </c>
      <c r="D1453" s="5" t="s">
        <v>81</v>
      </c>
      <c r="E1453" s="5" t="s">
        <v>789</v>
      </c>
      <c r="F1453" s="9">
        <v>104</v>
      </c>
      <c r="G1453" s="9">
        <v>1122</v>
      </c>
      <c r="H1453" s="5" t="s">
        <v>20</v>
      </c>
      <c r="I1453" s="5" t="s">
        <v>3647</v>
      </c>
      <c r="J1453" s="12" t="str">
        <f>HYPERLINK("https://www.boe.es/gazeta/dias/1805/12/27/pdfs/GMD-1805-104.pdf#page=6","Abrir facsímil")</f>
        <v>Abrir facsímil</v>
      </c>
      <c r="K1453" s="15" t="s">
        <v>22</v>
      </c>
    </row>
    <row r="1454" spans="1:11" ht="42" customHeight="1">
      <c r="A1454" s="4" t="s">
        <v>3648</v>
      </c>
      <c r="B1454" s="5" t="s">
        <v>3649</v>
      </c>
      <c r="C1454" s="5" t="s">
        <v>35</v>
      </c>
      <c r="D1454" s="5" t="s">
        <v>36</v>
      </c>
      <c r="E1454" s="5" t="s">
        <v>789</v>
      </c>
      <c r="F1454" s="9">
        <v>104</v>
      </c>
      <c r="G1454" s="9">
        <v>1127</v>
      </c>
      <c r="H1454" s="5" t="s">
        <v>20</v>
      </c>
      <c r="I1454" s="5" t="s">
        <v>3650</v>
      </c>
      <c r="J1454" s="12" t="str">
        <f>HYPERLINK("https://www.boe.es/gazeta/dias/1805/12/27/pdfs/GMD-1805-104.pdf#page=11","Abrir facsímil")</f>
        <v>Abrir facsímil</v>
      </c>
      <c r="K1454" s="15" t="s">
        <v>22</v>
      </c>
    </row>
    <row r="1455" spans="1:11" ht="42" customHeight="1">
      <c r="A1455" s="4" t="s">
        <v>3651</v>
      </c>
      <c r="B1455" s="5" t="s">
        <v>3652</v>
      </c>
      <c r="C1455" s="5" t="s">
        <v>35</v>
      </c>
      <c r="D1455" s="5" t="s">
        <v>36</v>
      </c>
      <c r="E1455" s="5" t="s">
        <v>273</v>
      </c>
      <c r="F1455" s="9">
        <v>8</v>
      </c>
      <c r="G1455" s="9">
        <v>89</v>
      </c>
      <c r="H1455" s="5" t="s">
        <v>20</v>
      </c>
      <c r="I1455" s="5" t="s">
        <v>3653</v>
      </c>
      <c r="J1455" s="12" t="str">
        <f>HYPERLINK("https://www.boe.es/gazeta/dias/1805/01/25/pdfs/GMD-1805-8.pdf#page=9","Abrir facsímil")</f>
        <v>Abrir facsímil</v>
      </c>
      <c r="K1455" s="15" t="s">
        <v>22</v>
      </c>
    </row>
    <row r="1456" spans="1:11" ht="42" customHeight="1">
      <c r="A1456" s="4" t="s">
        <v>3654</v>
      </c>
      <c r="B1456" s="5" t="s">
        <v>3655</v>
      </c>
      <c r="C1456" s="5" t="s">
        <v>17</v>
      </c>
      <c r="D1456" s="5" t="s">
        <v>18</v>
      </c>
      <c r="E1456" s="5" t="s">
        <v>71</v>
      </c>
      <c r="F1456" s="9">
        <v>33</v>
      </c>
      <c r="G1456" s="9">
        <v>352</v>
      </c>
      <c r="H1456" s="5" t="s">
        <v>20</v>
      </c>
      <c r="I1456" s="5" t="s">
        <v>3656</v>
      </c>
      <c r="J1456" s="12" t="str">
        <f>HYPERLINK("https://www.boe.es/gazeta/dias/1805/04/23/pdfs/GMD-1805-33.pdf#page=8","Abrir facsímil")</f>
        <v>Abrir facsímil</v>
      </c>
      <c r="K1456" s="15" t="s">
        <v>22</v>
      </c>
    </row>
    <row r="1457" spans="1:11" ht="42" customHeight="1">
      <c r="A1457" s="4" t="s">
        <v>3657</v>
      </c>
      <c r="B1457" s="5" t="s">
        <v>3658</v>
      </c>
      <c r="C1457" s="5" t="s">
        <v>29</v>
      </c>
      <c r="D1457" s="5" t="s">
        <v>30</v>
      </c>
      <c r="E1457" s="5" t="s">
        <v>281</v>
      </c>
      <c r="F1457" s="9">
        <v>15</v>
      </c>
      <c r="G1457" s="9">
        <v>159</v>
      </c>
      <c r="H1457" s="5" t="s">
        <v>20</v>
      </c>
      <c r="I1457" s="5" t="s">
        <v>3659</v>
      </c>
      <c r="J1457" s="12" t="str">
        <f>HYPERLINK("https://www.boe.es/gazeta/dias/1805/02/19/pdfs/GMD-1805-15.pdf#page=11","Abrir facsímil")</f>
        <v>Abrir facsímil</v>
      </c>
      <c r="K1457" s="15" t="s">
        <v>22</v>
      </c>
    </row>
    <row r="1458" spans="1:11" ht="42" customHeight="1">
      <c r="A1458" s="4" t="s">
        <v>3660</v>
      </c>
      <c r="B1458" s="5" t="s">
        <v>3661</v>
      </c>
      <c r="C1458" s="5" t="s">
        <v>35</v>
      </c>
      <c r="D1458" s="5" t="s">
        <v>36</v>
      </c>
      <c r="E1458" s="5" t="s">
        <v>539</v>
      </c>
      <c r="F1458" s="9">
        <v>97</v>
      </c>
      <c r="G1458" s="9">
        <v>1045</v>
      </c>
      <c r="H1458" s="5" t="s">
        <v>20</v>
      </c>
      <c r="I1458" s="5" t="s">
        <v>3662</v>
      </c>
      <c r="J1458" s="12" t="str">
        <f>HYPERLINK("https://www.boe.es/gazeta/dias/1805/12/03/pdfs/GMD-1805-97.pdf#page=9","Abrir facsímil")</f>
        <v>Abrir facsímil</v>
      </c>
      <c r="K1458" s="15" t="s">
        <v>22</v>
      </c>
    </row>
    <row r="1459" spans="1:11" ht="42" customHeight="1">
      <c r="A1459" s="4" t="s">
        <v>3663</v>
      </c>
      <c r="B1459" s="5" t="s">
        <v>3664</v>
      </c>
      <c r="C1459" s="5" t="s">
        <v>85</v>
      </c>
      <c r="D1459" s="5" t="s">
        <v>86</v>
      </c>
      <c r="E1459" s="5" t="s">
        <v>276</v>
      </c>
      <c r="F1459" s="9">
        <v>51</v>
      </c>
      <c r="G1459" s="9">
        <v>550</v>
      </c>
      <c r="H1459" s="5" t="s">
        <v>20</v>
      </c>
      <c r="I1459" s="5" t="s">
        <v>3665</v>
      </c>
      <c r="J1459" s="12" t="str">
        <f>HYPERLINK("https://www.boe.es/gazeta/dias/1805/06/25/pdfs/GMD-1805-51.pdf#page=6","Abrir facsímil")</f>
        <v>Abrir facsímil</v>
      </c>
      <c r="K1459" s="15" t="s">
        <v>22</v>
      </c>
    </row>
    <row r="1460" spans="1:11" ht="42" customHeight="1">
      <c r="A1460" s="4" t="s">
        <v>3666</v>
      </c>
      <c r="B1460" s="5" t="s">
        <v>3667</v>
      </c>
      <c r="C1460" s="5" t="s">
        <v>29</v>
      </c>
      <c r="D1460" s="5" t="s">
        <v>30</v>
      </c>
      <c r="E1460" s="5" t="s">
        <v>958</v>
      </c>
      <c r="F1460" s="9">
        <v>58</v>
      </c>
      <c r="G1460" s="9">
        <v>624</v>
      </c>
      <c r="H1460" s="5" t="s">
        <v>20</v>
      </c>
      <c r="I1460" s="5" t="s">
        <v>3668</v>
      </c>
      <c r="J1460" s="12" t="str">
        <f>HYPERLINK("https://www.boe.es/gazeta/dias/1805/07/19/pdfs/GMD-1805-58.pdf#page=8","Abrir facsímil")</f>
        <v>Abrir facsímil</v>
      </c>
      <c r="K1460" s="15" t="s">
        <v>22</v>
      </c>
    </row>
    <row r="1461" spans="1:11" ht="42" customHeight="1">
      <c r="A1461" s="4" t="s">
        <v>3669</v>
      </c>
      <c r="B1461" s="5" t="s">
        <v>3670</v>
      </c>
      <c r="C1461" s="5" t="s">
        <v>17</v>
      </c>
      <c r="D1461" s="5" t="s">
        <v>18</v>
      </c>
      <c r="E1461" s="5" t="s">
        <v>456</v>
      </c>
      <c r="F1461" s="9">
        <v>70</v>
      </c>
      <c r="G1461" s="9">
        <v>748</v>
      </c>
      <c r="H1461" s="5" t="s">
        <v>20</v>
      </c>
      <c r="I1461" s="5" t="s">
        <v>3671</v>
      </c>
      <c r="J1461" s="12" t="str">
        <f>HYPERLINK("https://www.boe.es/gazeta/dias/1805/08/30/pdfs/GMD-1805-70.pdf#page=8","Abrir facsímil")</f>
        <v>Abrir facsímil</v>
      </c>
      <c r="K1461" s="15" t="s">
        <v>22</v>
      </c>
    </row>
    <row r="1462" spans="1:11" ht="42" customHeight="1">
      <c r="A1462" s="4" t="s">
        <v>3672</v>
      </c>
      <c r="B1462" s="5" t="s">
        <v>3673</v>
      </c>
      <c r="C1462" s="5" t="s">
        <v>17</v>
      </c>
      <c r="D1462" s="5" t="s">
        <v>18</v>
      </c>
      <c r="E1462" s="5" t="s">
        <v>303</v>
      </c>
      <c r="F1462" s="9">
        <v>57</v>
      </c>
      <c r="G1462" s="9">
        <v>610</v>
      </c>
      <c r="H1462" s="5" t="s">
        <v>20</v>
      </c>
      <c r="I1462" s="5" t="s">
        <v>3674</v>
      </c>
      <c r="J1462" s="12" t="str">
        <f>HYPERLINK("https://www.boe.es/gazeta/dias/1805/07/16/pdfs/GMD-1805-57.pdf#page=6","Abrir facsímil")</f>
        <v>Abrir facsímil</v>
      </c>
      <c r="K1462" s="15" t="s">
        <v>22</v>
      </c>
    </row>
    <row r="1463" spans="1:11" ht="42" customHeight="1">
      <c r="A1463" s="4" t="s">
        <v>3675</v>
      </c>
      <c r="B1463" s="5" t="s">
        <v>3676</v>
      </c>
      <c r="C1463" s="5" t="s">
        <v>17</v>
      </c>
      <c r="D1463" s="5" t="s">
        <v>18</v>
      </c>
      <c r="E1463" s="5" t="s">
        <v>286</v>
      </c>
      <c r="F1463" s="9">
        <v>48</v>
      </c>
      <c r="G1463" s="9">
        <v>520</v>
      </c>
      <c r="H1463" s="5" t="s">
        <v>20</v>
      </c>
      <c r="I1463" s="5" t="s">
        <v>3677</v>
      </c>
      <c r="J1463" s="12" t="str">
        <f>HYPERLINK("https://www.boe.es/gazeta/dias/1805/06/14/pdfs/GMD-1805-48.pdf#page=8","Abrir facsímil")</f>
        <v>Abrir facsímil</v>
      </c>
      <c r="K1463" s="15" t="s">
        <v>22</v>
      </c>
    </row>
    <row r="1464" spans="1:11" ht="42" customHeight="1">
      <c r="A1464" s="4" t="s">
        <v>3678</v>
      </c>
      <c r="B1464" s="5" t="s">
        <v>3679</v>
      </c>
      <c r="C1464" s="5" t="s">
        <v>17</v>
      </c>
      <c r="D1464" s="5" t="s">
        <v>18</v>
      </c>
      <c r="E1464" s="5" t="s">
        <v>71</v>
      </c>
      <c r="F1464" s="9">
        <v>33</v>
      </c>
      <c r="G1464" s="9">
        <v>352</v>
      </c>
      <c r="H1464" s="5" t="s">
        <v>20</v>
      </c>
      <c r="I1464" s="5" t="s">
        <v>3680</v>
      </c>
      <c r="J1464" s="12" t="str">
        <f>HYPERLINK("https://www.boe.es/gazeta/dias/1805/04/23/pdfs/GMD-1805-33.pdf#page=8","Abrir facsímil")</f>
        <v>Abrir facsímil</v>
      </c>
      <c r="K1464" s="15" t="s">
        <v>22</v>
      </c>
    </row>
    <row r="1465" spans="1:11" ht="42" customHeight="1">
      <c r="A1465" s="4" t="s">
        <v>3681</v>
      </c>
      <c r="B1465" s="5" t="s">
        <v>3682</v>
      </c>
      <c r="C1465" s="5" t="s">
        <v>35</v>
      </c>
      <c r="D1465" s="5" t="s">
        <v>36</v>
      </c>
      <c r="E1465" s="5" t="s">
        <v>63</v>
      </c>
      <c r="F1465" s="9">
        <v>101</v>
      </c>
      <c r="G1465" s="9">
        <v>1091</v>
      </c>
      <c r="H1465" s="5" t="s">
        <v>20</v>
      </c>
      <c r="I1465" s="5" t="s">
        <v>3683</v>
      </c>
      <c r="J1465" s="12" t="str">
        <f>HYPERLINK("https://www.boe.es/gazeta/dias/1805/12/17/pdfs/GMD-1805-101.pdf#page=7","Abrir facsímil")</f>
        <v>Abrir facsímil</v>
      </c>
      <c r="K1465" s="15" t="s">
        <v>22</v>
      </c>
    </row>
    <row r="1466" spans="1:11" ht="42" customHeight="1">
      <c r="A1466" s="4" t="s">
        <v>3684</v>
      </c>
      <c r="B1466" s="5" t="s">
        <v>3685</v>
      </c>
      <c r="C1466" s="5" t="s">
        <v>29</v>
      </c>
      <c r="D1466" s="5" t="s">
        <v>30</v>
      </c>
      <c r="E1466" s="5" t="s">
        <v>352</v>
      </c>
      <c r="F1466" s="9">
        <v>60</v>
      </c>
      <c r="G1466" s="9">
        <v>647</v>
      </c>
      <c r="H1466" s="5" t="s">
        <v>20</v>
      </c>
      <c r="I1466" s="5" t="s">
        <v>3686</v>
      </c>
      <c r="J1466" s="12" t="str">
        <f>HYPERLINK("https://www.boe.es/gazeta/dias/1805/07/26/pdfs/GMD-1805-60.pdf#page=11","Abrir facsímil")</f>
        <v>Abrir facsímil</v>
      </c>
      <c r="K1466" s="15" t="s">
        <v>22</v>
      </c>
    </row>
    <row r="1467" spans="1:11" ht="42" customHeight="1">
      <c r="A1467" s="4" t="s">
        <v>3687</v>
      </c>
      <c r="B1467" s="5" t="s">
        <v>3688</v>
      </c>
      <c r="C1467" s="5" t="s">
        <v>35</v>
      </c>
      <c r="D1467" s="5" t="s">
        <v>36</v>
      </c>
      <c r="E1467" s="5" t="s">
        <v>273</v>
      </c>
      <c r="F1467" s="9">
        <v>8</v>
      </c>
      <c r="G1467" s="9">
        <v>88</v>
      </c>
      <c r="H1467" s="5" t="s">
        <v>20</v>
      </c>
      <c r="I1467" s="5" t="s">
        <v>3689</v>
      </c>
      <c r="J1467" s="12" t="str">
        <f>HYPERLINK("https://www.boe.es/gazeta/dias/1805/01/25/pdfs/GMD-1805-8.pdf#page=8","Abrir facsímil")</f>
        <v>Abrir facsímil</v>
      </c>
      <c r="K1467" s="15" t="s">
        <v>22</v>
      </c>
    </row>
    <row r="1468" spans="1:11" ht="42" customHeight="1">
      <c r="A1468" s="4" t="s">
        <v>3690</v>
      </c>
      <c r="B1468" s="5" t="s">
        <v>3691</v>
      </c>
      <c r="C1468" s="5" t="s">
        <v>35</v>
      </c>
      <c r="D1468" s="5" t="s">
        <v>36</v>
      </c>
      <c r="E1468" s="5" t="s">
        <v>456</v>
      </c>
      <c r="F1468" s="9">
        <v>70</v>
      </c>
      <c r="G1468" s="9">
        <v>746</v>
      </c>
      <c r="H1468" s="5" t="s">
        <v>20</v>
      </c>
      <c r="I1468" s="5" t="s">
        <v>3692</v>
      </c>
      <c r="J1468" s="12" t="str">
        <f>HYPERLINK("https://www.boe.es/gazeta/dias/1805/08/30/pdfs/GMD-1805-70.pdf#page=6","Abrir facsímil")</f>
        <v>Abrir facsímil</v>
      </c>
      <c r="K1468" s="15" t="s">
        <v>22</v>
      </c>
    </row>
    <row r="1469" spans="1:11" ht="42" customHeight="1">
      <c r="A1469" s="4" t="s">
        <v>3693</v>
      </c>
      <c r="B1469" s="5" t="s">
        <v>3694</v>
      </c>
      <c r="C1469" s="5" t="s">
        <v>35</v>
      </c>
      <c r="D1469" s="5" t="s">
        <v>36</v>
      </c>
      <c r="E1469" s="5" t="s">
        <v>456</v>
      </c>
      <c r="F1469" s="9">
        <v>70</v>
      </c>
      <c r="G1469" s="9">
        <v>747</v>
      </c>
      <c r="H1469" s="5" t="s">
        <v>20</v>
      </c>
      <c r="I1469" s="5" t="s">
        <v>3695</v>
      </c>
      <c r="J1469" s="12" t="str">
        <f>HYPERLINK("https://www.boe.es/gazeta/dias/1805/08/30/pdfs/GMD-1805-70.pdf#page=7","Abrir facsímil")</f>
        <v>Abrir facsímil</v>
      </c>
      <c r="K1469" s="15" t="s">
        <v>22</v>
      </c>
    </row>
    <row r="1470" spans="1:11" ht="42" customHeight="1">
      <c r="A1470" s="4" t="s">
        <v>3696</v>
      </c>
      <c r="B1470" s="5" t="s">
        <v>3697</v>
      </c>
      <c r="C1470" s="5" t="s">
        <v>35</v>
      </c>
      <c r="D1470" s="5" t="s">
        <v>36</v>
      </c>
      <c r="E1470" s="5" t="s">
        <v>200</v>
      </c>
      <c r="F1470" s="9">
        <v>91</v>
      </c>
      <c r="G1470" s="9">
        <v>977</v>
      </c>
      <c r="H1470" s="5" t="s">
        <v>20</v>
      </c>
      <c r="I1470" s="5" t="s">
        <v>3698</v>
      </c>
      <c r="J1470" s="12" t="str">
        <f>HYPERLINK("https://www.boe.es/gazeta/dias/1805/11/12/pdfs/GMD-1805-91.pdf#page=9","Abrir facsímil")</f>
        <v>Abrir facsímil</v>
      </c>
      <c r="K1470" s="15" t="s">
        <v>22</v>
      </c>
    </row>
    <row r="1471" spans="1:11" ht="42" customHeight="1">
      <c r="A1471" s="4" t="s">
        <v>3699</v>
      </c>
      <c r="B1471" s="5" t="s">
        <v>3700</v>
      </c>
      <c r="C1471" s="5" t="s">
        <v>35</v>
      </c>
      <c r="D1471" s="5" t="s">
        <v>36</v>
      </c>
      <c r="E1471" s="5" t="s">
        <v>192</v>
      </c>
      <c r="F1471" s="9">
        <v>105</v>
      </c>
      <c r="G1471" s="9">
        <v>1137</v>
      </c>
      <c r="H1471" s="5" t="s">
        <v>20</v>
      </c>
      <c r="I1471" s="5" t="s">
        <v>3701</v>
      </c>
      <c r="J1471" s="12" t="str">
        <f>HYPERLINK("https://www.boe.es/gazeta/dias/1805/12/31/pdfs/GMD-1805-105.pdf#page=9","Abrir facsímil")</f>
        <v>Abrir facsímil</v>
      </c>
      <c r="K1471" s="15" t="s">
        <v>22</v>
      </c>
    </row>
    <row r="1472" spans="1:11" ht="42" customHeight="1">
      <c r="A1472" s="4" t="s">
        <v>3702</v>
      </c>
      <c r="B1472" s="5" t="s">
        <v>3703</v>
      </c>
      <c r="C1472" s="5" t="s">
        <v>35</v>
      </c>
      <c r="D1472" s="5" t="s">
        <v>36</v>
      </c>
      <c r="E1472" s="5" t="s">
        <v>506</v>
      </c>
      <c r="F1472" s="9">
        <v>80</v>
      </c>
      <c r="G1472" s="9">
        <v>849</v>
      </c>
      <c r="H1472" s="5" t="s">
        <v>20</v>
      </c>
      <c r="I1472" s="5" t="s">
        <v>3704</v>
      </c>
      <c r="J1472" s="12" t="str">
        <f>HYPERLINK("https://www.boe.es/gazeta/dias/1805/10/04/pdfs/GMD-1805-80.pdf#page=9","Abrir facsímil")</f>
        <v>Abrir facsímil</v>
      </c>
      <c r="K1472" s="15" t="s">
        <v>22</v>
      </c>
    </row>
    <row r="1473" spans="1:11" ht="42" customHeight="1">
      <c r="A1473" s="4" t="s">
        <v>3705</v>
      </c>
      <c r="B1473" s="5" t="s">
        <v>3706</v>
      </c>
      <c r="C1473" s="5" t="s">
        <v>35</v>
      </c>
      <c r="D1473" s="5" t="s">
        <v>36</v>
      </c>
      <c r="E1473" s="5" t="s">
        <v>886</v>
      </c>
      <c r="F1473" s="9">
        <v>93</v>
      </c>
      <c r="G1473" s="9">
        <v>993</v>
      </c>
      <c r="H1473" s="5" t="s">
        <v>20</v>
      </c>
      <c r="I1473" s="5" t="s">
        <v>3707</v>
      </c>
      <c r="J1473" s="12" t="str">
        <f>HYPERLINK("https://www.boe.es/gazeta/dias/1805/11/19/pdfs/GMD-1805-93.pdf#page=5","Abrir facsímil")</f>
        <v>Abrir facsímil</v>
      </c>
      <c r="K1473" s="15" t="s">
        <v>22</v>
      </c>
    </row>
    <row r="1474" spans="1:11" ht="42" customHeight="1">
      <c r="A1474" s="4" t="s">
        <v>3708</v>
      </c>
      <c r="B1474" s="5" t="s">
        <v>3709</v>
      </c>
      <c r="C1474" s="5" t="s">
        <v>35</v>
      </c>
      <c r="D1474" s="5" t="s">
        <v>36</v>
      </c>
      <c r="E1474" s="5" t="s">
        <v>59</v>
      </c>
      <c r="F1474" s="9">
        <v>21</v>
      </c>
      <c r="G1474" s="9">
        <v>223</v>
      </c>
      <c r="H1474" s="5" t="s">
        <v>20</v>
      </c>
      <c r="I1474" s="5" t="s">
        <v>3710</v>
      </c>
      <c r="J1474" s="12" t="str">
        <f>HYPERLINK("https://www.boe.es/gazeta/dias/1805/03/12/pdfs/GMD-1805-21.pdf#page=11","Abrir facsímil")</f>
        <v>Abrir facsímil</v>
      </c>
      <c r="K1474" s="15" t="s">
        <v>22</v>
      </c>
    </row>
    <row r="1475" spans="1:11" ht="42" customHeight="1">
      <c r="A1475" s="4" t="s">
        <v>3711</v>
      </c>
      <c r="B1475" s="5" t="s">
        <v>3712</v>
      </c>
      <c r="C1475" s="5" t="s">
        <v>17</v>
      </c>
      <c r="D1475" s="5" t="s">
        <v>18</v>
      </c>
      <c r="E1475" s="5" t="s">
        <v>729</v>
      </c>
      <c r="F1475" s="9">
        <v>61</v>
      </c>
      <c r="G1475" s="9">
        <v>655</v>
      </c>
      <c r="H1475" s="5" t="s">
        <v>20</v>
      </c>
      <c r="I1475" s="5" t="s">
        <v>3713</v>
      </c>
      <c r="J1475" s="12" t="str">
        <f>HYPERLINK("https://www.boe.es/gazeta/dias/1805/07/30/pdfs/GMD-1805-61.pdf#page=7","Abrir facsímil")</f>
        <v>Abrir facsímil</v>
      </c>
      <c r="K1475" s="15" t="s">
        <v>22</v>
      </c>
    </row>
    <row r="1476" spans="1:11" ht="42" customHeight="1">
      <c r="A1476" s="4" t="s">
        <v>3714</v>
      </c>
      <c r="B1476" s="5" t="s">
        <v>3715</v>
      </c>
      <c r="C1476" s="5" t="s">
        <v>35</v>
      </c>
      <c r="D1476" s="5" t="s">
        <v>36</v>
      </c>
      <c r="E1476" s="5" t="s">
        <v>300</v>
      </c>
      <c r="F1476" s="9">
        <v>81</v>
      </c>
      <c r="G1476" s="9">
        <v>858</v>
      </c>
      <c r="H1476" s="5" t="s">
        <v>20</v>
      </c>
      <c r="I1476" s="5" t="s">
        <v>3716</v>
      </c>
      <c r="J1476" s="12" t="str">
        <f>HYPERLINK("https://www.boe.es/gazeta/dias/1805/10/08/pdfs/GMD-1805-81.pdf#page=6","Abrir facsímil")</f>
        <v>Abrir facsímil</v>
      </c>
      <c r="K1476" s="15" t="s">
        <v>22</v>
      </c>
    </row>
    <row r="1477" spans="1:11" ht="42" customHeight="1">
      <c r="A1477" s="4" t="s">
        <v>3717</v>
      </c>
      <c r="B1477" s="5" t="s">
        <v>3718</v>
      </c>
      <c r="C1477" s="5" t="s">
        <v>29</v>
      </c>
      <c r="D1477" s="5" t="s">
        <v>30</v>
      </c>
      <c r="E1477" s="5" t="s">
        <v>138</v>
      </c>
      <c r="F1477" s="9">
        <v>102</v>
      </c>
      <c r="G1477" s="9">
        <v>1107</v>
      </c>
      <c r="H1477" s="5" t="s">
        <v>20</v>
      </c>
      <c r="I1477" s="5" t="s">
        <v>3719</v>
      </c>
      <c r="J1477" s="12" t="str">
        <f>HYPERLINK("https://www.boe.es/gazeta/dias/1805/12/20/pdfs/GMD-1805-102.pdf#page=11","Abrir facsímil")</f>
        <v>Abrir facsímil</v>
      </c>
      <c r="K1477" s="15" t="s">
        <v>22</v>
      </c>
    </row>
    <row r="1478" spans="1:11" ht="42" customHeight="1">
      <c r="A1478" s="4" t="s">
        <v>3720</v>
      </c>
      <c r="B1478" s="5" t="s">
        <v>3721</v>
      </c>
      <c r="C1478" s="5" t="s">
        <v>29</v>
      </c>
      <c r="D1478" s="5" t="s">
        <v>30</v>
      </c>
      <c r="E1478" s="5" t="s">
        <v>281</v>
      </c>
      <c r="F1478" s="9">
        <v>15</v>
      </c>
      <c r="G1478" s="9">
        <v>160</v>
      </c>
      <c r="H1478" s="5" t="s">
        <v>20</v>
      </c>
      <c r="I1478" s="5" t="s">
        <v>3722</v>
      </c>
      <c r="J1478" s="12" t="str">
        <f>HYPERLINK("https://www.boe.es/gazeta/dias/1805/02/19/pdfs/GMD-1805-15.pdf#page=12","Abrir facsímil")</f>
        <v>Abrir facsímil</v>
      </c>
      <c r="K1478" s="15" t="s">
        <v>22</v>
      </c>
    </row>
    <row r="1479" spans="1:11" ht="42" customHeight="1">
      <c r="A1479" s="4" t="s">
        <v>3720</v>
      </c>
      <c r="B1479" s="5" t="s">
        <v>3721</v>
      </c>
      <c r="C1479" s="5" t="s">
        <v>29</v>
      </c>
      <c r="D1479" s="5" t="s">
        <v>30</v>
      </c>
      <c r="E1479" s="5" t="s">
        <v>471</v>
      </c>
      <c r="F1479" s="9">
        <v>22</v>
      </c>
      <c r="G1479" s="9">
        <v>235</v>
      </c>
      <c r="H1479" s="5" t="s">
        <v>20</v>
      </c>
      <c r="I1479" s="5" t="s">
        <v>3723</v>
      </c>
      <c r="J1479" s="12" t="str">
        <f>HYPERLINK("https://www.boe.es/gazeta/dias/1805/03/15/pdfs/GMD-1805-22.pdf#page=11","Abrir facsímil")</f>
        <v>Abrir facsímil</v>
      </c>
      <c r="K1479" s="15" t="s">
        <v>22</v>
      </c>
    </row>
    <row r="1480" spans="1:11" ht="42" customHeight="1">
      <c r="A1480" s="4" t="s">
        <v>3720</v>
      </c>
      <c r="B1480" s="5" t="s">
        <v>3721</v>
      </c>
      <c r="C1480" s="5" t="s">
        <v>17</v>
      </c>
      <c r="D1480" s="5" t="s">
        <v>18</v>
      </c>
      <c r="E1480" s="5" t="s">
        <v>1432</v>
      </c>
      <c r="F1480" s="9">
        <v>53</v>
      </c>
      <c r="G1480" s="9">
        <v>571</v>
      </c>
      <c r="H1480" s="5" t="s">
        <v>20</v>
      </c>
      <c r="I1480" s="5" t="s">
        <v>3724</v>
      </c>
      <c r="J1480" s="12" t="str">
        <f>HYPERLINK("https://www.boe.es/gazeta/dias/1805/07/02/pdfs/GMD-1805-53.pdf#page=7","Abrir facsímil")</f>
        <v>Abrir facsímil</v>
      </c>
      <c r="K1480" s="15" t="s">
        <v>22</v>
      </c>
    </row>
    <row r="1481" spans="1:11" ht="42" customHeight="1">
      <c r="A1481" s="4" t="s">
        <v>3725</v>
      </c>
      <c r="B1481" s="5" t="s">
        <v>3726</v>
      </c>
      <c r="C1481" s="5" t="s">
        <v>35</v>
      </c>
      <c r="D1481" s="5" t="s">
        <v>36</v>
      </c>
      <c r="E1481" s="5" t="s">
        <v>44</v>
      </c>
      <c r="F1481" s="9">
        <v>29</v>
      </c>
      <c r="G1481" s="9">
        <v>313</v>
      </c>
      <c r="H1481" s="5" t="s">
        <v>20</v>
      </c>
      <c r="I1481" s="5" t="s">
        <v>3727</v>
      </c>
      <c r="J1481" s="12" t="str">
        <f>HYPERLINK("https://www.boe.es/gazeta/dias/1805/04/09/pdfs/GMD-1805-29.pdf#page=9","Abrir facsímil")</f>
        <v>Abrir facsímil</v>
      </c>
      <c r="K1481" s="15" t="s">
        <v>22</v>
      </c>
    </row>
    <row r="1482" spans="1:11" ht="42" customHeight="1">
      <c r="A1482" s="4" t="s">
        <v>3728</v>
      </c>
      <c r="B1482" s="5" t="s">
        <v>3729</v>
      </c>
      <c r="C1482" s="5" t="s">
        <v>29</v>
      </c>
      <c r="D1482" s="5" t="s">
        <v>30</v>
      </c>
      <c r="E1482" s="5" t="s">
        <v>48</v>
      </c>
      <c r="F1482" s="9">
        <v>35</v>
      </c>
      <c r="G1482" s="9">
        <v>379</v>
      </c>
      <c r="H1482" s="5" t="s">
        <v>20</v>
      </c>
      <c r="I1482" s="5" t="s">
        <v>3730</v>
      </c>
      <c r="J1482" s="12" t="str">
        <f>HYPERLINK("https://www.boe.es/gazeta/dias/1805/04/30/pdfs/GMD-1805-35.pdf#page=11","Abrir facsímil")</f>
        <v>Abrir facsímil</v>
      </c>
      <c r="K1482" s="15" t="s">
        <v>22</v>
      </c>
    </row>
    <row r="1483" spans="1:11" ht="42" customHeight="1">
      <c r="A1483" s="4" t="s">
        <v>3731</v>
      </c>
      <c r="B1483" s="5" t="s">
        <v>3732</v>
      </c>
      <c r="C1483" s="5" t="s">
        <v>35</v>
      </c>
      <c r="D1483" s="5" t="s">
        <v>36</v>
      </c>
      <c r="E1483" s="5" t="s">
        <v>886</v>
      </c>
      <c r="F1483" s="9">
        <v>93</v>
      </c>
      <c r="G1483" s="9">
        <v>997</v>
      </c>
      <c r="H1483" s="5" t="s">
        <v>20</v>
      </c>
      <c r="I1483" s="5" t="s">
        <v>3733</v>
      </c>
      <c r="J1483" s="12" t="str">
        <f>HYPERLINK("https://www.boe.es/gazeta/dias/1805/11/19/pdfs/GMD-1805-93.pdf#page=9","Abrir facsímil")</f>
        <v>Abrir facsímil</v>
      </c>
      <c r="K1483" s="15" t="s">
        <v>22</v>
      </c>
    </row>
    <row r="1484" spans="1:11" ht="42" customHeight="1">
      <c r="A1484" s="4" t="s">
        <v>3734</v>
      </c>
      <c r="B1484" s="5" t="s">
        <v>3735</v>
      </c>
      <c r="C1484" s="5" t="s">
        <v>35</v>
      </c>
      <c r="D1484" s="5" t="s">
        <v>36</v>
      </c>
      <c r="E1484" s="5" t="s">
        <v>286</v>
      </c>
      <c r="F1484" s="9">
        <v>48</v>
      </c>
      <c r="G1484" s="9">
        <v>521</v>
      </c>
      <c r="H1484" s="5" t="s">
        <v>20</v>
      </c>
      <c r="I1484" s="5" t="s">
        <v>3736</v>
      </c>
      <c r="J1484" s="12" t="str">
        <f>HYPERLINK("https://www.boe.es/gazeta/dias/1805/06/14/pdfs/GMD-1805-48.pdf#page=9","Abrir facsímil")</f>
        <v>Abrir facsímil</v>
      </c>
      <c r="K1484" s="15" t="s">
        <v>22</v>
      </c>
    </row>
    <row r="1485" spans="1:11" ht="42" customHeight="1">
      <c r="A1485" s="4" t="s">
        <v>3734</v>
      </c>
      <c r="B1485" s="5" t="s">
        <v>3735</v>
      </c>
      <c r="C1485" s="5" t="s">
        <v>35</v>
      </c>
      <c r="D1485" s="5" t="s">
        <v>36</v>
      </c>
      <c r="E1485" s="5" t="s">
        <v>200</v>
      </c>
      <c r="F1485" s="9">
        <v>91</v>
      </c>
      <c r="G1485" s="9">
        <v>977</v>
      </c>
      <c r="H1485" s="5" t="s">
        <v>20</v>
      </c>
      <c r="I1485" s="5" t="s">
        <v>3737</v>
      </c>
      <c r="J1485" s="12" t="str">
        <f>HYPERLINK("https://www.boe.es/gazeta/dias/1805/11/12/pdfs/GMD-1805-91.pdf#page=9","Abrir facsímil")</f>
        <v>Abrir facsímil</v>
      </c>
      <c r="K1485" s="15" t="s">
        <v>22</v>
      </c>
    </row>
    <row r="1486" spans="1:11" ht="42" customHeight="1">
      <c r="A1486" s="4" t="s">
        <v>3738</v>
      </c>
      <c r="B1486" s="5" t="s">
        <v>3739</v>
      </c>
      <c r="C1486" s="5" t="s">
        <v>85</v>
      </c>
      <c r="D1486" s="5" t="s">
        <v>86</v>
      </c>
      <c r="E1486" s="5" t="s">
        <v>335</v>
      </c>
      <c r="F1486" s="9">
        <v>79</v>
      </c>
      <c r="G1486" s="9">
        <v>838</v>
      </c>
      <c r="H1486" s="5" t="s">
        <v>20</v>
      </c>
      <c r="I1486" s="5" t="s">
        <v>3740</v>
      </c>
      <c r="J1486" s="12" t="str">
        <f>HYPERLINK("https://www.boe.es/gazeta/dias/1805/10/01/pdfs/GMD-1805-79.pdf#page=10","Abrir facsímil")</f>
        <v>Abrir facsímil</v>
      </c>
      <c r="K1486" s="15" t="s">
        <v>22</v>
      </c>
    </row>
    <row r="1487" spans="1:11" ht="42" customHeight="1">
      <c r="A1487" s="4" t="s">
        <v>3741</v>
      </c>
      <c r="B1487" s="5" t="s">
        <v>3742</v>
      </c>
      <c r="C1487" s="5" t="s">
        <v>35</v>
      </c>
      <c r="D1487" s="5" t="s">
        <v>36</v>
      </c>
      <c r="E1487" s="5" t="s">
        <v>148</v>
      </c>
      <c r="F1487" s="9">
        <v>50</v>
      </c>
      <c r="G1487" s="9">
        <v>541</v>
      </c>
      <c r="H1487" s="5" t="s">
        <v>20</v>
      </c>
      <c r="I1487" s="5" t="s">
        <v>3743</v>
      </c>
      <c r="J1487" s="12" t="str">
        <f>HYPERLINK("https://www.boe.es/gazeta/dias/1805/06/21/pdfs/GMD-1805-50.pdf#page=9","Abrir facsímil")</f>
        <v>Abrir facsímil</v>
      </c>
      <c r="K1487" s="15" t="s">
        <v>22</v>
      </c>
    </row>
    <row r="1488" spans="1:11" ht="42" customHeight="1">
      <c r="A1488" s="4" t="s">
        <v>3744</v>
      </c>
      <c r="B1488" s="5" t="s">
        <v>3745</v>
      </c>
      <c r="C1488" s="5" t="s">
        <v>52</v>
      </c>
      <c r="D1488" s="5" t="s">
        <v>53</v>
      </c>
      <c r="E1488" s="5" t="s">
        <v>144</v>
      </c>
      <c r="F1488" s="9">
        <v>85</v>
      </c>
      <c r="G1488" s="9" t="s">
        <v>772</v>
      </c>
      <c r="H1488" s="5" t="s">
        <v>20</v>
      </c>
      <c r="I1488" s="5" t="s">
        <v>3746</v>
      </c>
      <c r="J1488" s="12" t="str">
        <f>HYPERLINK("https://www.boe.es/gazeta/dias/1805/10/22/pdfs/GMD-C-1805-85.pdf#page=6","Abrir facsímil")</f>
        <v>Abrir facsímil</v>
      </c>
      <c r="K1488" s="15" t="s">
        <v>22</v>
      </c>
    </row>
    <row r="1489" spans="1:11" ht="42" customHeight="1">
      <c r="A1489" s="4" t="s">
        <v>3747</v>
      </c>
      <c r="B1489" s="5" t="s">
        <v>3748</v>
      </c>
      <c r="C1489" s="5" t="s">
        <v>17</v>
      </c>
      <c r="D1489" s="5" t="s">
        <v>18</v>
      </c>
      <c r="E1489" s="5" t="s">
        <v>567</v>
      </c>
      <c r="F1489" s="9">
        <v>49</v>
      </c>
      <c r="G1489" s="9">
        <v>530</v>
      </c>
      <c r="H1489" s="5" t="s">
        <v>20</v>
      </c>
      <c r="I1489" s="5" t="s">
        <v>3749</v>
      </c>
      <c r="J1489" s="12" t="str">
        <f>HYPERLINK("https://www.boe.es/gazeta/dias/1805/06/18/pdfs/GMD-1805-49.pdf#page=6","Abrir facsímil")</f>
        <v>Abrir facsímil</v>
      </c>
      <c r="K1489" s="15" t="s">
        <v>22</v>
      </c>
    </row>
    <row r="1490" spans="1:11" ht="42" customHeight="1">
      <c r="A1490" s="4" t="s">
        <v>3750</v>
      </c>
      <c r="B1490" s="5" t="s">
        <v>3751</v>
      </c>
      <c r="C1490" s="5" t="s">
        <v>184</v>
      </c>
      <c r="D1490" s="5" t="s">
        <v>86</v>
      </c>
      <c r="E1490" s="5" t="s">
        <v>567</v>
      </c>
      <c r="F1490" s="9">
        <v>49</v>
      </c>
      <c r="G1490" s="9">
        <v>530</v>
      </c>
      <c r="H1490" s="5" t="s">
        <v>20</v>
      </c>
      <c r="I1490" s="5" t="s">
        <v>3752</v>
      </c>
      <c r="J1490" s="12" t="str">
        <f>HYPERLINK("https://www.boe.es/gazeta/dias/1805/06/18/pdfs/GMD-1805-49.pdf#page=6","Abrir facsímil")</f>
        <v>Abrir facsímil</v>
      </c>
      <c r="K1490" s="15" t="s">
        <v>22</v>
      </c>
    </row>
    <row r="1491" spans="1:11" ht="42" customHeight="1">
      <c r="A1491" s="4" t="s">
        <v>3753</v>
      </c>
      <c r="B1491" s="5" t="s">
        <v>3754</v>
      </c>
      <c r="C1491" s="5" t="s">
        <v>17</v>
      </c>
      <c r="D1491" s="5" t="s">
        <v>18</v>
      </c>
      <c r="E1491" s="5" t="s">
        <v>393</v>
      </c>
      <c r="F1491" s="9">
        <v>44</v>
      </c>
      <c r="G1491" s="9">
        <v>474</v>
      </c>
      <c r="H1491" s="5" t="s">
        <v>20</v>
      </c>
      <c r="I1491" s="5" t="s">
        <v>3755</v>
      </c>
      <c r="J1491" s="12" t="str">
        <f>HYPERLINK("https://www.boe.es/gazeta/dias/1805/05/31/pdfs/GMD-1805-44.pdf#page=10","Abrir facsímil")</f>
        <v>Abrir facsímil</v>
      </c>
      <c r="K1491" s="15" t="s">
        <v>22</v>
      </c>
    </row>
    <row r="1492" spans="1:11" ht="42" customHeight="1">
      <c r="A1492" s="4" t="s">
        <v>3753</v>
      </c>
      <c r="B1492" s="5" t="s">
        <v>3754</v>
      </c>
      <c r="C1492" s="5" t="s">
        <v>17</v>
      </c>
      <c r="D1492" s="5" t="s">
        <v>18</v>
      </c>
      <c r="E1492" s="5" t="s">
        <v>1022</v>
      </c>
      <c r="F1492" s="9">
        <v>52</v>
      </c>
      <c r="G1492" s="9">
        <v>561</v>
      </c>
      <c r="H1492" s="5" t="s">
        <v>20</v>
      </c>
      <c r="I1492" s="5" t="s">
        <v>3756</v>
      </c>
      <c r="J1492" s="12" t="str">
        <f>HYPERLINK("https://www.boe.es/gazeta/dias/1805/06/28/pdfs/GMD-1805-52.pdf#page=9","Abrir facsímil")</f>
        <v>Abrir facsímil</v>
      </c>
      <c r="K1492" s="15" t="s">
        <v>22</v>
      </c>
    </row>
    <row r="1493" spans="1:11" ht="42" customHeight="1">
      <c r="A1493" s="4" t="s">
        <v>3753</v>
      </c>
      <c r="B1493" s="5" t="s">
        <v>3754</v>
      </c>
      <c r="C1493" s="5" t="s">
        <v>35</v>
      </c>
      <c r="D1493" s="5" t="s">
        <v>36</v>
      </c>
      <c r="E1493" s="5" t="s">
        <v>645</v>
      </c>
      <c r="F1493" s="9">
        <v>55</v>
      </c>
      <c r="G1493" s="9">
        <v>592</v>
      </c>
      <c r="H1493" s="5" t="s">
        <v>20</v>
      </c>
      <c r="I1493" s="5" t="s">
        <v>3757</v>
      </c>
      <c r="J1493" s="12" t="str">
        <f>HYPERLINK("https://www.boe.es/gazeta/dias/1805/07/09/pdfs/GMD-C-1805-55.pdf#page=4","Abrir facsímil")</f>
        <v>Abrir facsímil</v>
      </c>
      <c r="K1493" s="15" t="s">
        <v>22</v>
      </c>
    </row>
    <row r="1494" spans="1:11" ht="42" customHeight="1">
      <c r="A1494" s="4" t="s">
        <v>3753</v>
      </c>
      <c r="B1494" s="5" t="s">
        <v>3754</v>
      </c>
      <c r="C1494" s="5" t="s">
        <v>17</v>
      </c>
      <c r="D1494" s="5" t="s">
        <v>18</v>
      </c>
      <c r="E1494" s="5" t="s">
        <v>426</v>
      </c>
      <c r="F1494" s="9">
        <v>75</v>
      </c>
      <c r="G1494" s="9">
        <v>797</v>
      </c>
      <c r="H1494" s="5" t="s">
        <v>20</v>
      </c>
      <c r="I1494" s="5" t="s">
        <v>3758</v>
      </c>
      <c r="J1494" s="12" t="str">
        <f>HYPERLINK("https://www.boe.es/gazeta/dias/1805/09/17/pdfs/GMD-1805-75.pdf#page=9","Abrir facsímil")</f>
        <v>Abrir facsímil</v>
      </c>
      <c r="K1494" s="15" t="s">
        <v>22</v>
      </c>
    </row>
    <row r="1495" spans="1:11" ht="42" customHeight="1">
      <c r="A1495" s="4" t="s">
        <v>3759</v>
      </c>
      <c r="B1495" s="5" t="s">
        <v>3760</v>
      </c>
      <c r="C1495" s="5" t="s">
        <v>29</v>
      </c>
      <c r="D1495" s="5" t="s">
        <v>30</v>
      </c>
      <c r="E1495" s="5" t="s">
        <v>213</v>
      </c>
      <c r="F1495" s="9">
        <v>56</v>
      </c>
      <c r="G1495" s="9">
        <v>603</v>
      </c>
      <c r="H1495" s="5" t="s">
        <v>20</v>
      </c>
      <c r="I1495" s="5" t="s">
        <v>3761</v>
      </c>
      <c r="J1495" s="12" t="str">
        <f>HYPERLINK("https://www.boe.es/gazeta/dias/1805/07/12/pdfs/GMD-1805-56.pdf#page=11","Abrir facsímil")</f>
        <v>Abrir facsímil</v>
      </c>
      <c r="K1495" s="15" t="s">
        <v>22</v>
      </c>
    </row>
    <row r="1496" spans="1:11" ht="42" customHeight="1">
      <c r="A1496" s="4" t="s">
        <v>3762</v>
      </c>
      <c r="B1496" s="5" t="s">
        <v>3763</v>
      </c>
      <c r="C1496" s="5" t="s">
        <v>35</v>
      </c>
      <c r="D1496" s="5" t="s">
        <v>36</v>
      </c>
      <c r="E1496" s="5" t="s">
        <v>711</v>
      </c>
      <c r="F1496" s="9">
        <v>63</v>
      </c>
      <c r="G1496" s="9">
        <v>673</v>
      </c>
      <c r="H1496" s="5" t="s">
        <v>20</v>
      </c>
      <c r="I1496" s="5" t="s">
        <v>3764</v>
      </c>
      <c r="J1496" s="12" t="str">
        <f>HYPERLINK("https://www.boe.es/gazeta/dias/1805/08/06/pdfs/GMD-1805-63.pdf#page=9","Abrir facsímil")</f>
        <v>Abrir facsímil</v>
      </c>
      <c r="K1496" s="15" t="s">
        <v>22</v>
      </c>
    </row>
    <row r="1497" spans="1:11" ht="42" customHeight="1">
      <c r="A1497" s="4" t="s">
        <v>3765</v>
      </c>
      <c r="B1497" s="5" t="s">
        <v>3766</v>
      </c>
      <c r="C1497" s="5" t="s">
        <v>17</v>
      </c>
      <c r="D1497" s="5" t="s">
        <v>18</v>
      </c>
      <c r="E1497" s="5" t="s">
        <v>132</v>
      </c>
      <c r="F1497" s="9">
        <v>2</v>
      </c>
      <c r="G1497" s="9">
        <v>21</v>
      </c>
      <c r="H1497" s="5" t="s">
        <v>20</v>
      </c>
      <c r="I1497" s="5" t="s">
        <v>3767</v>
      </c>
      <c r="J1497" s="12" t="str">
        <f>HYPERLINK("https://www.boe.es/gazeta/dias/1805/01/04/pdfs/GMD-1805-2.pdf#page=9","Abrir facsímil")</f>
        <v>Abrir facsímil</v>
      </c>
      <c r="K1497" s="15" t="s">
        <v>22</v>
      </c>
    </row>
    <row r="1498" spans="1:11" ht="42" customHeight="1">
      <c r="A1498" s="4" t="s">
        <v>3768</v>
      </c>
      <c r="B1498" s="5" t="s">
        <v>3769</v>
      </c>
      <c r="C1498" s="5" t="s">
        <v>29</v>
      </c>
      <c r="D1498" s="5" t="s">
        <v>30</v>
      </c>
      <c r="E1498" s="5" t="s">
        <v>1022</v>
      </c>
      <c r="F1498" s="9">
        <v>52</v>
      </c>
      <c r="G1498" s="9">
        <v>563</v>
      </c>
      <c r="H1498" s="5" t="s">
        <v>20</v>
      </c>
      <c r="I1498" s="5" t="s">
        <v>3770</v>
      </c>
      <c r="J1498" s="12" t="str">
        <f>HYPERLINK("https://www.boe.es/gazeta/dias/1805/06/28/pdfs/GMD-1805-52.pdf#page=11","Abrir facsímil")</f>
        <v>Abrir facsímil</v>
      </c>
      <c r="K1498" s="15" t="s">
        <v>22</v>
      </c>
    </row>
    <row r="1499" spans="1:11" ht="42" customHeight="1">
      <c r="A1499" s="4" t="s">
        <v>3771</v>
      </c>
      <c r="B1499" s="5" t="s">
        <v>3772</v>
      </c>
      <c r="C1499" s="5" t="s">
        <v>35</v>
      </c>
      <c r="D1499" s="5" t="s">
        <v>36</v>
      </c>
      <c r="E1499" s="5" t="s">
        <v>293</v>
      </c>
      <c r="F1499" s="9">
        <v>5</v>
      </c>
      <c r="G1499" s="9">
        <v>55</v>
      </c>
      <c r="H1499" s="5" t="s">
        <v>20</v>
      </c>
      <c r="I1499" s="5" t="s">
        <v>3773</v>
      </c>
      <c r="J1499" s="12" t="str">
        <f>HYPERLINK("https://www.boe.es/gazeta/dias/1805/01/15/pdfs/GMD-1805-5.pdf#page=11","Abrir facsímil")</f>
        <v>Abrir facsímil</v>
      </c>
      <c r="K1499" s="15" t="s">
        <v>22</v>
      </c>
    </row>
    <row r="1500" spans="1:11" ht="42" customHeight="1">
      <c r="A1500" s="4" t="s">
        <v>3771</v>
      </c>
      <c r="B1500" s="5" t="s">
        <v>3772</v>
      </c>
      <c r="C1500" s="5" t="s">
        <v>29</v>
      </c>
      <c r="D1500" s="5" t="s">
        <v>30</v>
      </c>
      <c r="E1500" s="5" t="s">
        <v>958</v>
      </c>
      <c r="F1500" s="9">
        <v>58</v>
      </c>
      <c r="G1500" s="9">
        <v>622</v>
      </c>
      <c r="H1500" s="5" t="s">
        <v>20</v>
      </c>
      <c r="I1500" s="5" t="s">
        <v>3774</v>
      </c>
      <c r="J1500" s="12" t="str">
        <f>HYPERLINK("https://www.boe.es/gazeta/dias/1805/07/19/pdfs/GMD-1805-58.pdf#page=6","Abrir facsímil")</f>
        <v>Abrir facsímil</v>
      </c>
      <c r="K1500" s="15" t="s">
        <v>22</v>
      </c>
    </row>
    <row r="1501" spans="1:11" ht="42" customHeight="1">
      <c r="A1501" s="4" t="s">
        <v>3771</v>
      </c>
      <c r="B1501" s="5" t="s">
        <v>3772</v>
      </c>
      <c r="C1501" s="5" t="s">
        <v>35</v>
      </c>
      <c r="D1501" s="5" t="s">
        <v>36</v>
      </c>
      <c r="E1501" s="5" t="s">
        <v>76</v>
      </c>
      <c r="F1501" s="9">
        <v>66</v>
      </c>
      <c r="G1501" s="9">
        <v>711</v>
      </c>
      <c r="H1501" s="5" t="s">
        <v>20</v>
      </c>
      <c r="I1501" s="5" t="s">
        <v>3775</v>
      </c>
      <c r="J1501" s="12" t="str">
        <f>HYPERLINK("https://www.boe.es/gazeta/dias/1805/08/16/pdfs/GMD-1805-66.pdf#page=11","Abrir facsímil")</f>
        <v>Abrir facsímil</v>
      </c>
      <c r="K1501" s="15" t="s">
        <v>22</v>
      </c>
    </row>
    <row r="1502" spans="1:11" ht="42" customHeight="1">
      <c r="A1502" s="4" t="s">
        <v>3771</v>
      </c>
      <c r="B1502" s="5" t="s">
        <v>3772</v>
      </c>
      <c r="C1502" s="5" t="s">
        <v>35</v>
      </c>
      <c r="D1502" s="5" t="s">
        <v>36</v>
      </c>
      <c r="E1502" s="5" t="s">
        <v>207</v>
      </c>
      <c r="F1502" s="9">
        <v>76</v>
      </c>
      <c r="G1502" s="9">
        <v>807</v>
      </c>
      <c r="H1502" s="5" t="s">
        <v>20</v>
      </c>
      <c r="I1502" s="5" t="s">
        <v>3776</v>
      </c>
      <c r="J1502" s="12" t="str">
        <f>HYPERLINK("https://www.boe.es/gazeta/dias/1805/09/20/pdfs/GMD-1805-76.pdf#page=7","Abrir facsímil")</f>
        <v>Abrir facsímil</v>
      </c>
      <c r="K1502" s="15" t="s">
        <v>22</v>
      </c>
    </row>
    <row r="1503" spans="1:11" ht="42" customHeight="1">
      <c r="A1503" s="4" t="s">
        <v>3777</v>
      </c>
      <c r="B1503" s="5" t="s">
        <v>3778</v>
      </c>
      <c r="C1503" s="5" t="s">
        <v>35</v>
      </c>
      <c r="D1503" s="5" t="s">
        <v>36</v>
      </c>
      <c r="E1503" s="5" t="s">
        <v>170</v>
      </c>
      <c r="F1503" s="9">
        <v>9</v>
      </c>
      <c r="G1503" s="9">
        <v>102</v>
      </c>
      <c r="H1503" s="5" t="s">
        <v>20</v>
      </c>
      <c r="I1503" s="5" t="s">
        <v>3779</v>
      </c>
      <c r="J1503" s="12" t="str">
        <f>HYPERLINK("https://www.boe.es/gazeta/dias/1805/01/29/pdfs/GMD-1805-9.pdf#page=10","Abrir facsímil")</f>
        <v>Abrir facsímil</v>
      </c>
      <c r="K1503" s="15" t="s">
        <v>22</v>
      </c>
    </row>
    <row r="1504" spans="1:11" ht="42" customHeight="1">
      <c r="A1504" s="4" t="s">
        <v>3780</v>
      </c>
      <c r="B1504" s="5" t="s">
        <v>3781</v>
      </c>
      <c r="C1504" s="5" t="s">
        <v>35</v>
      </c>
      <c r="D1504" s="5" t="s">
        <v>36</v>
      </c>
      <c r="E1504" s="5" t="s">
        <v>148</v>
      </c>
      <c r="F1504" s="9">
        <v>50</v>
      </c>
      <c r="G1504" s="9">
        <v>542</v>
      </c>
      <c r="H1504" s="5" t="s">
        <v>20</v>
      </c>
      <c r="I1504" s="5" t="s">
        <v>3782</v>
      </c>
      <c r="J1504" s="12" t="str">
        <f>HYPERLINK("https://www.boe.es/gazeta/dias/1805/06/21/pdfs/GMD-1805-50.pdf#page=10","Abrir facsímil")</f>
        <v>Abrir facsímil</v>
      </c>
      <c r="K1504" s="15" t="s">
        <v>22</v>
      </c>
    </row>
    <row r="1505" spans="1:11" ht="42" customHeight="1">
      <c r="A1505" s="4" t="s">
        <v>3780</v>
      </c>
      <c r="B1505" s="5" t="s">
        <v>3781</v>
      </c>
      <c r="C1505" s="5" t="s">
        <v>35</v>
      </c>
      <c r="D1505" s="5" t="s">
        <v>36</v>
      </c>
      <c r="E1505" s="5" t="s">
        <v>215</v>
      </c>
      <c r="F1505" s="9">
        <v>87</v>
      </c>
      <c r="G1505" s="9">
        <v>928</v>
      </c>
      <c r="H1505" s="5" t="s">
        <v>20</v>
      </c>
      <c r="I1505" s="5" t="s">
        <v>3783</v>
      </c>
      <c r="J1505" s="12" t="str">
        <f>HYPERLINK("https://www.boe.es/gazeta/dias/1805/10/29/pdfs/GMD-1805-87.pdf#page=12","Abrir facsímil")</f>
        <v>Abrir facsímil</v>
      </c>
      <c r="K1505" s="15" t="s">
        <v>22</v>
      </c>
    </row>
    <row r="1506" spans="1:11" ht="42" customHeight="1">
      <c r="A1506" s="4" t="s">
        <v>3780</v>
      </c>
      <c r="B1506" s="5" t="s">
        <v>3781</v>
      </c>
      <c r="C1506" s="5" t="s">
        <v>35</v>
      </c>
      <c r="D1506" s="5" t="s">
        <v>36</v>
      </c>
      <c r="E1506" s="5" t="s">
        <v>181</v>
      </c>
      <c r="F1506" s="9">
        <v>90</v>
      </c>
      <c r="G1506" s="9">
        <v>965</v>
      </c>
      <c r="H1506" s="5" t="s">
        <v>20</v>
      </c>
      <c r="I1506" s="5" t="s">
        <v>3784</v>
      </c>
      <c r="J1506" s="12" t="str">
        <f>HYPERLINK("https://www.boe.es/gazeta/dias/1805/11/08/pdfs/GMD-1805-90.pdf#page=9","Abrir facsímil")</f>
        <v>Abrir facsímil</v>
      </c>
      <c r="K1506" s="15" t="s">
        <v>22</v>
      </c>
    </row>
    <row r="1507" spans="1:11" ht="42" customHeight="1">
      <c r="A1507" s="4" t="s">
        <v>3780</v>
      </c>
      <c r="B1507" s="5" t="s">
        <v>3781</v>
      </c>
      <c r="C1507" s="5" t="s">
        <v>35</v>
      </c>
      <c r="D1507" s="5" t="s">
        <v>36</v>
      </c>
      <c r="E1507" s="5" t="s">
        <v>54</v>
      </c>
      <c r="F1507" s="9">
        <v>99</v>
      </c>
      <c r="G1507" s="9">
        <v>1069</v>
      </c>
      <c r="H1507" s="5" t="s">
        <v>20</v>
      </c>
      <c r="I1507" s="5" t="s">
        <v>3785</v>
      </c>
      <c r="J1507" s="12" t="str">
        <f>HYPERLINK("https://www.boe.es/gazeta/dias/1805/12/10/pdfs/GMD-1805-99.pdf#page=9","Abrir facsímil")</f>
        <v>Abrir facsímil</v>
      </c>
      <c r="K1507" s="15" t="s">
        <v>22</v>
      </c>
    </row>
    <row r="1508" spans="1:11" ht="42" customHeight="1">
      <c r="A1508" s="4" t="s">
        <v>3786</v>
      </c>
      <c r="B1508" s="5" t="s">
        <v>3787</v>
      </c>
      <c r="C1508" s="5" t="s">
        <v>35</v>
      </c>
      <c r="D1508" s="5" t="s">
        <v>36</v>
      </c>
      <c r="E1508" s="5" t="s">
        <v>181</v>
      </c>
      <c r="F1508" s="9">
        <v>90</v>
      </c>
      <c r="G1508" s="9">
        <v>965</v>
      </c>
      <c r="H1508" s="5" t="s">
        <v>20</v>
      </c>
      <c r="I1508" s="5" t="s">
        <v>3788</v>
      </c>
      <c r="J1508" s="12" t="str">
        <f>HYPERLINK("https://www.boe.es/gazeta/dias/1805/11/08/pdfs/GMD-1805-90.pdf#page=9","Abrir facsímil")</f>
        <v>Abrir facsímil</v>
      </c>
      <c r="K1508" s="15" t="s">
        <v>22</v>
      </c>
    </row>
    <row r="1509" spans="1:11" ht="42" customHeight="1">
      <c r="A1509" s="4" t="s">
        <v>3789</v>
      </c>
      <c r="B1509" s="5" t="s">
        <v>3790</v>
      </c>
      <c r="C1509" s="5" t="s">
        <v>35</v>
      </c>
      <c r="D1509" s="5" t="s">
        <v>36</v>
      </c>
      <c r="E1509" s="5" t="s">
        <v>163</v>
      </c>
      <c r="F1509" s="9">
        <v>77</v>
      </c>
      <c r="G1509" s="9">
        <v>817</v>
      </c>
      <c r="H1509" s="5" t="s">
        <v>20</v>
      </c>
      <c r="I1509" s="5" t="s">
        <v>3791</v>
      </c>
      <c r="J1509" s="12" t="str">
        <f>HYPERLINK("https://www.boe.es/gazeta/dias/1805/09/24/pdfs/GMD-1805-77.pdf#page=9","Abrir facsímil")</f>
        <v>Abrir facsímil</v>
      </c>
      <c r="K1509" s="15" t="s">
        <v>22</v>
      </c>
    </row>
    <row r="1510" spans="1:11" ht="42" customHeight="1">
      <c r="A1510" s="4" t="s">
        <v>3792</v>
      </c>
      <c r="B1510" s="5" t="s">
        <v>3793</v>
      </c>
      <c r="C1510" s="5" t="s">
        <v>85</v>
      </c>
      <c r="D1510" s="5" t="s">
        <v>86</v>
      </c>
      <c r="E1510" s="5" t="s">
        <v>387</v>
      </c>
      <c r="F1510" s="9">
        <v>4</v>
      </c>
      <c r="G1510" s="9">
        <v>43</v>
      </c>
      <c r="H1510" s="5" t="s">
        <v>20</v>
      </c>
      <c r="I1510" s="5" t="s">
        <v>3794</v>
      </c>
      <c r="J1510" s="12" t="str">
        <f>HYPERLINK("https://www.boe.es/gazeta/dias/1805/01/11/pdfs/GMD-1805-4.pdf#page=11","Abrir facsímil")</f>
        <v>Abrir facsímil</v>
      </c>
      <c r="K1510" s="15" t="s">
        <v>22</v>
      </c>
    </row>
    <row r="1511" spans="1:11" ht="42" customHeight="1">
      <c r="A1511" s="4" t="s">
        <v>3795</v>
      </c>
      <c r="B1511" s="5" t="s">
        <v>3796</v>
      </c>
      <c r="C1511" s="5" t="s">
        <v>85</v>
      </c>
      <c r="D1511" s="5" t="s">
        <v>86</v>
      </c>
      <c r="E1511" s="5" t="s">
        <v>387</v>
      </c>
      <c r="F1511" s="9">
        <v>4</v>
      </c>
      <c r="G1511" s="9">
        <v>43</v>
      </c>
      <c r="H1511" s="5" t="s">
        <v>20</v>
      </c>
      <c r="I1511" s="5" t="s">
        <v>3797</v>
      </c>
      <c r="J1511" s="12" t="str">
        <f>HYPERLINK("https://www.boe.es/gazeta/dias/1805/01/11/pdfs/GMD-1805-4.pdf#page=11","Abrir facsímil")</f>
        <v>Abrir facsímil</v>
      </c>
      <c r="K1511" s="15" t="s">
        <v>22</v>
      </c>
    </row>
    <row r="1512" spans="1:11" ht="42" customHeight="1">
      <c r="A1512" s="4" t="s">
        <v>3798</v>
      </c>
      <c r="B1512" s="5" t="s">
        <v>3799</v>
      </c>
      <c r="C1512" s="5" t="s">
        <v>35</v>
      </c>
      <c r="D1512" s="5" t="s">
        <v>36</v>
      </c>
      <c r="E1512" s="5" t="s">
        <v>107</v>
      </c>
      <c r="F1512" s="9">
        <v>19</v>
      </c>
      <c r="G1512" s="9">
        <v>198</v>
      </c>
      <c r="H1512" s="5" t="s">
        <v>20</v>
      </c>
      <c r="I1512" s="5" t="s">
        <v>3800</v>
      </c>
      <c r="J1512" s="12" t="str">
        <f>HYPERLINK("https://www.boe.es/gazeta/dias/1805/03/05/pdfs/GMD-1805-19.pdf#page=10","Abrir facsímil")</f>
        <v>Abrir facsímil</v>
      </c>
      <c r="K1512" s="15" t="s">
        <v>22</v>
      </c>
    </row>
    <row r="1513" spans="1:11" ht="42" customHeight="1">
      <c r="A1513" s="4" t="s">
        <v>3801</v>
      </c>
      <c r="B1513" s="5" t="s">
        <v>3802</v>
      </c>
      <c r="C1513" s="5" t="s">
        <v>85</v>
      </c>
      <c r="D1513" s="5" t="s">
        <v>86</v>
      </c>
      <c r="E1513" s="5" t="s">
        <v>303</v>
      </c>
      <c r="F1513" s="9">
        <v>57</v>
      </c>
      <c r="G1513" s="9">
        <v>611</v>
      </c>
      <c r="H1513" s="5" t="s">
        <v>20</v>
      </c>
      <c r="I1513" s="5" t="s">
        <v>3803</v>
      </c>
      <c r="J1513" s="12" t="str">
        <f>HYPERLINK("https://www.boe.es/gazeta/dias/1805/07/16/pdfs/GMD-1805-57.pdf#page=7","Abrir facsímil")</f>
        <v>Abrir facsímil</v>
      </c>
      <c r="K1513" s="15" t="s">
        <v>22</v>
      </c>
    </row>
    <row r="1514" spans="1:11" ht="42" customHeight="1">
      <c r="A1514" s="4" t="s">
        <v>3804</v>
      </c>
      <c r="B1514" s="5" t="s">
        <v>3805</v>
      </c>
      <c r="C1514" s="5" t="s">
        <v>35</v>
      </c>
      <c r="D1514" s="5" t="s">
        <v>36</v>
      </c>
      <c r="E1514" s="5" t="s">
        <v>207</v>
      </c>
      <c r="F1514" s="9">
        <v>76</v>
      </c>
      <c r="G1514" s="9">
        <v>807</v>
      </c>
      <c r="H1514" s="5" t="s">
        <v>20</v>
      </c>
      <c r="I1514" s="5" t="s">
        <v>3806</v>
      </c>
      <c r="J1514" s="12" t="str">
        <f>HYPERLINK("https://www.boe.es/gazeta/dias/1805/09/20/pdfs/GMD-1805-76.pdf#page=7","Abrir facsímil")</f>
        <v>Abrir facsímil</v>
      </c>
      <c r="K1514" s="15" t="s">
        <v>22</v>
      </c>
    </row>
    <row r="1515" spans="1:11" ht="42" customHeight="1">
      <c r="A1515" s="4" t="s">
        <v>3807</v>
      </c>
      <c r="B1515" s="5" t="s">
        <v>3808</v>
      </c>
      <c r="C1515" s="5" t="s">
        <v>17</v>
      </c>
      <c r="D1515" s="5" t="s">
        <v>18</v>
      </c>
      <c r="E1515" s="5" t="s">
        <v>1221</v>
      </c>
      <c r="F1515" s="9">
        <v>41</v>
      </c>
      <c r="G1515" s="9">
        <v>442</v>
      </c>
      <c r="H1515" s="5" t="s">
        <v>20</v>
      </c>
      <c r="I1515" s="5" t="s">
        <v>3809</v>
      </c>
      <c r="J1515" s="12" t="str">
        <f>HYPERLINK("https://www.boe.es/gazeta/dias/1805/05/21/pdfs/GMD-1805-41.pdf#page=10","Abrir facsímil")</f>
        <v>Abrir facsímil</v>
      </c>
      <c r="K1515" s="15" t="s">
        <v>22</v>
      </c>
    </row>
    <row r="1516" spans="1:11" ht="42" customHeight="1">
      <c r="A1516" s="4" t="s">
        <v>3810</v>
      </c>
      <c r="B1516" s="5" t="s">
        <v>3811</v>
      </c>
      <c r="C1516" s="5" t="s">
        <v>17</v>
      </c>
      <c r="D1516" s="5" t="s">
        <v>18</v>
      </c>
      <c r="E1516" s="5" t="s">
        <v>207</v>
      </c>
      <c r="F1516" s="9">
        <v>76</v>
      </c>
      <c r="G1516" s="9">
        <v>807</v>
      </c>
      <c r="H1516" s="5" t="s">
        <v>20</v>
      </c>
      <c r="I1516" s="5" t="s">
        <v>3812</v>
      </c>
      <c r="J1516" s="12" t="str">
        <f>HYPERLINK("https://www.boe.es/gazeta/dias/1805/09/20/pdfs/GMD-1805-76.pdf#page=7","Abrir facsímil")</f>
        <v>Abrir facsímil</v>
      </c>
      <c r="K1516" s="15" t="s">
        <v>22</v>
      </c>
    </row>
    <row r="1517" spans="1:11" ht="42" customHeight="1">
      <c r="A1517" s="4" t="s">
        <v>3813</v>
      </c>
      <c r="B1517" s="5" t="s">
        <v>3814</v>
      </c>
      <c r="C1517" s="5" t="s">
        <v>17</v>
      </c>
      <c r="D1517" s="5" t="s">
        <v>18</v>
      </c>
      <c r="E1517" s="5" t="s">
        <v>138</v>
      </c>
      <c r="F1517" s="9">
        <v>102</v>
      </c>
      <c r="G1517" s="9">
        <v>1101</v>
      </c>
      <c r="H1517" s="5" t="s">
        <v>20</v>
      </c>
      <c r="I1517" s="5" t="s">
        <v>3815</v>
      </c>
      <c r="J1517" s="12" t="str">
        <f>HYPERLINK("https://www.boe.es/gazeta/dias/1805/12/20/pdfs/GMD-1805-102.pdf#page=5","Abrir facsímil")</f>
        <v>Abrir facsímil</v>
      </c>
      <c r="K1517" s="15" t="s">
        <v>22</v>
      </c>
    </row>
    <row r="1518" spans="1:11" ht="42" customHeight="1">
      <c r="A1518" s="4" t="s">
        <v>3816</v>
      </c>
      <c r="B1518" s="5" t="s">
        <v>3817</v>
      </c>
      <c r="C1518" s="5" t="s">
        <v>85</v>
      </c>
      <c r="D1518" s="5" t="s">
        <v>86</v>
      </c>
      <c r="E1518" s="5" t="s">
        <v>31</v>
      </c>
      <c r="F1518" s="9">
        <v>65</v>
      </c>
      <c r="G1518" s="9">
        <v>697</v>
      </c>
      <c r="H1518" s="5" t="s">
        <v>20</v>
      </c>
      <c r="I1518" s="5" t="s">
        <v>3818</v>
      </c>
      <c r="J1518" s="12" t="str">
        <f>HYPERLINK("https://www.boe.es/gazeta/dias/1805/08/13/pdfs/GMD-1805-65.pdf#page=9","Abrir facsímil")</f>
        <v>Abrir facsímil</v>
      </c>
      <c r="K1518" s="15" t="s">
        <v>22</v>
      </c>
    </row>
    <row r="1519" spans="1:11" ht="42" customHeight="1">
      <c r="A1519" s="4" t="s">
        <v>3819</v>
      </c>
      <c r="B1519" s="5" t="s">
        <v>3820</v>
      </c>
      <c r="C1519" s="5" t="s">
        <v>35</v>
      </c>
      <c r="D1519" s="5" t="s">
        <v>36</v>
      </c>
      <c r="E1519" s="5" t="s">
        <v>787</v>
      </c>
      <c r="F1519" s="9">
        <v>95</v>
      </c>
      <c r="G1519" s="9">
        <v>1021</v>
      </c>
      <c r="H1519" s="5" t="s">
        <v>20</v>
      </c>
      <c r="I1519" s="5" t="s">
        <v>3821</v>
      </c>
      <c r="J1519" s="12" t="str">
        <f>HYPERLINK("https://www.boe.es/gazeta/dias/1805/11/26/pdfs/GMD-1805-95.pdf#page=9","Abrir facsímil")</f>
        <v>Abrir facsímil</v>
      </c>
      <c r="K1519" s="15" t="s">
        <v>22</v>
      </c>
    </row>
    <row r="1520" spans="1:11" ht="42" customHeight="1">
      <c r="A1520" s="4" t="s">
        <v>3822</v>
      </c>
      <c r="B1520" s="5" t="s">
        <v>3823</v>
      </c>
      <c r="C1520" s="5" t="s">
        <v>80</v>
      </c>
      <c r="D1520" s="5" t="s">
        <v>81</v>
      </c>
      <c r="E1520" s="5" t="s">
        <v>296</v>
      </c>
      <c r="F1520" s="9">
        <v>26</v>
      </c>
      <c r="G1520" s="9">
        <v>272</v>
      </c>
      <c r="H1520" s="5" t="s">
        <v>20</v>
      </c>
      <c r="I1520" s="5" t="s">
        <v>3824</v>
      </c>
      <c r="J1520" s="12" t="str">
        <f>HYPERLINK("https://www.boe.es/gazeta/dias/1805/03/29/pdfs/GMD-1805-26.pdf#page=4","Abrir facsímil")</f>
        <v>Abrir facsímil</v>
      </c>
      <c r="K1520" s="15" t="s">
        <v>22</v>
      </c>
    </row>
    <row r="1521" spans="1:11" ht="42" customHeight="1">
      <c r="A1521" s="4" t="s">
        <v>3825</v>
      </c>
      <c r="B1521" s="5" t="s">
        <v>3826</v>
      </c>
      <c r="C1521" s="5" t="s">
        <v>17</v>
      </c>
      <c r="D1521" s="5" t="s">
        <v>18</v>
      </c>
      <c r="E1521" s="5" t="s">
        <v>539</v>
      </c>
      <c r="F1521" s="9">
        <v>97</v>
      </c>
      <c r="G1521" s="9">
        <v>1048</v>
      </c>
      <c r="H1521" s="5" t="s">
        <v>20</v>
      </c>
      <c r="I1521" s="5" t="s">
        <v>3827</v>
      </c>
      <c r="J1521" s="12" t="str">
        <f>HYPERLINK("https://www.boe.es/gazeta/dias/1805/12/03/pdfs/GMD-1805-97.pdf#page=12","Abrir facsímil")</f>
        <v>Abrir facsímil</v>
      </c>
      <c r="K1521" s="15" t="s">
        <v>22</v>
      </c>
    </row>
    <row r="1522" spans="1:11" ht="42" customHeight="1">
      <c r="A1522" s="4" t="s">
        <v>3828</v>
      </c>
      <c r="B1522" s="5" t="s">
        <v>3829</v>
      </c>
      <c r="C1522" s="5" t="s">
        <v>35</v>
      </c>
      <c r="D1522" s="5" t="s">
        <v>36</v>
      </c>
      <c r="E1522" s="5" t="s">
        <v>1494</v>
      </c>
      <c r="F1522" s="9">
        <v>31</v>
      </c>
      <c r="G1522" s="9">
        <v>333</v>
      </c>
      <c r="H1522" s="5" t="s">
        <v>20</v>
      </c>
      <c r="I1522" s="5" t="s">
        <v>3830</v>
      </c>
      <c r="J1522" s="12" t="str">
        <f>HYPERLINK("https://www.boe.es/gazeta/dias/1805/04/16/pdfs/GMD-1805-31.pdf#page=9","Abrir facsímil")</f>
        <v>Abrir facsímil</v>
      </c>
      <c r="K1522" s="15" t="s">
        <v>22</v>
      </c>
    </row>
    <row r="1523" spans="1:11" ht="42" customHeight="1">
      <c r="A1523" s="4" t="s">
        <v>3831</v>
      </c>
      <c r="B1523" s="5" t="s">
        <v>3832</v>
      </c>
      <c r="C1523" s="5" t="s">
        <v>35</v>
      </c>
      <c r="D1523" s="5" t="s">
        <v>36</v>
      </c>
      <c r="E1523" s="5" t="s">
        <v>539</v>
      </c>
      <c r="F1523" s="9">
        <v>97</v>
      </c>
      <c r="G1523" s="9">
        <v>1044</v>
      </c>
      <c r="H1523" s="5" t="s">
        <v>20</v>
      </c>
      <c r="I1523" s="5" t="s">
        <v>3833</v>
      </c>
      <c r="J1523" s="12" t="str">
        <f>HYPERLINK("https://www.boe.es/gazeta/dias/1805/12/03/pdfs/GMD-1805-97.pdf#page=8","Abrir facsímil")</f>
        <v>Abrir facsímil</v>
      </c>
      <c r="K1523" s="15" t="s">
        <v>22</v>
      </c>
    </row>
    <row r="1524" spans="1:11" ht="42" customHeight="1">
      <c r="A1524" s="4" t="s">
        <v>3834</v>
      </c>
      <c r="B1524" s="5" t="s">
        <v>3835</v>
      </c>
      <c r="C1524" s="5" t="s">
        <v>35</v>
      </c>
      <c r="D1524" s="5" t="s">
        <v>36</v>
      </c>
      <c r="E1524" s="5" t="s">
        <v>539</v>
      </c>
      <c r="F1524" s="9">
        <v>97</v>
      </c>
      <c r="G1524" s="9">
        <v>1044</v>
      </c>
      <c r="H1524" s="5" t="s">
        <v>20</v>
      </c>
      <c r="I1524" s="5" t="s">
        <v>3836</v>
      </c>
      <c r="J1524" s="12" t="str">
        <f>HYPERLINK("https://www.boe.es/gazeta/dias/1805/12/03/pdfs/GMD-1805-97.pdf#page=8","Abrir facsímil")</f>
        <v>Abrir facsímil</v>
      </c>
      <c r="K1524" s="15" t="s">
        <v>22</v>
      </c>
    </row>
    <row r="1525" spans="1:11" ht="42" customHeight="1">
      <c r="A1525" s="4" t="s">
        <v>3837</v>
      </c>
      <c r="B1525" s="5" t="s">
        <v>3838</v>
      </c>
      <c r="C1525" s="5" t="s">
        <v>35</v>
      </c>
      <c r="D1525" s="5" t="s">
        <v>36</v>
      </c>
      <c r="E1525" s="5" t="s">
        <v>290</v>
      </c>
      <c r="F1525" s="9">
        <v>36</v>
      </c>
      <c r="G1525" s="9">
        <v>389</v>
      </c>
      <c r="H1525" s="5" t="s">
        <v>20</v>
      </c>
      <c r="I1525" s="5" t="s">
        <v>3839</v>
      </c>
      <c r="J1525" s="12" t="str">
        <f>HYPERLINK("https://www.boe.es/gazeta/dias/1805/05/03/pdfs/GMD-1805-36.pdf#page=9","Abrir facsímil")</f>
        <v>Abrir facsímil</v>
      </c>
      <c r="K1525" s="15" t="s">
        <v>22</v>
      </c>
    </row>
    <row r="1526" spans="1:11" ht="42" customHeight="1">
      <c r="A1526" s="4" t="s">
        <v>3840</v>
      </c>
      <c r="B1526" s="5" t="s">
        <v>3841</v>
      </c>
      <c r="C1526" s="5" t="s">
        <v>35</v>
      </c>
      <c r="D1526" s="5" t="s">
        <v>36</v>
      </c>
      <c r="E1526" s="5" t="s">
        <v>506</v>
      </c>
      <c r="F1526" s="9">
        <v>80</v>
      </c>
      <c r="G1526" s="9">
        <v>850</v>
      </c>
      <c r="H1526" s="5" t="s">
        <v>20</v>
      </c>
      <c r="I1526" s="5" t="s">
        <v>3842</v>
      </c>
      <c r="J1526" s="12" t="str">
        <f>HYPERLINK("https://www.boe.es/gazeta/dias/1805/10/04/pdfs/GMD-1805-80.pdf#page=10","Abrir facsímil")</f>
        <v>Abrir facsímil</v>
      </c>
      <c r="K1526" s="15" t="s">
        <v>22</v>
      </c>
    </row>
    <row r="1527" spans="1:11" ht="42" customHeight="1">
      <c r="A1527" s="4" t="s">
        <v>3843</v>
      </c>
      <c r="B1527" s="5" t="s">
        <v>3844</v>
      </c>
      <c r="C1527" s="5" t="s">
        <v>85</v>
      </c>
      <c r="D1527" s="5" t="s">
        <v>86</v>
      </c>
      <c r="E1527" s="5" t="s">
        <v>567</v>
      </c>
      <c r="F1527" s="9">
        <v>49</v>
      </c>
      <c r="G1527" s="9">
        <v>530</v>
      </c>
      <c r="H1527" s="5" t="s">
        <v>20</v>
      </c>
      <c r="I1527" s="5" t="s">
        <v>3845</v>
      </c>
      <c r="J1527" s="12" t="str">
        <f>HYPERLINK("https://www.boe.es/gazeta/dias/1805/06/18/pdfs/GMD-1805-49.pdf#page=6","Abrir facsímil")</f>
        <v>Abrir facsímil</v>
      </c>
      <c r="K1527" s="15" t="s">
        <v>22</v>
      </c>
    </row>
    <row r="1528" spans="1:11" ht="42" customHeight="1">
      <c r="A1528" s="4" t="s">
        <v>3846</v>
      </c>
      <c r="B1528" s="5" t="s">
        <v>3847</v>
      </c>
      <c r="C1528" s="5" t="s">
        <v>35</v>
      </c>
      <c r="D1528" s="5" t="s">
        <v>36</v>
      </c>
      <c r="E1528" s="5" t="s">
        <v>261</v>
      </c>
      <c r="F1528" s="9">
        <v>18</v>
      </c>
      <c r="G1528" s="9" t="s">
        <v>145</v>
      </c>
      <c r="H1528" s="5" t="s">
        <v>20</v>
      </c>
      <c r="I1528" s="5" t="s">
        <v>3848</v>
      </c>
      <c r="J1528" s="12" t="str">
        <f>HYPERLINK("https://www.boe.es/gazeta/dias/1805/03/01/pdfs/GMD-C-1805-18.pdf#page=2","Abrir facsímil")</f>
        <v>Abrir facsímil</v>
      </c>
      <c r="K1528" s="15" t="s">
        <v>22</v>
      </c>
    </row>
    <row r="1529" spans="1:11" ht="42" customHeight="1">
      <c r="A1529" s="4" t="s">
        <v>3849</v>
      </c>
      <c r="B1529" s="5" t="s">
        <v>3850</v>
      </c>
      <c r="C1529" s="5" t="s">
        <v>184</v>
      </c>
      <c r="D1529" s="5" t="s">
        <v>86</v>
      </c>
      <c r="E1529" s="5" t="s">
        <v>649</v>
      </c>
      <c r="F1529" s="9">
        <v>7</v>
      </c>
      <c r="G1529" s="9">
        <v>74</v>
      </c>
      <c r="H1529" s="5" t="s">
        <v>20</v>
      </c>
      <c r="I1529" s="5" t="s">
        <v>3851</v>
      </c>
      <c r="J1529" s="12" t="str">
        <f>HYPERLINK("https://www.boe.es/gazeta/dias/1805/01/22/pdfs/GMD-1805-7.pdf#page=6","Abrir facsímil")</f>
        <v>Abrir facsímil</v>
      </c>
      <c r="K1529" s="15" t="s">
        <v>22</v>
      </c>
    </row>
    <row r="1530" spans="1:11" ht="42" customHeight="1">
      <c r="A1530" s="4" t="s">
        <v>3852</v>
      </c>
      <c r="B1530" s="5" t="s">
        <v>3853</v>
      </c>
      <c r="C1530" s="5" t="s">
        <v>35</v>
      </c>
      <c r="D1530" s="5" t="s">
        <v>36</v>
      </c>
      <c r="E1530" s="5" t="s">
        <v>192</v>
      </c>
      <c r="F1530" s="9">
        <v>105</v>
      </c>
      <c r="G1530" s="9">
        <v>1138</v>
      </c>
      <c r="H1530" s="5" t="s">
        <v>20</v>
      </c>
      <c r="I1530" s="5" t="s">
        <v>3854</v>
      </c>
      <c r="J1530" s="12" t="str">
        <f>HYPERLINK("https://www.boe.es/gazeta/dias/1805/12/31/pdfs/GMD-1805-105.pdf#page=10","Abrir facsímil")</f>
        <v>Abrir facsímil</v>
      </c>
      <c r="K1530" s="15" t="s">
        <v>22</v>
      </c>
    </row>
    <row r="1531" spans="1:11" ht="42" customHeight="1">
      <c r="A1531" s="4" t="s">
        <v>3855</v>
      </c>
      <c r="B1531" s="5" t="s">
        <v>3856</v>
      </c>
      <c r="C1531" s="5" t="s">
        <v>17</v>
      </c>
      <c r="D1531" s="5" t="s">
        <v>18</v>
      </c>
      <c r="E1531" s="5" t="s">
        <v>512</v>
      </c>
      <c r="F1531" s="9">
        <v>100</v>
      </c>
      <c r="G1531" s="9">
        <v>1083</v>
      </c>
      <c r="H1531" s="5" t="s">
        <v>20</v>
      </c>
      <c r="I1531" s="5" t="s">
        <v>3857</v>
      </c>
      <c r="J1531" s="12" t="str">
        <f>HYPERLINK("https://www.boe.es/gazeta/dias/1805/12/13/pdfs/GMD-1805-100.pdf#page=11","Abrir facsímil")</f>
        <v>Abrir facsímil</v>
      </c>
      <c r="K1531" s="15" t="s">
        <v>22</v>
      </c>
    </row>
    <row r="1532" spans="1:11" ht="42" customHeight="1">
      <c r="A1532" s="4" t="s">
        <v>3858</v>
      </c>
      <c r="B1532" s="5" t="s">
        <v>3859</v>
      </c>
      <c r="C1532" s="5" t="s">
        <v>35</v>
      </c>
      <c r="D1532" s="5" t="s">
        <v>36</v>
      </c>
      <c r="E1532" s="5" t="s">
        <v>213</v>
      </c>
      <c r="F1532" s="9">
        <v>56</v>
      </c>
      <c r="G1532" s="9">
        <v>600</v>
      </c>
      <c r="H1532" s="5" t="s">
        <v>20</v>
      </c>
      <c r="I1532" s="5" t="s">
        <v>3860</v>
      </c>
      <c r="J1532" s="12" t="str">
        <f>HYPERLINK("https://www.boe.es/gazeta/dias/1805/07/12/pdfs/GMD-1805-56.pdf#page=8","Abrir facsímil")</f>
        <v>Abrir facsímil</v>
      </c>
      <c r="K1532" s="15" t="s">
        <v>22</v>
      </c>
    </row>
    <row r="1533" spans="1:11" ht="42" customHeight="1">
      <c r="A1533" s="4" t="s">
        <v>3861</v>
      </c>
      <c r="B1533" s="5" t="s">
        <v>3862</v>
      </c>
      <c r="C1533" s="5" t="s">
        <v>17</v>
      </c>
      <c r="D1533" s="5" t="s">
        <v>18</v>
      </c>
      <c r="E1533" s="5" t="s">
        <v>363</v>
      </c>
      <c r="F1533" s="9">
        <v>1</v>
      </c>
      <c r="G1533" s="9">
        <v>9</v>
      </c>
      <c r="H1533" s="5" t="s">
        <v>20</v>
      </c>
      <c r="I1533" s="5" t="s">
        <v>3863</v>
      </c>
      <c r="J1533" s="12" t="str">
        <f>HYPERLINK("https://www.boe.es/gazeta/dias/1805/01/01/pdfs/GMD-1805-1.pdf#page=9","Abrir facsímil")</f>
        <v>Abrir facsímil</v>
      </c>
      <c r="K1533" s="15" t="s">
        <v>22</v>
      </c>
    </row>
    <row r="1534" spans="1:11" ht="42" customHeight="1">
      <c r="A1534" s="4" t="s">
        <v>3864</v>
      </c>
      <c r="B1534" s="5" t="s">
        <v>3865</v>
      </c>
      <c r="C1534" s="5" t="s">
        <v>35</v>
      </c>
      <c r="D1534" s="5" t="s">
        <v>36</v>
      </c>
      <c r="E1534" s="5" t="s">
        <v>63</v>
      </c>
      <c r="F1534" s="9">
        <v>101</v>
      </c>
      <c r="G1534" s="9">
        <v>1092</v>
      </c>
      <c r="H1534" s="5" t="s">
        <v>20</v>
      </c>
      <c r="I1534" s="5" t="s">
        <v>3866</v>
      </c>
      <c r="J1534" s="12" t="str">
        <f>HYPERLINK("https://www.boe.es/gazeta/dias/1805/12/17/pdfs/GMD-1805-101.pdf#page=8","Abrir facsímil")</f>
        <v>Abrir facsímil</v>
      </c>
      <c r="K1534" s="15" t="s">
        <v>22</v>
      </c>
    </row>
    <row r="1535" spans="1:11" ht="42" customHeight="1">
      <c r="A1535" s="4" t="s">
        <v>3867</v>
      </c>
      <c r="B1535" s="5" t="s">
        <v>3868</v>
      </c>
      <c r="C1535" s="5" t="s">
        <v>35</v>
      </c>
      <c r="D1535" s="5" t="s">
        <v>36</v>
      </c>
      <c r="E1535" s="5" t="s">
        <v>226</v>
      </c>
      <c r="F1535" s="9">
        <v>73</v>
      </c>
      <c r="G1535" s="9">
        <v>773</v>
      </c>
      <c r="H1535" s="5" t="s">
        <v>20</v>
      </c>
      <c r="I1535" s="5" t="s">
        <v>3869</v>
      </c>
      <c r="J1535" s="12" t="str">
        <f>HYPERLINK("https://www.boe.es/gazeta/dias/1805/09/10/pdfs/GMD-1805-73.pdf#page=5","Abrir facsímil")</f>
        <v>Abrir facsímil</v>
      </c>
      <c r="K1535" s="15" t="s">
        <v>22</v>
      </c>
    </row>
    <row r="1536" spans="1:11" ht="42" customHeight="1">
      <c r="A1536" s="4" t="s">
        <v>3870</v>
      </c>
      <c r="B1536" s="5" t="s">
        <v>3871</v>
      </c>
      <c r="C1536" s="5" t="s">
        <v>85</v>
      </c>
      <c r="D1536" s="5" t="s">
        <v>86</v>
      </c>
      <c r="E1536" s="5" t="s">
        <v>440</v>
      </c>
      <c r="F1536" s="9">
        <v>27</v>
      </c>
      <c r="G1536" s="9">
        <v>288</v>
      </c>
      <c r="H1536" s="5" t="s">
        <v>20</v>
      </c>
      <c r="I1536" s="5" t="s">
        <v>3872</v>
      </c>
      <c r="J1536" s="12" t="str">
        <f>HYPERLINK("https://www.boe.es/gazeta/dias/1805/04/02/pdfs/GMD-1805-27.pdf#page=8","Abrir facsímil")</f>
        <v>Abrir facsímil</v>
      </c>
      <c r="K1536" s="15" t="s">
        <v>22</v>
      </c>
    </row>
    <row r="1537" spans="1:11" ht="42" customHeight="1">
      <c r="A1537" s="4" t="s">
        <v>3873</v>
      </c>
      <c r="B1537" s="5" t="s">
        <v>3874</v>
      </c>
      <c r="C1537" s="5" t="s">
        <v>17</v>
      </c>
      <c r="D1537" s="5" t="s">
        <v>18</v>
      </c>
      <c r="E1537" s="5" t="s">
        <v>181</v>
      </c>
      <c r="F1537" s="9">
        <v>90</v>
      </c>
      <c r="G1537" s="9">
        <v>968</v>
      </c>
      <c r="H1537" s="5" t="s">
        <v>20</v>
      </c>
      <c r="I1537" s="5" t="s">
        <v>3875</v>
      </c>
      <c r="J1537" s="12" t="str">
        <f>HYPERLINK("https://www.boe.es/gazeta/dias/1805/11/08/pdfs/GMD-1805-90.pdf#page=12","Abrir facsímil")</f>
        <v>Abrir facsímil</v>
      </c>
      <c r="K1537" s="15" t="s">
        <v>22</v>
      </c>
    </row>
    <row r="1538" spans="1:11" ht="42" customHeight="1">
      <c r="A1538" s="4" t="s">
        <v>3876</v>
      </c>
      <c r="B1538" s="5" t="s">
        <v>3877</v>
      </c>
      <c r="C1538" s="5" t="s">
        <v>29</v>
      </c>
      <c r="D1538" s="5" t="s">
        <v>30</v>
      </c>
      <c r="E1538" s="5" t="s">
        <v>352</v>
      </c>
      <c r="F1538" s="9">
        <v>60</v>
      </c>
      <c r="G1538" s="9">
        <v>648</v>
      </c>
      <c r="H1538" s="5" t="s">
        <v>20</v>
      </c>
      <c r="I1538" s="5" t="s">
        <v>3878</v>
      </c>
      <c r="J1538" s="12" t="str">
        <f>HYPERLINK("https://www.boe.es/gazeta/dias/1805/07/26/pdfs/GMD-1805-60.pdf#page=12","Abrir facsímil")</f>
        <v>Abrir facsímil</v>
      </c>
      <c r="K1538" s="15" t="s">
        <v>22</v>
      </c>
    </row>
    <row r="1539" spans="1:11" ht="42" customHeight="1">
      <c r="A1539" s="4" t="s">
        <v>3879</v>
      </c>
      <c r="B1539" s="5" t="s">
        <v>3880</v>
      </c>
      <c r="C1539" s="5" t="s">
        <v>85</v>
      </c>
      <c r="D1539" s="5" t="s">
        <v>86</v>
      </c>
      <c r="E1539" s="5" t="s">
        <v>567</v>
      </c>
      <c r="F1539" s="9">
        <v>49</v>
      </c>
      <c r="G1539" s="9">
        <v>530</v>
      </c>
      <c r="H1539" s="5" t="s">
        <v>20</v>
      </c>
      <c r="I1539" s="5" t="s">
        <v>3881</v>
      </c>
      <c r="J1539" s="12" t="str">
        <f>HYPERLINK("https://www.boe.es/gazeta/dias/1805/06/18/pdfs/GMD-1805-49.pdf#page=6","Abrir facsímil")</f>
        <v>Abrir facsímil</v>
      </c>
      <c r="K1539" s="15" t="s">
        <v>22</v>
      </c>
    </row>
    <row r="1540" spans="1:11" ht="42" customHeight="1">
      <c r="A1540" s="4" t="s">
        <v>3882</v>
      </c>
      <c r="B1540" s="5" t="s">
        <v>3883</v>
      </c>
      <c r="C1540" s="5" t="s">
        <v>17</v>
      </c>
      <c r="D1540" s="5" t="s">
        <v>18</v>
      </c>
      <c r="E1540" s="5" t="s">
        <v>669</v>
      </c>
      <c r="F1540" s="9">
        <v>84</v>
      </c>
      <c r="G1540" s="9">
        <v>890</v>
      </c>
      <c r="H1540" s="5" t="s">
        <v>20</v>
      </c>
      <c r="I1540" s="5" t="s">
        <v>3884</v>
      </c>
      <c r="J1540" s="12" t="str">
        <f>HYPERLINK("https://www.boe.es/gazeta/dias/1805/10/18/pdfs/GMD-1805-84.pdf#page=6","Abrir facsímil")</f>
        <v>Abrir facsímil</v>
      </c>
      <c r="K1540" s="15" t="s">
        <v>22</v>
      </c>
    </row>
    <row r="1541" spans="1:11" ht="42" customHeight="1">
      <c r="A1541" s="4" t="s">
        <v>3885</v>
      </c>
      <c r="B1541" s="5" t="s">
        <v>3886</v>
      </c>
      <c r="C1541" s="5" t="s">
        <v>35</v>
      </c>
      <c r="D1541" s="5" t="s">
        <v>36</v>
      </c>
      <c r="E1541" s="5" t="s">
        <v>59</v>
      </c>
      <c r="F1541" s="9">
        <v>21</v>
      </c>
      <c r="G1541" s="9">
        <v>220</v>
      </c>
      <c r="H1541" s="5" t="s">
        <v>20</v>
      </c>
      <c r="I1541" s="5" t="s">
        <v>3887</v>
      </c>
      <c r="J1541" s="12" t="str">
        <f>HYPERLINK("https://www.boe.es/gazeta/dias/1805/03/12/pdfs/GMD-1805-21.pdf#page=8","Abrir facsímil")</f>
        <v>Abrir facsímil</v>
      </c>
      <c r="K1541" s="15" t="s">
        <v>22</v>
      </c>
    </row>
    <row r="1542" spans="1:11" ht="42" customHeight="1">
      <c r="A1542" s="4" t="s">
        <v>3888</v>
      </c>
      <c r="B1542" s="5" t="s">
        <v>3889</v>
      </c>
      <c r="C1542" s="5" t="s">
        <v>85</v>
      </c>
      <c r="D1542" s="5" t="s">
        <v>86</v>
      </c>
      <c r="E1542" s="5" t="s">
        <v>91</v>
      </c>
      <c r="F1542" s="9">
        <v>28</v>
      </c>
      <c r="G1542" s="9">
        <v>299</v>
      </c>
      <c r="H1542" s="5" t="s">
        <v>20</v>
      </c>
      <c r="I1542" s="5" t="s">
        <v>3890</v>
      </c>
      <c r="J1542" s="12" t="str">
        <f>HYPERLINK("https://www.boe.es/gazeta/dias/1805/04/05/pdfs/GMD-1805-28.pdf#page=7","Abrir facsímil")</f>
        <v>Abrir facsímil</v>
      </c>
      <c r="K1542" s="15" t="s">
        <v>22</v>
      </c>
    </row>
    <row r="1543" spans="1:11" ht="42" customHeight="1">
      <c r="A1543" s="4" t="s">
        <v>3891</v>
      </c>
      <c r="B1543" s="5" t="s">
        <v>3892</v>
      </c>
      <c r="C1543" s="5" t="s">
        <v>85</v>
      </c>
      <c r="D1543" s="5" t="s">
        <v>86</v>
      </c>
      <c r="E1543" s="5" t="s">
        <v>273</v>
      </c>
      <c r="F1543" s="9">
        <v>8</v>
      </c>
      <c r="G1543" s="9">
        <v>89</v>
      </c>
      <c r="H1543" s="5" t="s">
        <v>20</v>
      </c>
      <c r="I1543" s="5" t="s">
        <v>3893</v>
      </c>
      <c r="J1543" s="12" t="str">
        <f>HYPERLINK("https://www.boe.es/gazeta/dias/1805/01/25/pdfs/GMD-1805-8.pdf#page=9","Abrir facsímil")</f>
        <v>Abrir facsímil</v>
      </c>
      <c r="K1543" s="15" t="s">
        <v>22</v>
      </c>
    </row>
    <row r="1544" spans="1:11" ht="42" customHeight="1">
      <c r="A1544" s="4" t="s">
        <v>3894</v>
      </c>
      <c r="B1544" s="5" t="s">
        <v>3895</v>
      </c>
      <c r="C1544" s="5" t="s">
        <v>35</v>
      </c>
      <c r="D1544" s="5" t="s">
        <v>36</v>
      </c>
      <c r="E1544" s="5" t="s">
        <v>495</v>
      </c>
      <c r="F1544" s="9">
        <v>103</v>
      </c>
      <c r="G1544" s="9">
        <v>1113</v>
      </c>
      <c r="H1544" s="5" t="s">
        <v>20</v>
      </c>
      <c r="I1544" s="5" t="s">
        <v>3896</v>
      </c>
      <c r="J1544" s="12" t="str">
        <f>HYPERLINK("https://www.boe.es/gazeta/dias/1805/12/24/pdfs/GMD-1805-103.pdf#page=5","Abrir facsímil")</f>
        <v>Abrir facsímil</v>
      </c>
      <c r="K1544" s="15" t="s">
        <v>22</v>
      </c>
    </row>
    <row r="1545" spans="1:11" ht="42" customHeight="1">
      <c r="A1545" s="4" t="s">
        <v>3897</v>
      </c>
      <c r="B1545" s="5" t="s">
        <v>3898</v>
      </c>
      <c r="C1545" s="5" t="s">
        <v>17</v>
      </c>
      <c r="D1545" s="5" t="s">
        <v>18</v>
      </c>
      <c r="E1545" s="5" t="s">
        <v>135</v>
      </c>
      <c r="F1545" s="9">
        <v>71</v>
      </c>
      <c r="G1545" s="9">
        <v>756</v>
      </c>
      <c r="H1545" s="5" t="s">
        <v>20</v>
      </c>
      <c r="I1545" s="5" t="s">
        <v>3899</v>
      </c>
      <c r="J1545" s="12" t="str">
        <f>HYPERLINK("https://www.boe.es/gazeta/dias/1805/09/03/pdfs/GMD-1805-71.pdf#page=8","Abrir facsímil")</f>
        <v>Abrir facsímil</v>
      </c>
      <c r="K1545" s="15" t="s">
        <v>22</v>
      </c>
    </row>
    <row r="1546" spans="1:11" ht="42" customHeight="1">
      <c r="A1546" s="4" t="s">
        <v>3900</v>
      </c>
      <c r="B1546" s="5" t="s">
        <v>3901</v>
      </c>
      <c r="C1546" s="5" t="s">
        <v>35</v>
      </c>
      <c r="D1546" s="5" t="s">
        <v>36</v>
      </c>
      <c r="E1546" s="5" t="s">
        <v>273</v>
      </c>
      <c r="F1546" s="9">
        <v>8</v>
      </c>
      <c r="G1546" s="9">
        <v>88</v>
      </c>
      <c r="H1546" s="5" t="s">
        <v>20</v>
      </c>
      <c r="I1546" s="5" t="s">
        <v>3902</v>
      </c>
      <c r="J1546" s="12" t="str">
        <f>HYPERLINK("https://www.boe.es/gazeta/dias/1805/01/25/pdfs/GMD-1805-8.pdf#page=8","Abrir facsímil")</f>
        <v>Abrir facsímil</v>
      </c>
      <c r="K1546" s="15" t="s">
        <v>22</v>
      </c>
    </row>
    <row r="1547" spans="1:11" ht="42" customHeight="1">
      <c r="A1547" s="4" t="s">
        <v>3903</v>
      </c>
      <c r="B1547" s="5" t="s">
        <v>3904</v>
      </c>
      <c r="C1547" s="5" t="s">
        <v>17</v>
      </c>
      <c r="D1547" s="5" t="s">
        <v>18</v>
      </c>
      <c r="E1547" s="5" t="s">
        <v>365</v>
      </c>
      <c r="F1547" s="9">
        <v>3</v>
      </c>
      <c r="G1547" s="9">
        <v>31</v>
      </c>
      <c r="H1547" s="5" t="s">
        <v>20</v>
      </c>
      <c r="I1547" s="5" t="s">
        <v>3905</v>
      </c>
      <c r="J1547" s="12" t="str">
        <f>HYPERLINK("https://www.boe.es/gazeta/dias/1805/01/08/pdfs/GMD-1805-3.pdf#page=7","Abrir facsímil")</f>
        <v>Abrir facsímil</v>
      </c>
      <c r="K1547" s="15" t="s">
        <v>22</v>
      </c>
    </row>
    <row r="1548" spans="1:11" ht="42" customHeight="1">
      <c r="A1548" s="4" t="s">
        <v>3906</v>
      </c>
      <c r="B1548" s="5" t="s">
        <v>3907</v>
      </c>
      <c r="C1548" s="5" t="s">
        <v>17</v>
      </c>
      <c r="D1548" s="5" t="s">
        <v>18</v>
      </c>
      <c r="E1548" s="5" t="s">
        <v>456</v>
      </c>
      <c r="F1548" s="9">
        <v>70</v>
      </c>
      <c r="G1548" s="9">
        <v>747</v>
      </c>
      <c r="H1548" s="5" t="s">
        <v>20</v>
      </c>
      <c r="I1548" s="5" t="s">
        <v>3908</v>
      </c>
      <c r="J1548" s="12" t="str">
        <f>HYPERLINK("https://www.boe.es/gazeta/dias/1805/08/30/pdfs/GMD-1805-70.pdf#page=7","Abrir facsímil")</f>
        <v>Abrir facsímil</v>
      </c>
      <c r="K1548" s="15" t="s">
        <v>22</v>
      </c>
    </row>
    <row r="1549" spans="1:11" ht="42" customHeight="1">
      <c r="A1549" s="4" t="s">
        <v>3909</v>
      </c>
      <c r="B1549" s="5" t="s">
        <v>3910</v>
      </c>
      <c r="C1549" s="5" t="s">
        <v>35</v>
      </c>
      <c r="D1549" s="5" t="s">
        <v>36</v>
      </c>
      <c r="E1549" s="5" t="s">
        <v>290</v>
      </c>
      <c r="F1549" s="9">
        <v>36</v>
      </c>
      <c r="G1549" s="9">
        <v>388</v>
      </c>
      <c r="H1549" s="5" t="s">
        <v>20</v>
      </c>
      <c r="I1549" s="5" t="s">
        <v>3911</v>
      </c>
      <c r="J1549" s="12" t="str">
        <f>HYPERLINK("https://www.boe.es/gazeta/dias/1805/05/03/pdfs/GMD-1805-36.pdf#page=8","Abrir facsímil")</f>
        <v>Abrir facsímil</v>
      </c>
      <c r="K1549" s="15" t="s">
        <v>22</v>
      </c>
    </row>
    <row r="1550" spans="1:11" ht="42" customHeight="1">
      <c r="A1550" s="4" t="s">
        <v>3912</v>
      </c>
      <c r="B1550" s="5" t="s">
        <v>3913</v>
      </c>
      <c r="C1550" s="5" t="s">
        <v>35</v>
      </c>
      <c r="D1550" s="5" t="s">
        <v>36</v>
      </c>
      <c r="E1550" s="5" t="s">
        <v>87</v>
      </c>
      <c r="F1550" s="9">
        <v>14</v>
      </c>
      <c r="G1550" s="9">
        <v>147</v>
      </c>
      <c r="H1550" s="5" t="s">
        <v>20</v>
      </c>
      <c r="I1550" s="5" t="s">
        <v>3914</v>
      </c>
      <c r="J1550" s="12" t="str">
        <f>HYPERLINK("https://www.boe.es/gazeta/dias/1805/02/15/pdfs/GMD-1805-14.pdf#page=7","Abrir facsímil")</f>
        <v>Abrir facsímil</v>
      </c>
      <c r="K1550" s="15" t="s">
        <v>22</v>
      </c>
    </row>
    <row r="1551" spans="1:11" ht="42" customHeight="1">
      <c r="A1551" s="4" t="s">
        <v>3915</v>
      </c>
      <c r="B1551" s="5" t="s">
        <v>3916</v>
      </c>
      <c r="C1551" s="5" t="s">
        <v>17</v>
      </c>
      <c r="D1551" s="5" t="s">
        <v>18</v>
      </c>
      <c r="E1551" s="5" t="s">
        <v>217</v>
      </c>
      <c r="F1551" s="9">
        <v>96</v>
      </c>
      <c r="G1551" s="9">
        <v>1030</v>
      </c>
      <c r="H1551" s="5" t="s">
        <v>20</v>
      </c>
      <c r="I1551" s="5" t="s">
        <v>3917</v>
      </c>
      <c r="J1551" s="12" t="str">
        <f>HYPERLINK("https://www.boe.es/gazeta/dias/1805/11/29/pdfs/GMD-1805-96.pdf#page=6","Abrir facsímil")</f>
        <v>Abrir facsímil</v>
      </c>
      <c r="K1551" s="15" t="s">
        <v>22</v>
      </c>
    </row>
    <row r="1552" spans="1:11" ht="42" customHeight="1">
      <c r="A1552" s="4" t="s">
        <v>3918</v>
      </c>
      <c r="B1552" s="5" t="s">
        <v>3919</v>
      </c>
      <c r="C1552" s="5" t="s">
        <v>35</v>
      </c>
      <c r="D1552" s="5" t="s">
        <v>36</v>
      </c>
      <c r="E1552" s="5" t="s">
        <v>539</v>
      </c>
      <c r="F1552" s="9">
        <v>97</v>
      </c>
      <c r="G1552" s="9">
        <v>1043</v>
      </c>
      <c r="H1552" s="5" t="s">
        <v>20</v>
      </c>
      <c r="I1552" s="5" t="s">
        <v>3920</v>
      </c>
      <c r="J1552" s="12" t="str">
        <f>HYPERLINK("https://www.boe.es/gazeta/dias/1805/12/03/pdfs/GMD-1805-97.pdf#page=7","Abrir facsímil")</f>
        <v>Abrir facsímil</v>
      </c>
      <c r="K1552" s="15" t="s">
        <v>22</v>
      </c>
    </row>
    <row r="1553" spans="1:11" ht="42" customHeight="1">
      <c r="A1553" s="4" t="s">
        <v>3921</v>
      </c>
      <c r="B1553" s="5" t="s">
        <v>3922</v>
      </c>
      <c r="C1553" s="5" t="s">
        <v>184</v>
      </c>
      <c r="D1553" s="5" t="s">
        <v>86</v>
      </c>
      <c r="E1553" s="5" t="s">
        <v>293</v>
      </c>
      <c r="F1553" s="9">
        <v>5</v>
      </c>
      <c r="G1553" s="9">
        <v>53</v>
      </c>
      <c r="H1553" s="5" t="s">
        <v>20</v>
      </c>
      <c r="I1553" s="5" t="s">
        <v>3923</v>
      </c>
      <c r="J1553" s="12" t="str">
        <f>HYPERLINK("https://www.boe.es/gazeta/dias/1805/01/15/pdfs/GMD-1805-5.pdf#page=9","Abrir facsímil")</f>
        <v>Abrir facsímil</v>
      </c>
      <c r="K1553" s="15" t="s">
        <v>22</v>
      </c>
    </row>
    <row r="1554" spans="1:11" ht="42" customHeight="1">
      <c r="A1554" s="4" t="s">
        <v>3924</v>
      </c>
      <c r="B1554" s="5" t="s">
        <v>3925</v>
      </c>
      <c r="C1554" s="5" t="s">
        <v>35</v>
      </c>
      <c r="D1554" s="5" t="s">
        <v>36</v>
      </c>
      <c r="E1554" s="5" t="s">
        <v>422</v>
      </c>
      <c r="F1554" s="9">
        <v>74</v>
      </c>
      <c r="G1554" s="9">
        <v>786</v>
      </c>
      <c r="H1554" s="5" t="s">
        <v>20</v>
      </c>
      <c r="I1554" s="5" t="s">
        <v>3926</v>
      </c>
      <c r="J1554" s="12" t="str">
        <f>HYPERLINK("https://www.boe.es/gazeta/dias/1805/09/13/pdfs/GMD-1805-74.pdf#page=10","Abrir facsímil")</f>
        <v>Abrir facsímil</v>
      </c>
      <c r="K1554" s="15" t="s">
        <v>22</v>
      </c>
    </row>
    <row r="1555" spans="1:11" ht="42" customHeight="1">
      <c r="A1555" s="4" t="s">
        <v>3927</v>
      </c>
      <c r="B1555" s="5" t="s">
        <v>3928</v>
      </c>
      <c r="C1555" s="5" t="s">
        <v>17</v>
      </c>
      <c r="D1555" s="5" t="s">
        <v>18</v>
      </c>
      <c r="E1555" s="5" t="s">
        <v>539</v>
      </c>
      <c r="F1555" s="9">
        <v>97</v>
      </c>
      <c r="G1555" s="9">
        <v>1044</v>
      </c>
      <c r="H1555" s="5" t="s">
        <v>20</v>
      </c>
      <c r="I1555" s="5" t="s">
        <v>3929</v>
      </c>
      <c r="J1555" s="12" t="str">
        <f>HYPERLINK("https://www.boe.es/gazeta/dias/1805/12/03/pdfs/GMD-1805-97.pdf#page=8","Abrir facsímil")</f>
        <v>Abrir facsímil</v>
      </c>
      <c r="K1555" s="15" t="s">
        <v>22</v>
      </c>
    </row>
    <row r="1556" spans="1:11" ht="42" customHeight="1">
      <c r="A1556" s="4" t="s">
        <v>3930</v>
      </c>
      <c r="B1556" s="5" t="s">
        <v>3931</v>
      </c>
      <c r="C1556" s="5" t="s">
        <v>35</v>
      </c>
      <c r="D1556" s="5" t="s">
        <v>36</v>
      </c>
      <c r="E1556" s="5" t="s">
        <v>44</v>
      </c>
      <c r="F1556" s="9">
        <v>29</v>
      </c>
      <c r="G1556" s="9">
        <v>313</v>
      </c>
      <c r="H1556" s="5" t="s">
        <v>20</v>
      </c>
      <c r="I1556" s="5" t="s">
        <v>3932</v>
      </c>
      <c r="J1556" s="12" t="str">
        <f>HYPERLINK("https://www.boe.es/gazeta/dias/1805/04/09/pdfs/GMD-1805-29.pdf#page=9","Abrir facsímil")</f>
        <v>Abrir facsímil</v>
      </c>
      <c r="K1556" s="15" t="s">
        <v>22</v>
      </c>
    </row>
    <row r="1557" spans="1:11" ht="42" customHeight="1">
      <c r="A1557" s="4" t="s">
        <v>3933</v>
      </c>
      <c r="B1557" s="5" t="s">
        <v>3934</v>
      </c>
      <c r="C1557" s="5" t="s">
        <v>17</v>
      </c>
      <c r="D1557" s="5" t="s">
        <v>18</v>
      </c>
      <c r="E1557" s="5" t="s">
        <v>59</v>
      </c>
      <c r="F1557" s="9">
        <v>21</v>
      </c>
      <c r="G1557" s="9">
        <v>222</v>
      </c>
      <c r="H1557" s="5" t="s">
        <v>20</v>
      </c>
      <c r="I1557" s="5" t="s">
        <v>3935</v>
      </c>
      <c r="J1557" s="12" t="str">
        <f>HYPERLINK("https://www.boe.es/gazeta/dias/1805/03/12/pdfs/GMD-1805-21.pdf#page=10","Abrir facsímil")</f>
        <v>Abrir facsímil</v>
      </c>
      <c r="K1557" s="15" t="s">
        <v>22</v>
      </c>
    </row>
    <row r="1558" spans="1:11" ht="42" customHeight="1">
      <c r="A1558" s="4" t="s">
        <v>3936</v>
      </c>
      <c r="B1558" s="5" t="s">
        <v>3937</v>
      </c>
      <c r="C1558" s="5" t="s">
        <v>17</v>
      </c>
      <c r="D1558" s="5" t="s">
        <v>18</v>
      </c>
      <c r="E1558" s="5" t="s">
        <v>552</v>
      </c>
      <c r="F1558" s="9">
        <v>94</v>
      </c>
      <c r="G1558" s="9">
        <v>1012</v>
      </c>
      <c r="H1558" s="5" t="s">
        <v>20</v>
      </c>
      <c r="I1558" s="5" t="s">
        <v>3938</v>
      </c>
      <c r="J1558" s="12" t="str">
        <f>HYPERLINK("https://www.boe.es/gazeta/dias/1805/11/22/pdfs/GMD-1805-94.pdf#page=12","Abrir facsímil")</f>
        <v>Abrir facsímil</v>
      </c>
      <c r="K1558" s="15" t="s">
        <v>22</v>
      </c>
    </row>
    <row r="1559" spans="1:11" ht="42" customHeight="1">
      <c r="A1559" s="4" t="s">
        <v>3939</v>
      </c>
      <c r="B1559" s="5" t="s">
        <v>3940</v>
      </c>
      <c r="C1559" s="5" t="s">
        <v>35</v>
      </c>
      <c r="D1559" s="5" t="s">
        <v>36</v>
      </c>
      <c r="E1559" s="5" t="s">
        <v>387</v>
      </c>
      <c r="F1559" s="9">
        <v>4</v>
      </c>
      <c r="G1559" s="9">
        <v>42</v>
      </c>
      <c r="H1559" s="5" t="s">
        <v>20</v>
      </c>
      <c r="I1559" s="5" t="s">
        <v>3941</v>
      </c>
      <c r="J1559" s="12" t="str">
        <f>HYPERLINK("https://www.boe.es/gazeta/dias/1805/01/11/pdfs/GMD-1805-4.pdf#page=10","Abrir facsímil")</f>
        <v>Abrir facsímil</v>
      </c>
      <c r="K1559" s="15" t="s">
        <v>22</v>
      </c>
    </row>
    <row r="1560" spans="1:11" ht="42" customHeight="1">
      <c r="A1560" s="4" t="s">
        <v>3942</v>
      </c>
      <c r="B1560" s="5" t="s">
        <v>3943</v>
      </c>
      <c r="C1560" s="5" t="s">
        <v>52</v>
      </c>
      <c r="D1560" s="5" t="s">
        <v>53</v>
      </c>
      <c r="E1560" s="5" t="s">
        <v>144</v>
      </c>
      <c r="F1560" s="9">
        <v>85</v>
      </c>
      <c r="G1560" s="9" t="s">
        <v>475</v>
      </c>
      <c r="H1560" s="5" t="s">
        <v>20</v>
      </c>
      <c r="I1560" s="5" t="s">
        <v>3944</v>
      </c>
      <c r="J1560" s="12" t="str">
        <f>HYPERLINK("https://www.boe.es/gazeta/dias/1805/10/22/pdfs/GMD-C-1805-85.pdf#page=5","Abrir facsímil")</f>
        <v>Abrir facsímil</v>
      </c>
      <c r="K1560" s="15" t="s">
        <v>22</v>
      </c>
    </row>
    <row r="1561" spans="1:11" ht="42" customHeight="1">
      <c r="A1561" s="4" t="s">
        <v>3945</v>
      </c>
      <c r="B1561" s="5" t="s">
        <v>3946</v>
      </c>
      <c r="C1561" s="5" t="s">
        <v>35</v>
      </c>
      <c r="D1561" s="5" t="s">
        <v>36</v>
      </c>
      <c r="E1561" s="5" t="s">
        <v>711</v>
      </c>
      <c r="F1561" s="9">
        <v>63</v>
      </c>
      <c r="G1561" s="9">
        <v>673</v>
      </c>
      <c r="H1561" s="5" t="s">
        <v>20</v>
      </c>
      <c r="I1561" s="5" t="s">
        <v>3947</v>
      </c>
      <c r="J1561" s="12" t="str">
        <f>HYPERLINK("https://www.boe.es/gazeta/dias/1805/08/06/pdfs/GMD-1805-63.pdf#page=9","Abrir facsímil")</f>
        <v>Abrir facsímil</v>
      </c>
      <c r="K1561" s="15" t="s">
        <v>22</v>
      </c>
    </row>
    <row r="1562" spans="1:11" ht="42" customHeight="1">
      <c r="A1562" s="4" t="s">
        <v>3948</v>
      </c>
      <c r="B1562" s="5" t="s">
        <v>3949</v>
      </c>
      <c r="C1562" s="5" t="s">
        <v>35</v>
      </c>
      <c r="D1562" s="5" t="s">
        <v>36</v>
      </c>
      <c r="E1562" s="5" t="s">
        <v>286</v>
      </c>
      <c r="F1562" s="9">
        <v>48</v>
      </c>
      <c r="G1562" s="9">
        <v>520</v>
      </c>
      <c r="H1562" s="5" t="s">
        <v>20</v>
      </c>
      <c r="I1562" s="5" t="s">
        <v>3950</v>
      </c>
      <c r="J1562" s="12" t="str">
        <f>HYPERLINK("https://www.boe.es/gazeta/dias/1805/06/14/pdfs/GMD-1805-48.pdf#page=8","Abrir facsímil")</f>
        <v>Abrir facsímil</v>
      </c>
      <c r="K1562" s="15" t="s">
        <v>22</v>
      </c>
    </row>
    <row r="1563" spans="1:11" ht="42" customHeight="1">
      <c r="A1563" s="4" t="s">
        <v>3951</v>
      </c>
      <c r="B1563" s="5" t="s">
        <v>3952</v>
      </c>
      <c r="C1563" s="5" t="s">
        <v>52</v>
      </c>
      <c r="D1563" s="5" t="s">
        <v>53</v>
      </c>
      <c r="E1563" s="5" t="s">
        <v>144</v>
      </c>
      <c r="F1563" s="9">
        <v>85</v>
      </c>
      <c r="G1563" s="9" t="s">
        <v>475</v>
      </c>
      <c r="H1563" s="5" t="s">
        <v>20</v>
      </c>
      <c r="I1563" s="5" t="s">
        <v>3953</v>
      </c>
      <c r="J1563" s="12" t="str">
        <f>HYPERLINK("https://www.boe.es/gazeta/dias/1805/10/22/pdfs/GMD-C-1805-85.pdf#page=5","Abrir facsímil")</f>
        <v>Abrir facsímil</v>
      </c>
      <c r="K1563" s="15" t="s">
        <v>22</v>
      </c>
    </row>
    <row r="1564" spans="1:11" ht="42" customHeight="1">
      <c r="A1564" s="4" t="s">
        <v>3954</v>
      </c>
      <c r="B1564" s="5" t="s">
        <v>3955</v>
      </c>
      <c r="C1564" s="5" t="s">
        <v>35</v>
      </c>
      <c r="D1564" s="5" t="s">
        <v>36</v>
      </c>
      <c r="E1564" s="5" t="s">
        <v>303</v>
      </c>
      <c r="F1564" s="9">
        <v>57</v>
      </c>
      <c r="G1564" s="9">
        <v>611</v>
      </c>
      <c r="H1564" s="5" t="s">
        <v>20</v>
      </c>
      <c r="I1564" s="5" t="s">
        <v>3956</v>
      </c>
      <c r="J1564" s="12" t="str">
        <f>HYPERLINK("https://www.boe.es/gazeta/dias/1805/07/16/pdfs/GMD-1805-57.pdf#page=7","Abrir facsímil")</f>
        <v>Abrir facsímil</v>
      </c>
      <c r="K1564" s="15" t="s">
        <v>22</v>
      </c>
    </row>
    <row r="1565" spans="1:11" ht="42" customHeight="1">
      <c r="A1565" s="4" t="s">
        <v>3957</v>
      </c>
      <c r="B1565" s="5" t="s">
        <v>3958</v>
      </c>
      <c r="C1565" s="5" t="s">
        <v>35</v>
      </c>
      <c r="D1565" s="5" t="s">
        <v>36</v>
      </c>
      <c r="E1565" s="5" t="s">
        <v>273</v>
      </c>
      <c r="F1565" s="9">
        <v>8</v>
      </c>
      <c r="G1565" s="9">
        <v>88</v>
      </c>
      <c r="H1565" s="5" t="s">
        <v>20</v>
      </c>
      <c r="I1565" s="5" t="s">
        <v>3959</v>
      </c>
      <c r="J1565" s="12" t="str">
        <f>HYPERLINK("https://www.boe.es/gazeta/dias/1805/01/25/pdfs/GMD-1805-8.pdf#page=8","Abrir facsímil")</f>
        <v>Abrir facsímil</v>
      </c>
      <c r="K1565" s="15" t="s">
        <v>22</v>
      </c>
    </row>
    <row r="1566" spans="1:11" ht="42" customHeight="1">
      <c r="A1566" s="4" t="s">
        <v>3960</v>
      </c>
      <c r="B1566" s="5" t="s">
        <v>3961</v>
      </c>
      <c r="C1566" s="5" t="s">
        <v>17</v>
      </c>
      <c r="D1566" s="5" t="s">
        <v>18</v>
      </c>
      <c r="E1566" s="5" t="s">
        <v>393</v>
      </c>
      <c r="F1566" s="9">
        <v>44</v>
      </c>
      <c r="G1566" s="9">
        <v>473</v>
      </c>
      <c r="H1566" s="5" t="s">
        <v>20</v>
      </c>
      <c r="I1566" s="5" t="s">
        <v>3962</v>
      </c>
      <c r="J1566" s="12" t="str">
        <f>HYPERLINK("https://www.boe.es/gazeta/dias/1805/05/31/pdfs/GMD-1805-44.pdf#page=9","Abrir facsímil")</f>
        <v>Abrir facsímil</v>
      </c>
      <c r="K1566" s="15" t="s">
        <v>22</v>
      </c>
    </row>
    <row r="1567" spans="1:11" ht="42" customHeight="1">
      <c r="A1567" s="4" t="s">
        <v>3963</v>
      </c>
      <c r="B1567" s="5" t="s">
        <v>3964</v>
      </c>
      <c r="C1567" s="5" t="s">
        <v>29</v>
      </c>
      <c r="D1567" s="5" t="s">
        <v>30</v>
      </c>
      <c r="E1567" s="5" t="s">
        <v>132</v>
      </c>
      <c r="F1567" s="9">
        <v>2</v>
      </c>
      <c r="G1567" s="9">
        <v>23</v>
      </c>
      <c r="H1567" s="5" t="s">
        <v>20</v>
      </c>
      <c r="I1567" s="5" t="s">
        <v>3965</v>
      </c>
      <c r="J1567" s="12" t="str">
        <f>HYPERLINK("https://www.boe.es/gazeta/dias/1805/01/04/pdfs/GMD-1805-2.pdf#page=11","Abrir facsímil")</f>
        <v>Abrir facsímil</v>
      </c>
      <c r="K1567" s="15" t="s">
        <v>22</v>
      </c>
    </row>
    <row r="1568" spans="1:11" ht="42" customHeight="1">
      <c r="A1568" s="4" t="s">
        <v>3963</v>
      </c>
      <c r="B1568" s="5" t="s">
        <v>3964</v>
      </c>
      <c r="C1568" s="5" t="s">
        <v>35</v>
      </c>
      <c r="D1568" s="5" t="s">
        <v>36</v>
      </c>
      <c r="E1568" s="5" t="s">
        <v>170</v>
      </c>
      <c r="F1568" s="9">
        <v>9</v>
      </c>
      <c r="G1568" s="9">
        <v>103</v>
      </c>
      <c r="H1568" s="5" t="s">
        <v>20</v>
      </c>
      <c r="I1568" s="5" t="s">
        <v>3966</v>
      </c>
      <c r="J1568" s="12" t="str">
        <f>HYPERLINK("https://www.boe.es/gazeta/dias/1805/01/29/pdfs/GMD-1805-9.pdf#page=11","Abrir facsímil")</f>
        <v>Abrir facsímil</v>
      </c>
      <c r="K1568" s="15" t="s">
        <v>22</v>
      </c>
    </row>
    <row r="1569" spans="1:11" ht="42" customHeight="1">
      <c r="A1569" s="4" t="s">
        <v>3963</v>
      </c>
      <c r="B1569" s="5" t="s">
        <v>3964</v>
      </c>
      <c r="C1569" s="5" t="s">
        <v>29</v>
      </c>
      <c r="D1569" s="5" t="s">
        <v>30</v>
      </c>
      <c r="E1569" s="5" t="s">
        <v>281</v>
      </c>
      <c r="F1569" s="9">
        <v>15</v>
      </c>
      <c r="G1569" s="9">
        <v>158</v>
      </c>
      <c r="H1569" s="5" t="s">
        <v>20</v>
      </c>
      <c r="I1569" s="5" t="s">
        <v>3967</v>
      </c>
      <c r="J1569" s="12" t="str">
        <f>HYPERLINK("https://www.boe.es/gazeta/dias/1805/02/19/pdfs/GMD-1805-15.pdf#page=10","Abrir facsímil")</f>
        <v>Abrir facsímil</v>
      </c>
      <c r="K1569" s="15" t="s">
        <v>22</v>
      </c>
    </row>
    <row r="1570" spans="1:11" ht="42" customHeight="1">
      <c r="A1570" s="4" t="s">
        <v>3963</v>
      </c>
      <c r="B1570" s="5" t="s">
        <v>3964</v>
      </c>
      <c r="C1570" s="5" t="s">
        <v>35</v>
      </c>
      <c r="D1570" s="5" t="s">
        <v>36</v>
      </c>
      <c r="E1570" s="5" t="s">
        <v>296</v>
      </c>
      <c r="F1570" s="9">
        <v>26</v>
      </c>
      <c r="G1570" s="9">
        <v>278</v>
      </c>
      <c r="H1570" s="5" t="s">
        <v>20</v>
      </c>
      <c r="I1570" s="5" t="s">
        <v>3968</v>
      </c>
      <c r="J1570" s="12" t="str">
        <f>HYPERLINK("https://www.boe.es/gazeta/dias/1805/03/29/pdfs/GMD-1805-26.pdf#page=10","Abrir facsímil")</f>
        <v>Abrir facsímil</v>
      </c>
      <c r="K1570" s="15" t="s">
        <v>22</v>
      </c>
    </row>
    <row r="1571" spans="1:11" ht="42" customHeight="1">
      <c r="A1571" s="4" t="s">
        <v>3963</v>
      </c>
      <c r="B1571" s="5" t="s">
        <v>3964</v>
      </c>
      <c r="C1571" s="5" t="s">
        <v>35</v>
      </c>
      <c r="D1571" s="5" t="s">
        <v>36</v>
      </c>
      <c r="E1571" s="5" t="s">
        <v>1221</v>
      </c>
      <c r="F1571" s="9">
        <v>41</v>
      </c>
      <c r="G1571" s="9">
        <v>443</v>
      </c>
      <c r="H1571" s="5" t="s">
        <v>20</v>
      </c>
      <c r="I1571" s="5" t="s">
        <v>3969</v>
      </c>
      <c r="J1571" s="12" t="str">
        <f>HYPERLINK("https://www.boe.es/gazeta/dias/1805/05/21/pdfs/GMD-1805-41.pdf#page=11","Abrir facsímil")</f>
        <v>Abrir facsímil</v>
      </c>
      <c r="K1571" s="15" t="s">
        <v>22</v>
      </c>
    </row>
    <row r="1572" spans="1:11" ht="42" customHeight="1">
      <c r="A1572" s="4" t="s">
        <v>3963</v>
      </c>
      <c r="B1572" s="5" t="s">
        <v>3964</v>
      </c>
      <c r="C1572" s="5" t="s">
        <v>35</v>
      </c>
      <c r="D1572" s="5" t="s">
        <v>36</v>
      </c>
      <c r="E1572" s="5" t="s">
        <v>958</v>
      </c>
      <c r="F1572" s="9">
        <v>58</v>
      </c>
      <c r="G1572" s="9">
        <v>622</v>
      </c>
      <c r="H1572" s="5" t="s">
        <v>20</v>
      </c>
      <c r="I1572" s="5" t="s">
        <v>3970</v>
      </c>
      <c r="J1572" s="12" t="str">
        <f>HYPERLINK("https://www.boe.es/gazeta/dias/1805/07/19/pdfs/GMD-1805-58.pdf#page=6","Abrir facsímil")</f>
        <v>Abrir facsímil</v>
      </c>
      <c r="K1572" s="15" t="s">
        <v>22</v>
      </c>
    </row>
    <row r="1573" spans="1:11" ht="42" customHeight="1">
      <c r="A1573" s="4" t="s">
        <v>3963</v>
      </c>
      <c r="B1573" s="5" t="s">
        <v>3964</v>
      </c>
      <c r="C1573" s="5" t="s">
        <v>35</v>
      </c>
      <c r="D1573" s="5" t="s">
        <v>36</v>
      </c>
      <c r="E1573" s="5" t="s">
        <v>31</v>
      </c>
      <c r="F1573" s="9">
        <v>65</v>
      </c>
      <c r="G1573" s="9">
        <v>697</v>
      </c>
      <c r="H1573" s="5" t="s">
        <v>20</v>
      </c>
      <c r="I1573" s="5" t="s">
        <v>3971</v>
      </c>
      <c r="J1573" s="12" t="str">
        <f>HYPERLINK("https://www.boe.es/gazeta/dias/1805/08/13/pdfs/GMD-1805-65.pdf#page=9","Abrir facsímil")</f>
        <v>Abrir facsímil</v>
      </c>
      <c r="K1573" s="15" t="s">
        <v>22</v>
      </c>
    </row>
    <row r="1574" spans="1:11" ht="42" customHeight="1">
      <c r="A1574" s="4" t="s">
        <v>3963</v>
      </c>
      <c r="B1574" s="5" t="s">
        <v>3964</v>
      </c>
      <c r="C1574" s="5" t="s">
        <v>35</v>
      </c>
      <c r="D1574" s="5" t="s">
        <v>36</v>
      </c>
      <c r="E1574" s="5" t="s">
        <v>456</v>
      </c>
      <c r="F1574" s="9">
        <v>70</v>
      </c>
      <c r="G1574" s="9">
        <v>747</v>
      </c>
      <c r="H1574" s="5" t="s">
        <v>20</v>
      </c>
      <c r="I1574" s="5" t="s">
        <v>3972</v>
      </c>
      <c r="J1574" s="12" t="str">
        <f>HYPERLINK("https://www.boe.es/gazeta/dias/1805/08/30/pdfs/GMD-1805-70.pdf#page=7","Abrir facsímil")</f>
        <v>Abrir facsímil</v>
      </c>
      <c r="K1574" s="15" t="s">
        <v>22</v>
      </c>
    </row>
    <row r="1575" spans="1:11" ht="42" customHeight="1">
      <c r="A1575" s="4" t="s">
        <v>3963</v>
      </c>
      <c r="B1575" s="5" t="s">
        <v>3964</v>
      </c>
      <c r="C1575" s="5" t="s">
        <v>35</v>
      </c>
      <c r="D1575" s="5" t="s">
        <v>36</v>
      </c>
      <c r="E1575" s="5" t="s">
        <v>422</v>
      </c>
      <c r="F1575" s="9">
        <v>74</v>
      </c>
      <c r="G1575" s="9">
        <v>788</v>
      </c>
      <c r="H1575" s="5" t="s">
        <v>20</v>
      </c>
      <c r="I1575" s="5" t="s">
        <v>3973</v>
      </c>
      <c r="J1575" s="12" t="str">
        <f>HYPERLINK("https://www.boe.es/gazeta/dias/1805/09/13/pdfs/GMD-1805-74.pdf#page=12","Abrir facsímil")</f>
        <v>Abrir facsímil</v>
      </c>
      <c r="K1575" s="15" t="s">
        <v>22</v>
      </c>
    </row>
    <row r="1576" spans="1:11" ht="42" customHeight="1">
      <c r="A1576" s="4" t="s">
        <v>3963</v>
      </c>
      <c r="B1576" s="5" t="s">
        <v>3964</v>
      </c>
      <c r="C1576" s="5" t="s">
        <v>35</v>
      </c>
      <c r="D1576" s="5" t="s">
        <v>36</v>
      </c>
      <c r="E1576" s="5" t="s">
        <v>163</v>
      </c>
      <c r="F1576" s="9">
        <v>77</v>
      </c>
      <c r="G1576" s="9">
        <v>818</v>
      </c>
      <c r="H1576" s="5" t="s">
        <v>20</v>
      </c>
      <c r="I1576" s="5" t="s">
        <v>3974</v>
      </c>
      <c r="J1576" s="12" t="str">
        <f>HYPERLINK("https://www.boe.es/gazeta/dias/1805/09/24/pdfs/GMD-1805-77.pdf#page=10","Abrir facsímil")</f>
        <v>Abrir facsímil</v>
      </c>
      <c r="K1576" s="15" t="s">
        <v>22</v>
      </c>
    </row>
    <row r="1577" spans="1:11" ht="42" customHeight="1">
      <c r="A1577" s="4" t="s">
        <v>3963</v>
      </c>
      <c r="B1577" s="5" t="s">
        <v>3964</v>
      </c>
      <c r="C1577" s="5" t="s">
        <v>35</v>
      </c>
      <c r="D1577" s="5" t="s">
        <v>36</v>
      </c>
      <c r="E1577" s="5" t="s">
        <v>19</v>
      </c>
      <c r="F1577" s="9">
        <v>86</v>
      </c>
      <c r="G1577" s="9">
        <v>915</v>
      </c>
      <c r="H1577" s="5" t="s">
        <v>20</v>
      </c>
      <c r="I1577" s="5" t="s">
        <v>3975</v>
      </c>
      <c r="J1577" s="12" t="str">
        <f>HYPERLINK("https://www.boe.es/gazeta/dias/1805/10/25/pdfs/GMD-1805-86.pdf#page=11","Abrir facsímil")</f>
        <v>Abrir facsímil</v>
      </c>
      <c r="K1577" s="15" t="s">
        <v>22</v>
      </c>
    </row>
    <row r="1578" spans="1:11" ht="42" customHeight="1">
      <c r="A1578" s="4" t="s">
        <v>3976</v>
      </c>
      <c r="B1578" s="5" t="s">
        <v>3977</v>
      </c>
      <c r="C1578" s="5" t="s">
        <v>17</v>
      </c>
      <c r="D1578" s="5" t="s">
        <v>18</v>
      </c>
      <c r="E1578" s="5" t="s">
        <v>422</v>
      </c>
      <c r="F1578" s="9">
        <v>74</v>
      </c>
      <c r="G1578" s="9">
        <v>786</v>
      </c>
      <c r="H1578" s="5" t="s">
        <v>20</v>
      </c>
      <c r="I1578" s="5" t="s">
        <v>3978</v>
      </c>
      <c r="J1578" s="12" t="str">
        <f>HYPERLINK("https://www.boe.es/gazeta/dias/1805/09/13/pdfs/GMD-1805-74.pdf#page=10","Abrir facsímil")</f>
        <v>Abrir facsímil</v>
      </c>
      <c r="K1578" s="15" t="s">
        <v>22</v>
      </c>
    </row>
    <row r="1579" spans="1:11" ht="42" customHeight="1">
      <c r="A1579" s="4" t="s">
        <v>3979</v>
      </c>
      <c r="B1579" s="5" t="s">
        <v>3980</v>
      </c>
      <c r="C1579" s="5" t="s">
        <v>35</v>
      </c>
      <c r="D1579" s="5" t="s">
        <v>36</v>
      </c>
      <c r="E1579" s="5" t="s">
        <v>303</v>
      </c>
      <c r="F1579" s="9">
        <v>57</v>
      </c>
      <c r="G1579" s="9">
        <v>609</v>
      </c>
      <c r="H1579" s="5" t="s">
        <v>20</v>
      </c>
      <c r="I1579" s="5" t="s">
        <v>3981</v>
      </c>
      <c r="J1579" s="12" t="str">
        <f>HYPERLINK("https://www.boe.es/gazeta/dias/1805/07/16/pdfs/GMD-1805-57.pdf#page=5","Abrir facsímil")</f>
        <v>Abrir facsímil</v>
      </c>
      <c r="K1579" s="15" t="s">
        <v>22</v>
      </c>
    </row>
    <row r="1580" spans="1:11" ht="42" customHeight="1">
      <c r="A1580" s="4" t="s">
        <v>3982</v>
      </c>
      <c r="B1580" s="5" t="s">
        <v>3983</v>
      </c>
      <c r="C1580" s="5" t="s">
        <v>85</v>
      </c>
      <c r="D1580" s="5" t="s">
        <v>86</v>
      </c>
      <c r="E1580" s="5" t="s">
        <v>276</v>
      </c>
      <c r="F1580" s="9">
        <v>51</v>
      </c>
      <c r="G1580" s="9">
        <v>550</v>
      </c>
      <c r="H1580" s="5" t="s">
        <v>20</v>
      </c>
      <c r="I1580" s="5" t="s">
        <v>3984</v>
      </c>
      <c r="J1580" s="12" t="str">
        <f>HYPERLINK("https://www.boe.es/gazeta/dias/1805/06/25/pdfs/GMD-1805-51.pdf#page=6","Abrir facsímil")</f>
        <v>Abrir facsímil</v>
      </c>
      <c r="K1580" s="15" t="s">
        <v>22</v>
      </c>
    </row>
    <row r="1581" spans="1:11" ht="42" customHeight="1">
      <c r="A1581" s="4" t="s">
        <v>3985</v>
      </c>
      <c r="B1581" s="5" t="s">
        <v>3986</v>
      </c>
      <c r="C1581" s="5" t="s">
        <v>17</v>
      </c>
      <c r="D1581" s="5" t="s">
        <v>18</v>
      </c>
      <c r="E1581" s="5" t="s">
        <v>300</v>
      </c>
      <c r="F1581" s="9">
        <v>81</v>
      </c>
      <c r="G1581" s="9">
        <v>859</v>
      </c>
      <c r="H1581" s="5" t="s">
        <v>20</v>
      </c>
      <c r="I1581" s="5" t="s">
        <v>3987</v>
      </c>
      <c r="J1581" s="12" t="str">
        <f>HYPERLINK("https://www.boe.es/gazeta/dias/1805/10/08/pdfs/GMD-1805-81.pdf#page=7","Abrir facsímil")</f>
        <v>Abrir facsímil</v>
      </c>
      <c r="K1581" s="15" t="s">
        <v>22</v>
      </c>
    </row>
    <row r="1582" spans="1:11" ht="42" customHeight="1">
      <c r="A1582" s="4" t="s">
        <v>3988</v>
      </c>
      <c r="B1582" s="5" t="s">
        <v>3989</v>
      </c>
      <c r="C1582" s="5" t="s">
        <v>35</v>
      </c>
      <c r="D1582" s="5" t="s">
        <v>36</v>
      </c>
      <c r="E1582" s="5" t="s">
        <v>31</v>
      </c>
      <c r="F1582" s="9">
        <v>65</v>
      </c>
      <c r="G1582" s="9">
        <v>696</v>
      </c>
      <c r="H1582" s="5" t="s">
        <v>20</v>
      </c>
      <c r="I1582" s="5" t="s">
        <v>3990</v>
      </c>
      <c r="J1582" s="12" t="str">
        <f>HYPERLINK("https://www.boe.es/gazeta/dias/1805/08/13/pdfs/GMD-1805-65.pdf#page=8","Abrir facsímil")</f>
        <v>Abrir facsímil</v>
      </c>
      <c r="K1582" s="15" t="s">
        <v>22</v>
      </c>
    </row>
    <row r="1583" spans="1:11" ht="42" customHeight="1">
      <c r="A1583" s="4" t="s">
        <v>3991</v>
      </c>
      <c r="B1583" s="5" t="s">
        <v>3992</v>
      </c>
      <c r="C1583" s="5" t="s">
        <v>85</v>
      </c>
      <c r="D1583" s="5" t="s">
        <v>86</v>
      </c>
      <c r="E1583" s="5" t="s">
        <v>37</v>
      </c>
      <c r="F1583" s="9">
        <v>54</v>
      </c>
      <c r="G1583" s="9">
        <v>579</v>
      </c>
      <c r="H1583" s="5" t="s">
        <v>20</v>
      </c>
      <c r="I1583" s="5" t="s">
        <v>3993</v>
      </c>
      <c r="J1583" s="12" t="str">
        <f>HYPERLINK("https://www.boe.es/gazeta/dias/1805/07/05/pdfs/GMD-1805-54.pdf#page=7","Abrir facsímil")</f>
        <v>Abrir facsímil</v>
      </c>
      <c r="K1583" s="15" t="s">
        <v>22</v>
      </c>
    </row>
    <row r="1584" spans="1:11" ht="42" customHeight="1">
      <c r="A1584" s="4" t="s">
        <v>3994</v>
      </c>
      <c r="B1584" s="5" t="s">
        <v>3995</v>
      </c>
      <c r="C1584" s="5" t="s">
        <v>35</v>
      </c>
      <c r="D1584" s="5" t="s">
        <v>36</v>
      </c>
      <c r="E1584" s="5" t="s">
        <v>99</v>
      </c>
      <c r="F1584" s="9">
        <v>83</v>
      </c>
      <c r="G1584" s="9">
        <v>882</v>
      </c>
      <c r="H1584" s="5" t="s">
        <v>20</v>
      </c>
      <c r="I1584" s="5" t="s">
        <v>3996</v>
      </c>
      <c r="J1584" s="12" t="str">
        <f>HYPERLINK("https://www.boe.es/gazeta/dias/1805/10/15/pdfs/GMD-1805-83.pdf#page=10","Abrir facsímil")</f>
        <v>Abrir facsímil</v>
      </c>
      <c r="K1584" s="15" t="s">
        <v>22</v>
      </c>
    </row>
    <row r="1585" spans="1:11" ht="42" customHeight="1">
      <c r="A1585" s="4" t="s">
        <v>3997</v>
      </c>
      <c r="B1585" s="5" t="s">
        <v>3998</v>
      </c>
      <c r="C1585" s="5" t="s">
        <v>29</v>
      </c>
      <c r="D1585" s="5" t="s">
        <v>30</v>
      </c>
      <c r="E1585" s="5" t="s">
        <v>471</v>
      </c>
      <c r="F1585" s="9">
        <v>22</v>
      </c>
      <c r="G1585" s="9">
        <v>236</v>
      </c>
      <c r="H1585" s="5" t="s">
        <v>20</v>
      </c>
      <c r="I1585" s="5" t="s">
        <v>3999</v>
      </c>
      <c r="J1585" s="12" t="str">
        <f>HYPERLINK("https://www.boe.es/gazeta/dias/1805/03/15/pdfs/GMD-1805-22.pdf#page=12","Abrir facsímil")</f>
        <v>Abrir facsímil</v>
      </c>
      <c r="K1585" s="15" t="s">
        <v>22</v>
      </c>
    </row>
    <row r="1586" spans="1:11" ht="42" customHeight="1">
      <c r="A1586" s="4" t="s">
        <v>4000</v>
      </c>
      <c r="B1586" s="5" t="s">
        <v>4001</v>
      </c>
      <c r="C1586" s="5" t="s">
        <v>29</v>
      </c>
      <c r="D1586" s="5" t="s">
        <v>30</v>
      </c>
      <c r="E1586" s="5" t="s">
        <v>293</v>
      </c>
      <c r="F1586" s="9">
        <v>5</v>
      </c>
      <c r="G1586" s="9">
        <v>56</v>
      </c>
      <c r="H1586" s="5" t="s">
        <v>20</v>
      </c>
      <c r="I1586" s="5" t="s">
        <v>4002</v>
      </c>
      <c r="J1586" s="12" t="str">
        <f>HYPERLINK("https://www.boe.es/gazeta/dias/1805/01/15/pdfs/GMD-1805-5.pdf#page=12","Abrir facsímil")</f>
        <v>Abrir facsímil</v>
      </c>
      <c r="K1586" s="15" t="s">
        <v>22</v>
      </c>
    </row>
    <row r="1587" spans="1:11" ht="42" customHeight="1">
      <c r="A1587" s="4" t="s">
        <v>4003</v>
      </c>
      <c r="B1587" s="5" t="s">
        <v>4004</v>
      </c>
      <c r="C1587" s="5" t="s">
        <v>17</v>
      </c>
      <c r="D1587" s="5" t="s">
        <v>18</v>
      </c>
      <c r="E1587" s="5" t="s">
        <v>170</v>
      </c>
      <c r="F1587" s="9">
        <v>9</v>
      </c>
      <c r="G1587" s="9">
        <v>104</v>
      </c>
      <c r="H1587" s="5" t="s">
        <v>20</v>
      </c>
      <c r="I1587" s="5" t="s">
        <v>4005</v>
      </c>
      <c r="J1587" s="12" t="str">
        <f>HYPERLINK("https://www.boe.es/gazeta/dias/1805/01/29/pdfs/GMD-1805-9.pdf#page=12","Abrir facsímil")</f>
        <v>Abrir facsímil</v>
      </c>
      <c r="K1587" s="15" t="s">
        <v>22</v>
      </c>
    </row>
    <row r="1588" spans="1:11" ht="42" customHeight="1">
      <c r="A1588" s="4" t="s">
        <v>4006</v>
      </c>
      <c r="B1588" s="5" t="s">
        <v>4007</v>
      </c>
      <c r="C1588" s="5" t="s">
        <v>17</v>
      </c>
      <c r="D1588" s="5" t="s">
        <v>18</v>
      </c>
      <c r="E1588" s="5" t="s">
        <v>138</v>
      </c>
      <c r="F1588" s="9">
        <v>102</v>
      </c>
      <c r="G1588" s="9">
        <v>1104</v>
      </c>
      <c r="H1588" s="5" t="s">
        <v>20</v>
      </c>
      <c r="I1588" s="5" t="s">
        <v>4008</v>
      </c>
      <c r="J1588" s="12" t="str">
        <f>HYPERLINK("https://www.boe.es/gazeta/dias/1805/12/20/pdfs/GMD-1805-102.pdf#page=8","Abrir facsímil")</f>
        <v>Abrir facsímil</v>
      </c>
      <c r="K1588" s="15" t="s">
        <v>22</v>
      </c>
    </row>
    <row r="1589" spans="1:11" ht="42" customHeight="1">
      <c r="A1589" s="4" t="s">
        <v>4009</v>
      </c>
      <c r="B1589" s="5" t="s">
        <v>4010</v>
      </c>
      <c r="C1589" s="5" t="s">
        <v>35</v>
      </c>
      <c r="D1589" s="5" t="s">
        <v>36</v>
      </c>
      <c r="E1589" s="5" t="s">
        <v>44</v>
      </c>
      <c r="F1589" s="9">
        <v>29</v>
      </c>
      <c r="G1589" s="9">
        <v>315</v>
      </c>
      <c r="H1589" s="5" t="s">
        <v>20</v>
      </c>
      <c r="I1589" s="5" t="s">
        <v>4011</v>
      </c>
      <c r="J1589" s="12" t="str">
        <f>HYPERLINK("https://www.boe.es/gazeta/dias/1805/04/09/pdfs/GMD-1805-29.pdf#page=11","Abrir facsímil")</f>
        <v>Abrir facsímil</v>
      </c>
      <c r="K1589" s="15" t="s">
        <v>22</v>
      </c>
    </row>
    <row r="1590" spans="1:11" ht="42" customHeight="1">
      <c r="A1590" s="4" t="s">
        <v>4009</v>
      </c>
      <c r="B1590" s="5" t="s">
        <v>4010</v>
      </c>
      <c r="C1590" s="5" t="s">
        <v>29</v>
      </c>
      <c r="D1590" s="5" t="s">
        <v>30</v>
      </c>
      <c r="E1590" s="5" t="s">
        <v>399</v>
      </c>
      <c r="F1590" s="9">
        <v>39</v>
      </c>
      <c r="G1590" s="9">
        <v>424</v>
      </c>
      <c r="H1590" s="5" t="s">
        <v>20</v>
      </c>
      <c r="I1590" s="5" t="s">
        <v>4012</v>
      </c>
      <c r="J1590" s="12" t="str">
        <f>HYPERLINK("https://www.boe.es/gazeta/dias/1805/05/14/pdfs/GMD-1805-39.pdf#page=12","Abrir facsímil")</f>
        <v>Abrir facsímil</v>
      </c>
      <c r="K1590" s="15" t="s">
        <v>22</v>
      </c>
    </row>
    <row r="1591" spans="1:11" ht="42" customHeight="1">
      <c r="A1591" s="4" t="s">
        <v>4013</v>
      </c>
      <c r="B1591" s="5" t="s">
        <v>4014</v>
      </c>
      <c r="C1591" s="5" t="s">
        <v>17</v>
      </c>
      <c r="D1591" s="5" t="s">
        <v>18</v>
      </c>
      <c r="E1591" s="5" t="s">
        <v>200</v>
      </c>
      <c r="F1591" s="9">
        <v>91</v>
      </c>
      <c r="G1591" s="9">
        <v>977</v>
      </c>
      <c r="H1591" s="5" t="s">
        <v>20</v>
      </c>
      <c r="I1591" s="5" t="s">
        <v>4015</v>
      </c>
      <c r="J1591" s="12" t="str">
        <f>HYPERLINK("https://www.boe.es/gazeta/dias/1805/11/12/pdfs/GMD-1805-91.pdf#page=9","Abrir facsímil")</f>
        <v>Abrir facsímil</v>
      </c>
      <c r="K1591" s="15" t="s">
        <v>22</v>
      </c>
    </row>
    <row r="1592" spans="1:11" ht="42" customHeight="1">
      <c r="A1592" s="4" t="s">
        <v>4016</v>
      </c>
      <c r="B1592" s="5" t="s">
        <v>4017</v>
      </c>
      <c r="C1592" s="5" t="s">
        <v>35</v>
      </c>
      <c r="D1592" s="5" t="s">
        <v>36</v>
      </c>
      <c r="E1592" s="5" t="s">
        <v>192</v>
      </c>
      <c r="F1592" s="9">
        <v>105</v>
      </c>
      <c r="G1592" s="9">
        <v>1137</v>
      </c>
      <c r="H1592" s="5" t="s">
        <v>20</v>
      </c>
      <c r="I1592" s="5" t="s">
        <v>4018</v>
      </c>
      <c r="J1592" s="12" t="str">
        <f>HYPERLINK("https://www.boe.es/gazeta/dias/1805/12/31/pdfs/GMD-1805-105.pdf#page=9","Abrir facsímil")</f>
        <v>Abrir facsímil</v>
      </c>
      <c r="K1592" s="15" t="s">
        <v>22</v>
      </c>
    </row>
    <row r="1593" spans="1:11" ht="42" customHeight="1">
      <c r="A1593" s="4" t="s">
        <v>4019</v>
      </c>
      <c r="B1593" s="5" t="s">
        <v>4020</v>
      </c>
      <c r="C1593" s="5" t="s">
        <v>35</v>
      </c>
      <c r="D1593" s="5" t="s">
        <v>36</v>
      </c>
      <c r="E1593" s="5" t="s">
        <v>67</v>
      </c>
      <c r="F1593" s="9">
        <v>98</v>
      </c>
      <c r="G1593" s="9">
        <v>1059</v>
      </c>
      <c r="H1593" s="5" t="s">
        <v>20</v>
      </c>
      <c r="I1593" s="5" t="s">
        <v>4021</v>
      </c>
      <c r="J1593" s="12" t="str">
        <f>HYPERLINK("https://www.boe.es/gazeta/dias/1805/12/06/pdfs/GMD-1805-98.pdf#page=11","Abrir facsímil")</f>
        <v>Abrir facsímil</v>
      </c>
      <c r="K1593" s="15" t="s">
        <v>22</v>
      </c>
    </row>
    <row r="1594" spans="1:11" ht="42" customHeight="1">
      <c r="A1594" s="4" t="s">
        <v>4022</v>
      </c>
      <c r="B1594" s="5" t="s">
        <v>4023</v>
      </c>
      <c r="C1594" s="5" t="s">
        <v>17</v>
      </c>
      <c r="D1594" s="5" t="s">
        <v>18</v>
      </c>
      <c r="E1594" s="5" t="s">
        <v>135</v>
      </c>
      <c r="F1594" s="9">
        <v>71</v>
      </c>
      <c r="G1594" s="9">
        <v>759</v>
      </c>
      <c r="H1594" s="5" t="s">
        <v>20</v>
      </c>
      <c r="I1594" s="5" t="s">
        <v>4024</v>
      </c>
      <c r="J1594" s="12" t="str">
        <f>HYPERLINK("https://www.boe.es/gazeta/dias/1805/09/03/pdfs/GMD-1805-71.pdf#page=11","Abrir facsímil")</f>
        <v>Abrir facsímil</v>
      </c>
      <c r="K1594" s="15" t="s">
        <v>22</v>
      </c>
    </row>
    <row r="1595" spans="1:11" ht="42" customHeight="1">
      <c r="A1595" s="4" t="s">
        <v>4025</v>
      </c>
      <c r="B1595" s="5" t="s">
        <v>4026</v>
      </c>
      <c r="C1595" s="5" t="s">
        <v>17</v>
      </c>
      <c r="D1595" s="5" t="s">
        <v>18</v>
      </c>
      <c r="E1595" s="5" t="s">
        <v>363</v>
      </c>
      <c r="F1595" s="9">
        <v>1</v>
      </c>
      <c r="G1595" s="9">
        <v>10</v>
      </c>
      <c r="H1595" s="5" t="s">
        <v>20</v>
      </c>
      <c r="I1595" s="5" t="s">
        <v>4027</v>
      </c>
      <c r="J1595" s="12" t="str">
        <f>HYPERLINK("https://www.boe.es/gazeta/dias/1805/01/01/pdfs/GMD-1805-1.pdf#page=10","Abrir facsímil")</f>
        <v>Abrir facsímil</v>
      </c>
      <c r="K1595" s="15" t="s">
        <v>22</v>
      </c>
    </row>
    <row r="1596" spans="1:11" ht="42" customHeight="1">
      <c r="A1596" s="4" t="s">
        <v>4028</v>
      </c>
      <c r="B1596" s="5" t="s">
        <v>4029</v>
      </c>
      <c r="C1596" s="5" t="s">
        <v>29</v>
      </c>
      <c r="D1596" s="5" t="s">
        <v>30</v>
      </c>
      <c r="E1596" s="5" t="s">
        <v>1471</v>
      </c>
      <c r="F1596" s="9">
        <v>34</v>
      </c>
      <c r="G1596" s="9">
        <v>364</v>
      </c>
      <c r="H1596" s="5" t="s">
        <v>20</v>
      </c>
      <c r="I1596" s="5" t="s">
        <v>4030</v>
      </c>
      <c r="J1596" s="12" t="str">
        <f>HYPERLINK("https://www.boe.es/gazeta/dias/1805/04/26/pdfs/GMD-1805-34.pdf#page=8","Abrir facsímil")</f>
        <v>Abrir facsímil</v>
      </c>
      <c r="K1596" s="15" t="s">
        <v>22</v>
      </c>
    </row>
    <row r="1597" spans="1:11" ht="42" customHeight="1">
      <c r="A1597" s="4" t="s">
        <v>4031</v>
      </c>
      <c r="B1597" s="5" t="s">
        <v>4032</v>
      </c>
      <c r="C1597" s="5" t="s">
        <v>85</v>
      </c>
      <c r="D1597" s="5" t="s">
        <v>86</v>
      </c>
      <c r="E1597" s="5" t="s">
        <v>192</v>
      </c>
      <c r="F1597" s="9">
        <v>105</v>
      </c>
      <c r="G1597" s="9">
        <v>1137</v>
      </c>
      <c r="H1597" s="5" t="s">
        <v>20</v>
      </c>
      <c r="I1597" s="5" t="s">
        <v>4033</v>
      </c>
      <c r="J1597" s="12" t="str">
        <f>HYPERLINK("https://www.boe.es/gazeta/dias/1805/12/31/pdfs/GMD-1805-105.pdf#page=9","Abrir facsímil")</f>
        <v>Abrir facsímil</v>
      </c>
      <c r="K1597" s="15" t="s">
        <v>22</v>
      </c>
    </row>
    <row r="1598" spans="1:11" ht="42" customHeight="1">
      <c r="A1598" s="4" t="s">
        <v>4034</v>
      </c>
      <c r="B1598" s="5" t="s">
        <v>4035</v>
      </c>
      <c r="C1598" s="5" t="s">
        <v>35</v>
      </c>
      <c r="D1598" s="5" t="s">
        <v>36</v>
      </c>
      <c r="E1598" s="5" t="s">
        <v>363</v>
      </c>
      <c r="F1598" s="9">
        <v>1</v>
      </c>
      <c r="G1598" s="9">
        <v>11</v>
      </c>
      <c r="H1598" s="5" t="s">
        <v>20</v>
      </c>
      <c r="I1598" s="5" t="s">
        <v>4036</v>
      </c>
      <c r="J1598" s="12" t="str">
        <f>HYPERLINK("https://www.boe.es/gazeta/dias/1805/01/01/pdfs/GMD-1805-1.pdf#page=11","Abrir facsímil")</f>
        <v>Abrir facsímil</v>
      </c>
      <c r="K1598" s="15" t="s">
        <v>22</v>
      </c>
    </row>
    <row r="1599" spans="1:11" ht="42" customHeight="1">
      <c r="A1599" s="4" t="s">
        <v>4034</v>
      </c>
      <c r="B1599" s="5" t="s">
        <v>4035</v>
      </c>
      <c r="C1599" s="5" t="s">
        <v>85</v>
      </c>
      <c r="D1599" s="5" t="s">
        <v>86</v>
      </c>
      <c r="E1599" s="5" t="s">
        <v>649</v>
      </c>
      <c r="F1599" s="9">
        <v>7</v>
      </c>
      <c r="G1599" s="9">
        <v>79</v>
      </c>
      <c r="H1599" s="5" t="s">
        <v>20</v>
      </c>
      <c r="I1599" s="5" t="s">
        <v>4037</v>
      </c>
      <c r="J1599" s="12" t="str">
        <f>HYPERLINK("https://www.boe.es/gazeta/dias/1805/01/22/pdfs/GMD-1805-7.pdf#page=11","Abrir facsímil")</f>
        <v>Abrir facsímil</v>
      </c>
      <c r="K1599" s="15" t="s">
        <v>22</v>
      </c>
    </row>
    <row r="1600" spans="1:11" ht="42" customHeight="1">
      <c r="A1600" s="4" t="s">
        <v>4034</v>
      </c>
      <c r="B1600" s="5" t="s">
        <v>4035</v>
      </c>
      <c r="C1600" s="5" t="s">
        <v>184</v>
      </c>
      <c r="D1600" s="5" t="s">
        <v>86</v>
      </c>
      <c r="E1600" s="5" t="s">
        <v>356</v>
      </c>
      <c r="F1600" s="9">
        <v>12</v>
      </c>
      <c r="G1600" s="9">
        <v>132</v>
      </c>
      <c r="H1600" s="5" t="s">
        <v>20</v>
      </c>
      <c r="I1600" s="5" t="s">
        <v>4038</v>
      </c>
      <c r="J1600" s="12" t="str">
        <f>HYPERLINK("https://www.boe.es/gazeta/dias/1805/02/08/pdfs/GMD-1805-12.pdf#page=8","Abrir facsímil")</f>
        <v>Abrir facsímil</v>
      </c>
      <c r="K1600" s="15" t="s">
        <v>22</v>
      </c>
    </row>
    <row r="1601" spans="1:11" ht="42" customHeight="1">
      <c r="A1601" s="4" t="s">
        <v>4034</v>
      </c>
      <c r="B1601" s="5" t="s">
        <v>4035</v>
      </c>
      <c r="C1601" s="5" t="s">
        <v>35</v>
      </c>
      <c r="D1601" s="5" t="s">
        <v>36</v>
      </c>
      <c r="E1601" s="5" t="s">
        <v>281</v>
      </c>
      <c r="F1601" s="9">
        <v>15</v>
      </c>
      <c r="G1601" s="9">
        <v>157</v>
      </c>
      <c r="H1601" s="5" t="s">
        <v>20</v>
      </c>
      <c r="I1601" s="5" t="s">
        <v>4039</v>
      </c>
      <c r="J1601" s="12" t="str">
        <f>HYPERLINK("https://www.boe.es/gazeta/dias/1805/02/19/pdfs/GMD-1805-15.pdf#page=9","Abrir facsímil")</f>
        <v>Abrir facsímil</v>
      </c>
      <c r="K1601" s="15" t="s">
        <v>22</v>
      </c>
    </row>
    <row r="1602" spans="1:11" ht="42" customHeight="1">
      <c r="A1602" s="4" t="s">
        <v>4034</v>
      </c>
      <c r="B1602" s="5" t="s">
        <v>4035</v>
      </c>
      <c r="C1602" s="5" t="s">
        <v>85</v>
      </c>
      <c r="D1602" s="5" t="s">
        <v>86</v>
      </c>
      <c r="E1602" s="5" t="s">
        <v>27</v>
      </c>
      <c r="F1602" s="9">
        <v>37</v>
      </c>
      <c r="G1602" s="9">
        <v>402</v>
      </c>
      <c r="H1602" s="5" t="s">
        <v>20</v>
      </c>
      <c r="I1602" s="5" t="s">
        <v>4040</v>
      </c>
      <c r="J1602" s="12" t="str">
        <f>HYPERLINK("https://www.boe.es/gazeta/dias/1805/05/07/pdfs/GMD-1805-37.pdf#page=10","Abrir facsímil")</f>
        <v>Abrir facsímil</v>
      </c>
      <c r="K1602" s="15" t="s">
        <v>22</v>
      </c>
    </row>
    <row r="1603" spans="1:11" ht="42" customHeight="1">
      <c r="A1603" s="4" t="s">
        <v>4034</v>
      </c>
      <c r="B1603" s="5" t="s">
        <v>4035</v>
      </c>
      <c r="C1603" s="5" t="s">
        <v>29</v>
      </c>
      <c r="D1603" s="5" t="s">
        <v>30</v>
      </c>
      <c r="E1603" s="5" t="s">
        <v>850</v>
      </c>
      <c r="F1603" s="9">
        <v>42</v>
      </c>
      <c r="G1603" s="9">
        <v>453</v>
      </c>
      <c r="H1603" s="5" t="s">
        <v>20</v>
      </c>
      <c r="I1603" s="5" t="s">
        <v>4041</v>
      </c>
      <c r="J1603" s="12" t="str">
        <f>HYPERLINK("https://www.boe.es/gazeta/dias/1805/05/24/pdfs/GMD-1805-42.pdf#page=9","Abrir facsímil")</f>
        <v>Abrir facsímil</v>
      </c>
      <c r="K1603" s="15" t="s">
        <v>22</v>
      </c>
    </row>
    <row r="1604" spans="1:11" ht="42" customHeight="1">
      <c r="A1604" s="4" t="s">
        <v>4034</v>
      </c>
      <c r="B1604" s="5" t="s">
        <v>4035</v>
      </c>
      <c r="C1604" s="5" t="s">
        <v>35</v>
      </c>
      <c r="D1604" s="5" t="s">
        <v>36</v>
      </c>
      <c r="E1604" s="5" t="s">
        <v>567</v>
      </c>
      <c r="F1604" s="9">
        <v>49</v>
      </c>
      <c r="G1604" s="9">
        <v>531</v>
      </c>
      <c r="H1604" s="5" t="s">
        <v>20</v>
      </c>
      <c r="I1604" s="5" t="s">
        <v>4042</v>
      </c>
      <c r="J1604" s="12" t="str">
        <f>HYPERLINK("https://www.boe.es/gazeta/dias/1805/06/18/pdfs/GMD-1805-49.pdf#page=7","Abrir facsímil")</f>
        <v>Abrir facsímil</v>
      </c>
      <c r="K1604" s="15" t="s">
        <v>22</v>
      </c>
    </row>
    <row r="1605" spans="1:11" ht="42" customHeight="1">
      <c r="A1605" s="4" t="s">
        <v>4034</v>
      </c>
      <c r="B1605" s="5" t="s">
        <v>4035</v>
      </c>
      <c r="C1605" s="5" t="s">
        <v>29</v>
      </c>
      <c r="D1605" s="5" t="s">
        <v>30</v>
      </c>
      <c r="E1605" s="5" t="s">
        <v>711</v>
      </c>
      <c r="F1605" s="9">
        <v>63</v>
      </c>
      <c r="G1605" s="9">
        <v>675</v>
      </c>
      <c r="H1605" s="5" t="s">
        <v>20</v>
      </c>
      <c r="I1605" s="5" t="s">
        <v>4043</v>
      </c>
      <c r="J1605" s="12" t="str">
        <f>HYPERLINK("https://www.boe.es/gazeta/dias/1805/08/06/pdfs/GMD-1805-63.pdf#page=11","Abrir facsímil")</f>
        <v>Abrir facsímil</v>
      </c>
      <c r="K1605" s="15" t="s">
        <v>22</v>
      </c>
    </row>
    <row r="1606" spans="1:11" ht="42" customHeight="1">
      <c r="A1606" s="4" t="s">
        <v>4034</v>
      </c>
      <c r="B1606" s="5" t="s">
        <v>4035</v>
      </c>
      <c r="C1606" s="5" t="s">
        <v>29</v>
      </c>
      <c r="D1606" s="5" t="s">
        <v>30</v>
      </c>
      <c r="E1606" s="5" t="s">
        <v>552</v>
      </c>
      <c r="F1606" s="9">
        <v>94</v>
      </c>
      <c r="G1606" s="9">
        <v>1010</v>
      </c>
      <c r="H1606" s="5" t="s">
        <v>20</v>
      </c>
      <c r="I1606" s="5" t="s">
        <v>4044</v>
      </c>
      <c r="J1606" s="12" t="str">
        <f>HYPERLINK("https://www.boe.es/gazeta/dias/1805/11/22/pdfs/GMD-1805-94.pdf#page=10","Abrir facsímil")</f>
        <v>Abrir facsímil</v>
      </c>
      <c r="K1606" s="15" t="s">
        <v>22</v>
      </c>
    </row>
    <row r="1607" spans="1:11" ht="42" customHeight="1">
      <c r="A1607" s="4" t="s">
        <v>4045</v>
      </c>
      <c r="B1607" s="5" t="s">
        <v>4046</v>
      </c>
      <c r="C1607" s="5" t="s">
        <v>35</v>
      </c>
      <c r="D1607" s="5" t="s">
        <v>36</v>
      </c>
      <c r="E1607" s="5" t="s">
        <v>327</v>
      </c>
      <c r="F1607" s="9">
        <v>10</v>
      </c>
      <c r="G1607" s="9">
        <v>109</v>
      </c>
      <c r="H1607" s="5" t="s">
        <v>20</v>
      </c>
      <c r="I1607" s="5" t="s">
        <v>4047</v>
      </c>
      <c r="J1607" s="12" t="str">
        <f>HYPERLINK("https://www.boe.es/gazeta/dias/1805/02/01/pdfs/GMD-1805-10.pdf#page=5","Abrir facsímil")</f>
        <v>Abrir facsímil</v>
      </c>
      <c r="K1607" s="15" t="s">
        <v>22</v>
      </c>
    </row>
    <row r="1608" spans="1:11" ht="42" customHeight="1">
      <c r="A1608" s="4" t="s">
        <v>4048</v>
      </c>
      <c r="B1608" s="5" t="s">
        <v>4049</v>
      </c>
      <c r="C1608" s="5" t="s">
        <v>17</v>
      </c>
      <c r="D1608" s="5" t="s">
        <v>18</v>
      </c>
      <c r="E1608" s="5" t="s">
        <v>63</v>
      </c>
      <c r="F1608" s="9">
        <v>101</v>
      </c>
      <c r="G1608" s="9">
        <v>1091</v>
      </c>
      <c r="H1608" s="5" t="s">
        <v>20</v>
      </c>
      <c r="I1608" s="5" t="s">
        <v>4050</v>
      </c>
      <c r="J1608" s="12" t="str">
        <f>HYPERLINK("https://www.boe.es/gazeta/dias/1805/12/17/pdfs/GMD-1805-101.pdf#page=7","Abrir facsímil")</f>
        <v>Abrir facsímil</v>
      </c>
      <c r="K1608" s="15" t="s">
        <v>22</v>
      </c>
    </row>
    <row r="1609" spans="1:11" ht="42" customHeight="1">
      <c r="A1609" s="4" t="s">
        <v>4051</v>
      </c>
      <c r="B1609" s="5" t="s">
        <v>4052</v>
      </c>
      <c r="C1609" s="5" t="s">
        <v>17</v>
      </c>
      <c r="D1609" s="5" t="s">
        <v>18</v>
      </c>
      <c r="E1609" s="5" t="s">
        <v>539</v>
      </c>
      <c r="F1609" s="9">
        <v>97</v>
      </c>
      <c r="G1609" s="9">
        <v>1044</v>
      </c>
      <c r="H1609" s="5" t="s">
        <v>20</v>
      </c>
      <c r="I1609" s="5" t="s">
        <v>4053</v>
      </c>
      <c r="J1609" s="12" t="str">
        <f>HYPERLINK("https://www.boe.es/gazeta/dias/1805/12/03/pdfs/GMD-1805-97.pdf#page=8","Abrir facsímil")</f>
        <v>Abrir facsímil</v>
      </c>
      <c r="K1609" s="15" t="s">
        <v>22</v>
      </c>
    </row>
    <row r="1610" spans="1:11" ht="42" customHeight="1">
      <c r="A1610" s="4" t="s">
        <v>4054</v>
      </c>
      <c r="B1610" s="5" t="s">
        <v>4055</v>
      </c>
      <c r="C1610" s="5" t="s">
        <v>17</v>
      </c>
      <c r="D1610" s="5" t="s">
        <v>18</v>
      </c>
      <c r="E1610" s="5" t="s">
        <v>286</v>
      </c>
      <c r="F1610" s="9">
        <v>48</v>
      </c>
      <c r="G1610" s="9">
        <v>520</v>
      </c>
      <c r="H1610" s="5" t="s">
        <v>20</v>
      </c>
      <c r="I1610" s="5" t="s">
        <v>4056</v>
      </c>
      <c r="J1610" s="12" t="str">
        <f>HYPERLINK("https://www.boe.es/gazeta/dias/1805/06/14/pdfs/GMD-1805-48.pdf#page=8","Abrir facsímil")</f>
        <v>Abrir facsímil</v>
      </c>
      <c r="K1610" s="15" t="s">
        <v>22</v>
      </c>
    </row>
    <row r="1611" spans="1:11" ht="42" customHeight="1">
      <c r="A1611" s="4" t="s">
        <v>4057</v>
      </c>
      <c r="B1611" s="5" t="s">
        <v>4058</v>
      </c>
      <c r="C1611" s="5" t="s">
        <v>35</v>
      </c>
      <c r="D1611" s="5" t="s">
        <v>36</v>
      </c>
      <c r="E1611" s="5" t="s">
        <v>281</v>
      </c>
      <c r="F1611" s="9">
        <v>15</v>
      </c>
      <c r="G1611" s="9">
        <v>156</v>
      </c>
      <c r="H1611" s="5" t="s">
        <v>20</v>
      </c>
      <c r="I1611" s="5" t="s">
        <v>4059</v>
      </c>
      <c r="J1611" s="12" t="str">
        <f>HYPERLINK("https://www.boe.es/gazeta/dias/1805/02/19/pdfs/GMD-1805-15.pdf#page=8","Abrir facsímil")</f>
        <v>Abrir facsímil</v>
      </c>
      <c r="K1611" s="15" t="s">
        <v>22</v>
      </c>
    </row>
    <row r="1612" spans="1:11" ht="42" customHeight="1">
      <c r="A1612" s="4" t="s">
        <v>4060</v>
      </c>
      <c r="B1612" s="5" t="s">
        <v>4061</v>
      </c>
      <c r="C1612" s="5" t="s">
        <v>80</v>
      </c>
      <c r="D1612" s="5" t="s">
        <v>81</v>
      </c>
      <c r="E1612" s="5" t="s">
        <v>286</v>
      </c>
      <c r="F1612" s="9">
        <v>48</v>
      </c>
      <c r="G1612" s="9">
        <v>515</v>
      </c>
      <c r="H1612" s="5" t="s">
        <v>20</v>
      </c>
      <c r="I1612" s="5" t="s">
        <v>4062</v>
      </c>
      <c r="J1612" s="12" t="str">
        <f>HYPERLINK("https://www.boe.es/gazeta/dias/1805/06/14/pdfs/GMD-1805-48.pdf#page=3","Abrir facsímil")</f>
        <v>Abrir facsímil</v>
      </c>
      <c r="K1612" s="15" t="s">
        <v>22</v>
      </c>
    </row>
    <row r="1613" spans="1:11" ht="42" customHeight="1">
      <c r="A1613" s="4" t="s">
        <v>4063</v>
      </c>
      <c r="B1613" s="5" t="s">
        <v>4064</v>
      </c>
      <c r="C1613" s="5" t="s">
        <v>17</v>
      </c>
      <c r="D1613" s="5" t="s">
        <v>18</v>
      </c>
      <c r="E1613" s="5" t="s">
        <v>286</v>
      </c>
      <c r="F1613" s="9">
        <v>48</v>
      </c>
      <c r="G1613" s="9">
        <v>522</v>
      </c>
      <c r="H1613" s="5" t="s">
        <v>20</v>
      </c>
      <c r="I1613" s="5" t="s">
        <v>4065</v>
      </c>
      <c r="J1613" s="12" t="str">
        <f>HYPERLINK("https://www.boe.es/gazeta/dias/1805/06/14/pdfs/GMD-1805-48.pdf#page=10","Abrir facsímil")</f>
        <v>Abrir facsímil</v>
      </c>
      <c r="K1613" s="15" t="s">
        <v>22</v>
      </c>
    </row>
    <row r="1614" spans="1:11" ht="42" customHeight="1">
      <c r="A1614" s="4" t="s">
        <v>4066</v>
      </c>
      <c r="B1614" s="5" t="s">
        <v>4067</v>
      </c>
      <c r="C1614" s="5" t="s">
        <v>35</v>
      </c>
      <c r="D1614" s="5" t="s">
        <v>36</v>
      </c>
      <c r="E1614" s="5" t="s">
        <v>281</v>
      </c>
      <c r="F1614" s="9">
        <v>15</v>
      </c>
      <c r="G1614" s="9">
        <v>156</v>
      </c>
      <c r="H1614" s="5" t="s">
        <v>20</v>
      </c>
      <c r="I1614" s="5" t="s">
        <v>4068</v>
      </c>
      <c r="J1614" s="12" t="str">
        <f>HYPERLINK("https://www.boe.es/gazeta/dias/1805/02/19/pdfs/GMD-1805-15.pdf#page=8","Abrir facsímil")</f>
        <v>Abrir facsímil</v>
      </c>
      <c r="K1614" s="15" t="s">
        <v>22</v>
      </c>
    </row>
    <row r="1615" spans="1:11" ht="42" customHeight="1">
      <c r="A1615" s="4" t="s">
        <v>4069</v>
      </c>
      <c r="B1615" s="5" t="s">
        <v>4070</v>
      </c>
      <c r="C1615" s="5" t="s">
        <v>17</v>
      </c>
      <c r="D1615" s="5" t="s">
        <v>18</v>
      </c>
      <c r="E1615" s="5" t="s">
        <v>365</v>
      </c>
      <c r="F1615" s="9">
        <v>3</v>
      </c>
      <c r="G1615" s="9">
        <v>30</v>
      </c>
      <c r="H1615" s="5" t="s">
        <v>20</v>
      </c>
      <c r="I1615" s="5" t="s">
        <v>4071</v>
      </c>
      <c r="J1615" s="12" t="str">
        <f>HYPERLINK("https://www.boe.es/gazeta/dias/1805/01/08/pdfs/GMD-1805-3.pdf#page=6","Abrir facsímil")</f>
        <v>Abrir facsímil</v>
      </c>
      <c r="K1615" s="15" t="s">
        <v>22</v>
      </c>
    </row>
    <row r="1616" spans="1:11" ht="42" customHeight="1">
      <c r="A1616" s="4" t="s">
        <v>4069</v>
      </c>
      <c r="B1616" s="5" t="s">
        <v>4070</v>
      </c>
      <c r="C1616" s="5" t="s">
        <v>35</v>
      </c>
      <c r="D1616" s="5" t="s">
        <v>36</v>
      </c>
      <c r="E1616" s="5" t="s">
        <v>1471</v>
      </c>
      <c r="F1616" s="9">
        <v>34</v>
      </c>
      <c r="G1616" s="9">
        <v>368</v>
      </c>
      <c r="H1616" s="5" t="s">
        <v>20</v>
      </c>
      <c r="I1616" s="5" t="s">
        <v>4072</v>
      </c>
      <c r="J1616" s="12" t="str">
        <f>HYPERLINK("https://www.boe.es/gazeta/dias/1805/04/26/pdfs/GMD-C-1805-34.pdf#page=4","Abrir facsímil")</f>
        <v>Abrir facsímil</v>
      </c>
      <c r="K1616" s="15" t="s">
        <v>22</v>
      </c>
    </row>
    <row r="1617" spans="1:11" ht="42" customHeight="1">
      <c r="A1617" s="4" t="s">
        <v>4073</v>
      </c>
      <c r="B1617" s="5" t="s">
        <v>4074</v>
      </c>
      <c r="C1617" s="5" t="s">
        <v>35</v>
      </c>
      <c r="D1617" s="5" t="s">
        <v>36</v>
      </c>
      <c r="E1617" s="5" t="s">
        <v>711</v>
      </c>
      <c r="F1617" s="9">
        <v>63</v>
      </c>
      <c r="G1617" s="9">
        <v>674</v>
      </c>
      <c r="H1617" s="5" t="s">
        <v>20</v>
      </c>
      <c r="I1617" s="5" t="s">
        <v>4075</v>
      </c>
      <c r="J1617" s="12" t="str">
        <f>HYPERLINK("https://www.boe.es/gazeta/dias/1805/08/06/pdfs/GMD-1805-63.pdf#page=10","Abrir facsímil")</f>
        <v>Abrir facsímil</v>
      </c>
      <c r="K1617" s="15" t="s">
        <v>22</v>
      </c>
    </row>
    <row r="1618" spans="1:11" ht="42" customHeight="1">
      <c r="A1618" s="4" t="s">
        <v>4076</v>
      </c>
      <c r="B1618" s="5" t="s">
        <v>4077</v>
      </c>
      <c r="C1618" s="5" t="s">
        <v>17</v>
      </c>
      <c r="D1618" s="5" t="s">
        <v>18</v>
      </c>
      <c r="E1618" s="5" t="s">
        <v>958</v>
      </c>
      <c r="F1618" s="9">
        <v>58</v>
      </c>
      <c r="G1618" s="9">
        <v>623</v>
      </c>
      <c r="H1618" s="5" t="s">
        <v>20</v>
      </c>
      <c r="I1618" s="5" t="s">
        <v>4078</v>
      </c>
      <c r="J1618" s="12" t="str">
        <f>HYPERLINK("https://www.boe.es/gazeta/dias/1805/07/19/pdfs/GMD-1805-58.pdf#page=7","Abrir facsímil")</f>
        <v>Abrir facsímil</v>
      </c>
      <c r="K1618" s="15" t="s">
        <v>22</v>
      </c>
    </row>
    <row r="1619" spans="1:11" ht="42" customHeight="1">
      <c r="A1619" s="4" t="s">
        <v>4079</v>
      </c>
      <c r="B1619" s="5" t="s">
        <v>4080</v>
      </c>
      <c r="C1619" s="5" t="s">
        <v>17</v>
      </c>
      <c r="D1619" s="5" t="s">
        <v>18</v>
      </c>
      <c r="E1619" s="5" t="s">
        <v>63</v>
      </c>
      <c r="F1619" s="9">
        <v>101</v>
      </c>
      <c r="G1619" s="9">
        <v>1091</v>
      </c>
      <c r="H1619" s="5" t="s">
        <v>20</v>
      </c>
      <c r="I1619" s="5" t="s">
        <v>4081</v>
      </c>
      <c r="J1619" s="12" t="str">
        <f>HYPERLINK("https://www.boe.es/gazeta/dias/1805/12/17/pdfs/GMD-1805-101.pdf#page=7","Abrir facsímil")</f>
        <v>Abrir facsímil</v>
      </c>
      <c r="K1619" s="15" t="s">
        <v>22</v>
      </c>
    </row>
    <row r="1620" spans="1:11" ht="42" customHeight="1">
      <c r="A1620" s="4" t="s">
        <v>4082</v>
      </c>
      <c r="B1620" s="5" t="s">
        <v>4083</v>
      </c>
      <c r="C1620" s="5" t="s">
        <v>35</v>
      </c>
      <c r="D1620" s="5" t="s">
        <v>36</v>
      </c>
      <c r="E1620" s="5" t="s">
        <v>141</v>
      </c>
      <c r="F1620" s="9">
        <v>82</v>
      </c>
      <c r="G1620" s="9">
        <v>870</v>
      </c>
      <c r="H1620" s="5" t="s">
        <v>20</v>
      </c>
      <c r="I1620" s="5" t="s">
        <v>4084</v>
      </c>
      <c r="J1620" s="12" t="str">
        <f>HYPERLINK("https://www.boe.es/gazeta/dias/1805/10/11/pdfs/GMD-1805-82.pdf#page=10","Abrir facsímil")</f>
        <v>Abrir facsímil</v>
      </c>
      <c r="K1620" s="15" t="s">
        <v>22</v>
      </c>
    </row>
    <row r="1621" spans="1:11" ht="42" customHeight="1">
      <c r="A1621" s="4" t="s">
        <v>4085</v>
      </c>
      <c r="B1621" s="5" t="s">
        <v>4086</v>
      </c>
      <c r="C1621" s="5" t="s">
        <v>184</v>
      </c>
      <c r="D1621" s="5" t="s">
        <v>86</v>
      </c>
      <c r="E1621" s="5" t="s">
        <v>552</v>
      </c>
      <c r="F1621" s="9">
        <v>94</v>
      </c>
      <c r="G1621" s="9">
        <v>1010</v>
      </c>
      <c r="H1621" s="5" t="s">
        <v>20</v>
      </c>
      <c r="I1621" s="5" t="s">
        <v>4087</v>
      </c>
      <c r="J1621" s="12" t="str">
        <f>HYPERLINK("https://www.boe.es/gazeta/dias/1805/11/22/pdfs/GMD-1805-94.pdf#page=10","Abrir facsímil")</f>
        <v>Abrir facsímil</v>
      </c>
      <c r="K1621" s="15" t="s">
        <v>22</v>
      </c>
    </row>
    <row r="1622" spans="1:11" ht="42" customHeight="1">
      <c r="A1622" s="4" t="s">
        <v>4088</v>
      </c>
      <c r="B1622" s="5" t="s">
        <v>4089</v>
      </c>
      <c r="C1622" s="5" t="s">
        <v>85</v>
      </c>
      <c r="D1622" s="5" t="s">
        <v>86</v>
      </c>
      <c r="E1622" s="5" t="s">
        <v>107</v>
      </c>
      <c r="F1622" s="9">
        <v>19</v>
      </c>
      <c r="G1622" s="9">
        <v>198</v>
      </c>
      <c r="H1622" s="5" t="s">
        <v>20</v>
      </c>
      <c r="I1622" s="5" t="s">
        <v>4090</v>
      </c>
      <c r="J1622" s="12" t="str">
        <f>HYPERLINK("https://www.boe.es/gazeta/dias/1805/03/05/pdfs/GMD-1805-19.pdf#page=10","Abrir facsímil")</f>
        <v>Abrir facsímil</v>
      </c>
      <c r="K1622" s="15" t="s">
        <v>22</v>
      </c>
    </row>
    <row r="1623" spans="1:11" ht="42" customHeight="1">
      <c r="A1623" s="4" t="s">
        <v>4091</v>
      </c>
      <c r="B1623" s="5" t="s">
        <v>4092</v>
      </c>
      <c r="C1623" s="5" t="s">
        <v>17</v>
      </c>
      <c r="D1623" s="5" t="s">
        <v>18</v>
      </c>
      <c r="E1623" s="5" t="s">
        <v>213</v>
      </c>
      <c r="F1623" s="9">
        <v>56</v>
      </c>
      <c r="G1623" s="9">
        <v>602</v>
      </c>
      <c r="H1623" s="5" t="s">
        <v>20</v>
      </c>
      <c r="I1623" s="5" t="s">
        <v>4093</v>
      </c>
      <c r="J1623" s="12" t="str">
        <f>HYPERLINK("https://www.boe.es/gazeta/dias/1805/07/12/pdfs/GMD-1805-56.pdf#page=10","Abrir facsímil")</f>
        <v>Abrir facsímil</v>
      </c>
      <c r="K1623" s="15" t="s">
        <v>22</v>
      </c>
    </row>
    <row r="1624" spans="1:11" ht="42" customHeight="1">
      <c r="A1624" s="4" t="s">
        <v>4094</v>
      </c>
      <c r="B1624" s="5" t="s">
        <v>4095</v>
      </c>
      <c r="C1624" s="5" t="s">
        <v>17</v>
      </c>
      <c r="D1624" s="5" t="s">
        <v>18</v>
      </c>
      <c r="E1624" s="5" t="s">
        <v>1445</v>
      </c>
      <c r="F1624" s="9">
        <v>6</v>
      </c>
      <c r="G1624" s="9">
        <v>68</v>
      </c>
      <c r="H1624" s="5" t="s">
        <v>20</v>
      </c>
      <c r="I1624" s="5" t="s">
        <v>4096</v>
      </c>
      <c r="J1624" s="12" t="str">
        <f>HYPERLINK("https://www.boe.es/gazeta/dias/1805/01/18/pdfs/GMD-1805-6.pdf#page=12","Abrir facsímil")</f>
        <v>Abrir facsímil</v>
      </c>
      <c r="K1624" s="15" t="s">
        <v>22</v>
      </c>
    </row>
    <row r="1625" spans="1:11" ht="42" customHeight="1">
      <c r="A1625" s="4" t="s">
        <v>4097</v>
      </c>
      <c r="B1625" s="5" t="s">
        <v>4098</v>
      </c>
      <c r="C1625" s="5" t="s">
        <v>35</v>
      </c>
      <c r="D1625" s="5" t="s">
        <v>36</v>
      </c>
      <c r="E1625" s="5" t="s">
        <v>352</v>
      </c>
      <c r="F1625" s="9">
        <v>60</v>
      </c>
      <c r="G1625" s="9">
        <v>645</v>
      </c>
      <c r="H1625" s="5" t="s">
        <v>20</v>
      </c>
      <c r="I1625" s="5" t="s">
        <v>4099</v>
      </c>
      <c r="J1625" s="12" t="str">
        <f>HYPERLINK("https://www.boe.es/gazeta/dias/1805/07/26/pdfs/GMD-1805-60.pdf#page=9","Abrir facsímil")</f>
        <v>Abrir facsímil</v>
      </c>
      <c r="K1625" s="15" t="s">
        <v>22</v>
      </c>
    </row>
    <row r="1626" spans="1:11" ht="42" customHeight="1">
      <c r="A1626" s="4" t="s">
        <v>4100</v>
      </c>
      <c r="B1626" s="5" t="s">
        <v>4101</v>
      </c>
      <c r="C1626" s="5" t="s">
        <v>35</v>
      </c>
      <c r="D1626" s="5" t="s">
        <v>36</v>
      </c>
      <c r="E1626" s="5" t="s">
        <v>363</v>
      </c>
      <c r="F1626" s="9">
        <v>1</v>
      </c>
      <c r="G1626" s="9">
        <v>11</v>
      </c>
      <c r="H1626" s="5" t="s">
        <v>20</v>
      </c>
      <c r="I1626" s="5" t="s">
        <v>4102</v>
      </c>
      <c r="J1626" s="12" t="str">
        <f>HYPERLINK("https://www.boe.es/gazeta/dias/1805/01/01/pdfs/GMD-1805-1.pdf#page=11","Abrir facsímil")</f>
        <v>Abrir facsímil</v>
      </c>
      <c r="K1626" s="15" t="s">
        <v>22</v>
      </c>
    </row>
    <row r="1627" spans="1:11" ht="42" customHeight="1">
      <c r="A1627" s="4" t="s">
        <v>4103</v>
      </c>
      <c r="B1627" s="5" t="s">
        <v>4104</v>
      </c>
      <c r="C1627" s="5" t="s">
        <v>35</v>
      </c>
      <c r="D1627" s="5" t="s">
        <v>36</v>
      </c>
      <c r="E1627" s="5" t="s">
        <v>293</v>
      </c>
      <c r="F1627" s="9">
        <v>5</v>
      </c>
      <c r="G1627" s="9">
        <v>54</v>
      </c>
      <c r="H1627" s="5" t="s">
        <v>20</v>
      </c>
      <c r="I1627" s="5" t="s">
        <v>4105</v>
      </c>
      <c r="J1627" s="12" t="str">
        <f>HYPERLINK("https://www.boe.es/gazeta/dias/1805/01/15/pdfs/GMD-1805-5.pdf#page=10","Abrir facsímil")</f>
        <v>Abrir facsímil</v>
      </c>
      <c r="K1627" s="15" t="s">
        <v>22</v>
      </c>
    </row>
    <row r="1628" spans="1:11" ht="42" customHeight="1">
      <c r="A1628" s="4" t="s">
        <v>4103</v>
      </c>
      <c r="B1628" s="5" t="s">
        <v>4104</v>
      </c>
      <c r="C1628" s="5" t="s">
        <v>35</v>
      </c>
      <c r="D1628" s="5" t="s">
        <v>36</v>
      </c>
      <c r="E1628" s="5" t="s">
        <v>117</v>
      </c>
      <c r="F1628" s="9">
        <v>20</v>
      </c>
      <c r="G1628" s="9">
        <v>211</v>
      </c>
      <c r="H1628" s="5" t="s">
        <v>20</v>
      </c>
      <c r="I1628" s="5" t="s">
        <v>4106</v>
      </c>
      <c r="J1628" s="12" t="str">
        <f>HYPERLINK("https://www.boe.es/gazeta/dias/1805/03/08/pdfs/GMD-1805-20.pdf#page=11","Abrir facsímil")</f>
        <v>Abrir facsímil</v>
      </c>
      <c r="K1628" s="15" t="s">
        <v>22</v>
      </c>
    </row>
    <row r="1629" spans="1:11" ht="42" customHeight="1">
      <c r="A1629" s="4" t="s">
        <v>4103</v>
      </c>
      <c r="B1629" s="5" t="s">
        <v>4104</v>
      </c>
      <c r="C1629" s="5" t="s">
        <v>184</v>
      </c>
      <c r="D1629" s="5" t="s">
        <v>86</v>
      </c>
      <c r="E1629" s="5" t="s">
        <v>567</v>
      </c>
      <c r="F1629" s="9">
        <v>49</v>
      </c>
      <c r="G1629" s="9">
        <v>531</v>
      </c>
      <c r="H1629" s="5" t="s">
        <v>20</v>
      </c>
      <c r="I1629" s="5" t="s">
        <v>4107</v>
      </c>
      <c r="J1629" s="12" t="str">
        <f>HYPERLINK("https://www.boe.es/gazeta/dias/1805/06/18/pdfs/GMD-1805-49.pdf#page=7","Abrir facsímil")</f>
        <v>Abrir facsímil</v>
      </c>
      <c r="K1629" s="15" t="s">
        <v>22</v>
      </c>
    </row>
    <row r="1630" spans="1:11" ht="42" customHeight="1">
      <c r="A1630" s="4" t="s">
        <v>4103</v>
      </c>
      <c r="B1630" s="5" t="s">
        <v>4104</v>
      </c>
      <c r="C1630" s="5" t="s">
        <v>35</v>
      </c>
      <c r="D1630" s="5" t="s">
        <v>36</v>
      </c>
      <c r="E1630" s="5" t="s">
        <v>148</v>
      </c>
      <c r="F1630" s="9">
        <v>50</v>
      </c>
      <c r="G1630" s="9">
        <v>542</v>
      </c>
      <c r="H1630" s="5" t="s">
        <v>20</v>
      </c>
      <c r="I1630" s="5" t="s">
        <v>4108</v>
      </c>
      <c r="J1630" s="12" t="str">
        <f>HYPERLINK("https://www.boe.es/gazeta/dias/1805/06/21/pdfs/GMD-1805-50.pdf#page=10","Abrir facsímil")</f>
        <v>Abrir facsímil</v>
      </c>
      <c r="K1630" s="15" t="s">
        <v>22</v>
      </c>
    </row>
    <row r="1631" spans="1:11" ht="42" customHeight="1">
      <c r="A1631" s="4" t="s">
        <v>4109</v>
      </c>
      <c r="B1631" s="5" t="s">
        <v>4110</v>
      </c>
      <c r="C1631" s="5" t="s">
        <v>17</v>
      </c>
      <c r="D1631" s="5" t="s">
        <v>18</v>
      </c>
      <c r="E1631" s="5" t="s">
        <v>135</v>
      </c>
      <c r="F1631" s="9">
        <v>71</v>
      </c>
      <c r="G1631" s="9">
        <v>758</v>
      </c>
      <c r="H1631" s="5" t="s">
        <v>20</v>
      </c>
      <c r="I1631" s="5" t="s">
        <v>4111</v>
      </c>
      <c r="J1631" s="12" t="str">
        <f>HYPERLINK("https://www.boe.es/gazeta/dias/1805/09/03/pdfs/GMD-1805-71.pdf#page=10","Abrir facsímil")</f>
        <v>Abrir facsímil</v>
      </c>
      <c r="K1631" s="15" t="s">
        <v>22</v>
      </c>
    </row>
    <row r="1632" spans="1:11" ht="42" customHeight="1">
      <c r="A1632" s="4" t="s">
        <v>4112</v>
      </c>
      <c r="B1632" s="5" t="s">
        <v>4113</v>
      </c>
      <c r="C1632" s="5" t="s">
        <v>35</v>
      </c>
      <c r="D1632" s="5" t="s">
        <v>36</v>
      </c>
      <c r="E1632" s="5" t="s">
        <v>1259</v>
      </c>
      <c r="F1632" s="9">
        <v>78</v>
      </c>
      <c r="G1632" s="9">
        <v>827</v>
      </c>
      <c r="H1632" s="5" t="s">
        <v>20</v>
      </c>
      <c r="I1632" s="5" t="s">
        <v>4114</v>
      </c>
      <c r="J1632" s="12" t="str">
        <f>HYPERLINK("https://www.boe.es/gazeta/dias/1805/09/27/pdfs/GMD-1805-78.pdf#page=7","Abrir facsímil")</f>
        <v>Abrir facsímil</v>
      </c>
      <c r="K1632" s="15" t="s">
        <v>22</v>
      </c>
    </row>
    <row r="1633" spans="1:11" ht="42" customHeight="1">
      <c r="A1633" s="4" t="s">
        <v>4115</v>
      </c>
      <c r="B1633" s="5" t="s">
        <v>4116</v>
      </c>
      <c r="C1633" s="5" t="s">
        <v>85</v>
      </c>
      <c r="D1633" s="5" t="s">
        <v>86</v>
      </c>
      <c r="E1633" s="5" t="s">
        <v>24</v>
      </c>
      <c r="F1633" s="9">
        <v>11</v>
      </c>
      <c r="G1633" s="9">
        <v>120</v>
      </c>
      <c r="H1633" s="5" t="s">
        <v>20</v>
      </c>
      <c r="I1633" s="5" t="s">
        <v>4117</v>
      </c>
      <c r="J1633" s="12" t="str">
        <f>HYPERLINK("https://www.boe.es/gazeta/dias/1805/02/05/pdfs/GMD-1805-11.pdf#page=8","Abrir facsímil")</f>
        <v>Abrir facsímil</v>
      </c>
      <c r="K1633" s="15" t="s">
        <v>22</v>
      </c>
    </row>
    <row r="1634" spans="1:11" ht="42" customHeight="1">
      <c r="A1634" s="4" t="s">
        <v>4118</v>
      </c>
      <c r="B1634" s="5" t="s">
        <v>4119</v>
      </c>
      <c r="C1634" s="5" t="s">
        <v>35</v>
      </c>
      <c r="D1634" s="5" t="s">
        <v>36</v>
      </c>
      <c r="E1634" s="5" t="s">
        <v>649</v>
      </c>
      <c r="F1634" s="9">
        <v>7</v>
      </c>
      <c r="G1634" s="9">
        <v>79</v>
      </c>
      <c r="H1634" s="5" t="s">
        <v>20</v>
      </c>
      <c r="I1634" s="5" t="s">
        <v>4120</v>
      </c>
      <c r="J1634" s="12" t="str">
        <f>HYPERLINK("https://www.boe.es/gazeta/dias/1805/01/22/pdfs/GMD-1805-7.pdf#page=11","Abrir facsímil")</f>
        <v>Abrir facsímil</v>
      </c>
      <c r="K1634" s="15" t="s">
        <v>22</v>
      </c>
    </row>
    <row r="1635" spans="1:11" ht="42" customHeight="1">
      <c r="A1635" s="4" t="s">
        <v>4118</v>
      </c>
      <c r="B1635" s="5" t="s">
        <v>4119</v>
      </c>
      <c r="C1635" s="5" t="s">
        <v>29</v>
      </c>
      <c r="D1635" s="5" t="s">
        <v>30</v>
      </c>
      <c r="E1635" s="5" t="s">
        <v>281</v>
      </c>
      <c r="F1635" s="9">
        <v>15</v>
      </c>
      <c r="G1635" s="9">
        <v>158</v>
      </c>
      <c r="H1635" s="5" t="s">
        <v>20</v>
      </c>
      <c r="I1635" s="5" t="s">
        <v>4121</v>
      </c>
      <c r="J1635" s="12" t="str">
        <f>HYPERLINK("https://www.boe.es/gazeta/dias/1805/02/19/pdfs/GMD-1805-15.pdf#page=10","Abrir facsímil")</f>
        <v>Abrir facsímil</v>
      </c>
      <c r="K1635" s="15" t="s">
        <v>22</v>
      </c>
    </row>
    <row r="1636" spans="1:11" ht="42" customHeight="1">
      <c r="A1636" s="4" t="s">
        <v>4118</v>
      </c>
      <c r="B1636" s="5" t="s">
        <v>4119</v>
      </c>
      <c r="C1636" s="5" t="s">
        <v>35</v>
      </c>
      <c r="D1636" s="5" t="s">
        <v>36</v>
      </c>
      <c r="E1636" s="5" t="s">
        <v>128</v>
      </c>
      <c r="F1636" s="9">
        <v>23</v>
      </c>
      <c r="G1636" s="9">
        <v>247</v>
      </c>
      <c r="H1636" s="5" t="s">
        <v>20</v>
      </c>
      <c r="I1636" s="5" t="s">
        <v>4122</v>
      </c>
      <c r="J1636" s="12" t="str">
        <f>HYPERLINK("https://www.boe.es/gazeta/dias/1805/03/19/pdfs/GMD-1805-23.pdf#page=11","Abrir facsímil")</f>
        <v>Abrir facsímil</v>
      </c>
      <c r="K1636" s="15" t="s">
        <v>22</v>
      </c>
    </row>
    <row r="1637" spans="1:11" ht="42" customHeight="1">
      <c r="A1637" s="4" t="s">
        <v>4118</v>
      </c>
      <c r="B1637" s="5" t="s">
        <v>4119</v>
      </c>
      <c r="C1637" s="5" t="s">
        <v>35</v>
      </c>
      <c r="D1637" s="5" t="s">
        <v>36</v>
      </c>
      <c r="E1637" s="5" t="s">
        <v>1471</v>
      </c>
      <c r="F1637" s="9">
        <v>34</v>
      </c>
      <c r="G1637" s="9">
        <v>362</v>
      </c>
      <c r="H1637" s="5" t="s">
        <v>20</v>
      </c>
      <c r="I1637" s="5" t="s">
        <v>4123</v>
      </c>
      <c r="J1637" s="12" t="str">
        <f>HYPERLINK("https://www.boe.es/gazeta/dias/1805/04/26/pdfs/GMD-1805-34.pdf#page=6","Abrir facsímil")</f>
        <v>Abrir facsímil</v>
      </c>
      <c r="K1637" s="15" t="s">
        <v>22</v>
      </c>
    </row>
    <row r="1638" spans="1:11" ht="42" customHeight="1">
      <c r="A1638" s="4" t="s">
        <v>4118</v>
      </c>
      <c r="B1638" s="5" t="s">
        <v>4119</v>
      </c>
      <c r="C1638" s="5" t="s">
        <v>35</v>
      </c>
      <c r="D1638" s="5" t="s">
        <v>36</v>
      </c>
      <c r="E1638" s="5" t="s">
        <v>352</v>
      </c>
      <c r="F1638" s="9">
        <v>60</v>
      </c>
      <c r="G1638" s="9">
        <v>646</v>
      </c>
      <c r="H1638" s="5" t="s">
        <v>20</v>
      </c>
      <c r="I1638" s="5" t="s">
        <v>4124</v>
      </c>
      <c r="J1638" s="12" t="str">
        <f>HYPERLINK("https://www.boe.es/gazeta/dias/1805/07/26/pdfs/GMD-1805-60.pdf#page=10","Abrir facsímil")</f>
        <v>Abrir facsímil</v>
      </c>
      <c r="K1638" s="15" t="s">
        <v>22</v>
      </c>
    </row>
    <row r="1639" spans="1:11" ht="42" customHeight="1">
      <c r="A1639" s="4" t="s">
        <v>4118</v>
      </c>
      <c r="B1639" s="5" t="s">
        <v>4119</v>
      </c>
      <c r="C1639" s="5" t="s">
        <v>35</v>
      </c>
      <c r="D1639" s="5" t="s">
        <v>36</v>
      </c>
      <c r="E1639" s="5" t="s">
        <v>456</v>
      </c>
      <c r="F1639" s="9">
        <v>70</v>
      </c>
      <c r="G1639" s="9">
        <v>747</v>
      </c>
      <c r="H1639" s="5" t="s">
        <v>20</v>
      </c>
      <c r="I1639" s="5" t="s">
        <v>4125</v>
      </c>
      <c r="J1639" s="12" t="str">
        <f>HYPERLINK("https://www.boe.es/gazeta/dias/1805/08/30/pdfs/GMD-1805-70.pdf#page=7","Abrir facsímil")</f>
        <v>Abrir facsímil</v>
      </c>
      <c r="K1639" s="15" t="s">
        <v>22</v>
      </c>
    </row>
    <row r="1640" spans="1:11" ht="42" customHeight="1">
      <c r="A1640" s="4" t="s">
        <v>4118</v>
      </c>
      <c r="B1640" s="5" t="s">
        <v>4119</v>
      </c>
      <c r="C1640" s="5" t="s">
        <v>35</v>
      </c>
      <c r="D1640" s="5" t="s">
        <v>36</v>
      </c>
      <c r="E1640" s="5" t="s">
        <v>422</v>
      </c>
      <c r="F1640" s="9">
        <v>74</v>
      </c>
      <c r="G1640" s="9">
        <v>788</v>
      </c>
      <c r="H1640" s="5" t="s">
        <v>20</v>
      </c>
      <c r="I1640" s="5" t="s">
        <v>4126</v>
      </c>
      <c r="J1640" s="12" t="str">
        <f>HYPERLINK("https://www.boe.es/gazeta/dias/1805/09/13/pdfs/GMD-1805-74.pdf#page=12","Abrir facsímil")</f>
        <v>Abrir facsímil</v>
      </c>
      <c r="K1640" s="15" t="s">
        <v>22</v>
      </c>
    </row>
    <row r="1641" spans="1:11" ht="42" customHeight="1">
      <c r="A1641" s="4" t="s">
        <v>4118</v>
      </c>
      <c r="B1641" s="5" t="s">
        <v>4119</v>
      </c>
      <c r="C1641" s="5" t="s">
        <v>35</v>
      </c>
      <c r="D1641" s="5" t="s">
        <v>36</v>
      </c>
      <c r="E1641" s="5" t="s">
        <v>300</v>
      </c>
      <c r="F1641" s="9">
        <v>81</v>
      </c>
      <c r="G1641" s="9">
        <v>859</v>
      </c>
      <c r="H1641" s="5" t="s">
        <v>20</v>
      </c>
      <c r="I1641" s="5" t="s">
        <v>4127</v>
      </c>
      <c r="J1641" s="12" t="str">
        <f>HYPERLINK("https://www.boe.es/gazeta/dias/1805/10/08/pdfs/GMD-1805-81.pdf#page=7","Abrir facsímil")</f>
        <v>Abrir facsímil</v>
      </c>
      <c r="K1641" s="15" t="s">
        <v>22</v>
      </c>
    </row>
    <row r="1642" spans="1:11" ht="42" customHeight="1">
      <c r="A1642" s="4" t="s">
        <v>4128</v>
      </c>
      <c r="B1642" s="5" t="s">
        <v>4129</v>
      </c>
      <c r="C1642" s="5" t="s">
        <v>35</v>
      </c>
      <c r="D1642" s="5" t="s">
        <v>36</v>
      </c>
      <c r="E1642" s="5" t="s">
        <v>440</v>
      </c>
      <c r="F1642" s="9">
        <v>27</v>
      </c>
      <c r="G1642" s="9">
        <v>289</v>
      </c>
      <c r="H1642" s="5" t="s">
        <v>20</v>
      </c>
      <c r="I1642" s="5" t="s">
        <v>4130</v>
      </c>
      <c r="J1642" s="12" t="str">
        <f>HYPERLINK("https://www.boe.es/gazeta/dias/1805/04/02/pdfs/GMD-1805-27.pdf#page=9","Abrir facsímil")</f>
        <v>Abrir facsímil</v>
      </c>
      <c r="K1642" s="15" t="s">
        <v>22</v>
      </c>
    </row>
    <row r="1643" spans="1:11" ht="42" customHeight="1">
      <c r="A1643" s="4" t="s">
        <v>4128</v>
      </c>
      <c r="B1643" s="5" t="s">
        <v>4129</v>
      </c>
      <c r="C1643" s="5" t="s">
        <v>35</v>
      </c>
      <c r="D1643" s="5" t="s">
        <v>36</v>
      </c>
      <c r="E1643" s="5" t="s">
        <v>91</v>
      </c>
      <c r="F1643" s="9">
        <v>28</v>
      </c>
      <c r="G1643" s="9">
        <v>303</v>
      </c>
      <c r="H1643" s="5" t="s">
        <v>20</v>
      </c>
      <c r="I1643" s="5" t="s">
        <v>4131</v>
      </c>
      <c r="J1643" s="12" t="str">
        <f>HYPERLINK("https://www.boe.es/gazeta/dias/1805/04/05/pdfs/GMD-1805-28.pdf#page=11","Abrir facsímil")</f>
        <v>Abrir facsímil</v>
      </c>
      <c r="K1643" s="15" t="s">
        <v>22</v>
      </c>
    </row>
    <row r="1644" spans="1:11" ht="42" customHeight="1">
      <c r="A1644" s="4" t="s">
        <v>4128</v>
      </c>
      <c r="B1644" s="5" t="s">
        <v>4129</v>
      </c>
      <c r="C1644" s="5" t="s">
        <v>35</v>
      </c>
      <c r="D1644" s="5" t="s">
        <v>36</v>
      </c>
      <c r="E1644" s="5" t="s">
        <v>1471</v>
      </c>
      <c r="F1644" s="9">
        <v>34</v>
      </c>
      <c r="G1644" s="9">
        <v>362</v>
      </c>
      <c r="H1644" s="5" t="s">
        <v>20</v>
      </c>
      <c r="I1644" s="5" t="s">
        <v>4132</v>
      </c>
      <c r="J1644" s="12" t="str">
        <f>HYPERLINK("https://www.boe.es/gazeta/dias/1805/04/26/pdfs/GMD-1805-34.pdf#page=6","Abrir facsímil")</f>
        <v>Abrir facsímil</v>
      </c>
      <c r="K1644" s="15" t="s">
        <v>22</v>
      </c>
    </row>
    <row r="1645" spans="1:11" ht="42" customHeight="1">
      <c r="A1645" s="4" t="s">
        <v>4128</v>
      </c>
      <c r="B1645" s="5" t="s">
        <v>4129</v>
      </c>
      <c r="C1645" s="5" t="s">
        <v>35</v>
      </c>
      <c r="D1645" s="5" t="s">
        <v>36</v>
      </c>
      <c r="E1645" s="5" t="s">
        <v>27</v>
      </c>
      <c r="F1645" s="9">
        <v>37</v>
      </c>
      <c r="G1645" s="9">
        <v>402</v>
      </c>
      <c r="H1645" s="5" t="s">
        <v>20</v>
      </c>
      <c r="I1645" s="5" t="s">
        <v>4133</v>
      </c>
      <c r="J1645" s="12" t="str">
        <f>HYPERLINK("https://www.boe.es/gazeta/dias/1805/05/07/pdfs/GMD-1805-37.pdf#page=10","Abrir facsímil")</f>
        <v>Abrir facsímil</v>
      </c>
      <c r="K1645" s="15" t="s">
        <v>22</v>
      </c>
    </row>
    <row r="1646" spans="1:11" ht="42" customHeight="1">
      <c r="A1646" s="4" t="s">
        <v>4128</v>
      </c>
      <c r="B1646" s="5" t="s">
        <v>4129</v>
      </c>
      <c r="C1646" s="5" t="s">
        <v>35</v>
      </c>
      <c r="D1646" s="5" t="s">
        <v>36</v>
      </c>
      <c r="E1646" s="5" t="s">
        <v>399</v>
      </c>
      <c r="F1646" s="9">
        <v>39</v>
      </c>
      <c r="G1646" s="9">
        <v>423</v>
      </c>
      <c r="H1646" s="5" t="s">
        <v>20</v>
      </c>
      <c r="I1646" s="5" t="s">
        <v>4134</v>
      </c>
      <c r="J1646" s="12" t="str">
        <f>HYPERLINK("https://www.boe.es/gazeta/dias/1805/05/14/pdfs/GMD-1805-39.pdf#page=11","Abrir facsímil")</f>
        <v>Abrir facsímil</v>
      </c>
      <c r="K1646" s="15" t="s">
        <v>22</v>
      </c>
    </row>
    <row r="1647" spans="1:11" ht="42" customHeight="1">
      <c r="A1647" s="4" t="s">
        <v>4128</v>
      </c>
      <c r="B1647" s="5" t="s">
        <v>4129</v>
      </c>
      <c r="C1647" s="5" t="s">
        <v>35</v>
      </c>
      <c r="D1647" s="5" t="s">
        <v>36</v>
      </c>
      <c r="E1647" s="5" t="s">
        <v>399</v>
      </c>
      <c r="F1647" s="9">
        <v>39</v>
      </c>
      <c r="G1647" s="9">
        <v>424</v>
      </c>
      <c r="H1647" s="5" t="s">
        <v>20</v>
      </c>
      <c r="I1647" s="5" t="s">
        <v>4135</v>
      </c>
      <c r="J1647" s="12" t="str">
        <f>HYPERLINK("https://www.boe.es/gazeta/dias/1805/05/14/pdfs/GMD-1805-39.pdf#page=12","Abrir facsímil")</f>
        <v>Abrir facsímil</v>
      </c>
      <c r="K1647" s="15" t="s">
        <v>22</v>
      </c>
    </row>
    <row r="1648" spans="1:11" ht="42" customHeight="1">
      <c r="A1648" s="4" t="s">
        <v>4128</v>
      </c>
      <c r="B1648" s="5" t="s">
        <v>4129</v>
      </c>
      <c r="C1648" s="5" t="s">
        <v>35</v>
      </c>
      <c r="D1648" s="5" t="s">
        <v>36</v>
      </c>
      <c r="E1648" s="5" t="s">
        <v>1187</v>
      </c>
      <c r="F1648" s="9">
        <v>40</v>
      </c>
      <c r="G1648" s="9">
        <v>432</v>
      </c>
      <c r="H1648" s="5" t="s">
        <v>20</v>
      </c>
      <c r="I1648" s="5" t="s">
        <v>4136</v>
      </c>
      <c r="J1648" s="12" t="str">
        <f>HYPERLINK("https://www.boe.es/gazeta/dias/1805/05/17/pdfs/GMD-1805-40.pdf#page=8","Abrir facsímil")</f>
        <v>Abrir facsímil</v>
      </c>
      <c r="K1648" s="15" t="s">
        <v>22</v>
      </c>
    </row>
    <row r="1649" spans="1:11" ht="42" customHeight="1">
      <c r="A1649" s="4" t="s">
        <v>4128</v>
      </c>
      <c r="B1649" s="5" t="s">
        <v>4129</v>
      </c>
      <c r="C1649" s="5" t="s">
        <v>35</v>
      </c>
      <c r="D1649" s="5" t="s">
        <v>36</v>
      </c>
      <c r="E1649" s="5" t="s">
        <v>1221</v>
      </c>
      <c r="F1649" s="9">
        <v>41</v>
      </c>
      <c r="G1649" s="9">
        <v>443</v>
      </c>
      <c r="H1649" s="5" t="s">
        <v>20</v>
      </c>
      <c r="I1649" s="5" t="s">
        <v>4137</v>
      </c>
      <c r="J1649" s="12" t="str">
        <f>HYPERLINK("https://www.boe.es/gazeta/dias/1805/05/21/pdfs/GMD-1805-41.pdf#page=11","Abrir facsímil")</f>
        <v>Abrir facsímil</v>
      </c>
      <c r="K1649" s="15" t="s">
        <v>22</v>
      </c>
    </row>
    <row r="1650" spans="1:11" ht="42" customHeight="1">
      <c r="A1650" s="4" t="s">
        <v>4128</v>
      </c>
      <c r="B1650" s="5" t="s">
        <v>4129</v>
      </c>
      <c r="C1650" s="5" t="s">
        <v>35</v>
      </c>
      <c r="D1650" s="5" t="s">
        <v>36</v>
      </c>
      <c r="E1650" s="5" t="s">
        <v>76</v>
      </c>
      <c r="F1650" s="9">
        <v>66</v>
      </c>
      <c r="G1650" s="9">
        <v>711</v>
      </c>
      <c r="H1650" s="5" t="s">
        <v>20</v>
      </c>
      <c r="I1650" s="5" t="s">
        <v>4138</v>
      </c>
      <c r="J1650" s="12" t="str">
        <f>HYPERLINK("https://www.boe.es/gazeta/dias/1805/08/16/pdfs/GMD-1805-66.pdf#page=11","Abrir facsímil")</f>
        <v>Abrir facsímil</v>
      </c>
      <c r="K1650" s="15" t="s">
        <v>22</v>
      </c>
    </row>
    <row r="1651" spans="1:11" ht="42" customHeight="1">
      <c r="A1651" s="4" t="s">
        <v>4128</v>
      </c>
      <c r="B1651" s="5" t="s">
        <v>4129</v>
      </c>
      <c r="C1651" s="5" t="s">
        <v>85</v>
      </c>
      <c r="D1651" s="5" t="s">
        <v>86</v>
      </c>
      <c r="E1651" s="5" t="s">
        <v>506</v>
      </c>
      <c r="F1651" s="9">
        <v>80</v>
      </c>
      <c r="G1651" s="9">
        <v>851</v>
      </c>
      <c r="H1651" s="5" t="s">
        <v>20</v>
      </c>
      <c r="I1651" s="5" t="s">
        <v>4139</v>
      </c>
      <c r="J1651" s="12" t="str">
        <f>HYPERLINK("https://www.boe.es/gazeta/dias/1805/10/04/pdfs/GMD-1805-80.pdf#page=11","Abrir facsímil")</f>
        <v>Abrir facsímil</v>
      </c>
      <c r="K1651" s="15" t="s">
        <v>22</v>
      </c>
    </row>
    <row r="1652" spans="1:11" ht="42" customHeight="1">
      <c r="A1652" s="4" t="s">
        <v>4128</v>
      </c>
      <c r="B1652" s="5" t="s">
        <v>4129</v>
      </c>
      <c r="C1652" s="5" t="s">
        <v>35</v>
      </c>
      <c r="D1652" s="5" t="s">
        <v>36</v>
      </c>
      <c r="E1652" s="5" t="s">
        <v>144</v>
      </c>
      <c r="F1652" s="9">
        <v>85</v>
      </c>
      <c r="G1652" s="9">
        <v>902</v>
      </c>
      <c r="H1652" s="5" t="s">
        <v>20</v>
      </c>
      <c r="I1652" s="5" t="s">
        <v>4140</v>
      </c>
      <c r="J1652" s="12" t="str">
        <f>HYPERLINK("https://www.boe.es/gazeta/dias/1805/10/22/pdfs/GMD-1805-85.pdf#page=10","Abrir facsímil")</f>
        <v>Abrir facsímil</v>
      </c>
      <c r="K1652" s="15" t="s">
        <v>22</v>
      </c>
    </row>
    <row r="1653" spans="1:11" ht="42" customHeight="1">
      <c r="A1653" s="4" t="s">
        <v>4128</v>
      </c>
      <c r="B1653" s="5" t="s">
        <v>4129</v>
      </c>
      <c r="C1653" s="5" t="s">
        <v>35</v>
      </c>
      <c r="D1653" s="5" t="s">
        <v>36</v>
      </c>
      <c r="E1653" s="5" t="s">
        <v>19</v>
      </c>
      <c r="F1653" s="9">
        <v>86</v>
      </c>
      <c r="G1653" s="9">
        <v>915</v>
      </c>
      <c r="H1653" s="5" t="s">
        <v>20</v>
      </c>
      <c r="I1653" s="5" t="s">
        <v>4141</v>
      </c>
      <c r="J1653" s="12" t="str">
        <f>HYPERLINK("https://www.boe.es/gazeta/dias/1805/10/25/pdfs/GMD-1805-86.pdf#page=11","Abrir facsímil")</f>
        <v>Abrir facsímil</v>
      </c>
      <c r="K1653" s="15" t="s">
        <v>22</v>
      </c>
    </row>
    <row r="1654" spans="1:11" ht="42" customHeight="1">
      <c r="A1654" s="4" t="s">
        <v>4128</v>
      </c>
      <c r="B1654" s="5" t="s">
        <v>4129</v>
      </c>
      <c r="C1654" s="5" t="s">
        <v>35</v>
      </c>
      <c r="D1654" s="5" t="s">
        <v>36</v>
      </c>
      <c r="E1654" s="5" t="s">
        <v>864</v>
      </c>
      <c r="F1654" s="9">
        <v>88</v>
      </c>
      <c r="G1654" s="9">
        <v>939</v>
      </c>
      <c r="H1654" s="5" t="s">
        <v>20</v>
      </c>
      <c r="I1654" s="5" t="s">
        <v>4142</v>
      </c>
      <c r="J1654" s="12" t="str">
        <f>HYPERLINK("https://www.boe.es/gazeta/dias/1805/11/01/pdfs/GMD-1805-88.pdf#page=11","Abrir facsímil")</f>
        <v>Abrir facsímil</v>
      </c>
      <c r="K1654" s="15" t="s">
        <v>22</v>
      </c>
    </row>
    <row r="1655" spans="1:11" ht="42" customHeight="1">
      <c r="A1655" s="4" t="s">
        <v>4128</v>
      </c>
      <c r="B1655" s="5" t="s">
        <v>4129</v>
      </c>
      <c r="C1655" s="5" t="s">
        <v>35</v>
      </c>
      <c r="D1655" s="5" t="s">
        <v>36</v>
      </c>
      <c r="E1655" s="5" t="s">
        <v>181</v>
      </c>
      <c r="F1655" s="9">
        <v>90</v>
      </c>
      <c r="G1655" s="9">
        <v>965</v>
      </c>
      <c r="H1655" s="5" t="s">
        <v>20</v>
      </c>
      <c r="I1655" s="5" t="s">
        <v>4143</v>
      </c>
      <c r="J1655" s="12" t="str">
        <f>HYPERLINK("https://www.boe.es/gazeta/dias/1805/11/08/pdfs/GMD-1805-90.pdf#page=9","Abrir facsímil")</f>
        <v>Abrir facsímil</v>
      </c>
      <c r="K1655" s="15" t="s">
        <v>22</v>
      </c>
    </row>
    <row r="1656" spans="1:11" ht="42" customHeight="1">
      <c r="A1656" s="4" t="s">
        <v>4128</v>
      </c>
      <c r="B1656" s="5" t="s">
        <v>4129</v>
      </c>
      <c r="C1656" s="5" t="s">
        <v>35</v>
      </c>
      <c r="D1656" s="5" t="s">
        <v>36</v>
      </c>
      <c r="E1656" s="5" t="s">
        <v>552</v>
      </c>
      <c r="F1656" s="9">
        <v>94</v>
      </c>
      <c r="G1656" s="9">
        <v>1010</v>
      </c>
      <c r="H1656" s="5" t="s">
        <v>20</v>
      </c>
      <c r="I1656" s="5" t="s">
        <v>4144</v>
      </c>
      <c r="J1656" s="12" t="str">
        <f>HYPERLINK("https://www.boe.es/gazeta/dias/1805/11/22/pdfs/GMD-1805-94.pdf#page=10","Abrir facsímil")</f>
        <v>Abrir facsímil</v>
      </c>
      <c r="K1656" s="15" t="s">
        <v>22</v>
      </c>
    </row>
    <row r="1657" spans="1:11" ht="42" customHeight="1">
      <c r="A1657" s="4" t="s">
        <v>4128</v>
      </c>
      <c r="B1657" s="5" t="s">
        <v>4129</v>
      </c>
      <c r="C1657" s="5" t="s">
        <v>35</v>
      </c>
      <c r="D1657" s="5" t="s">
        <v>36</v>
      </c>
      <c r="E1657" s="5" t="s">
        <v>217</v>
      </c>
      <c r="F1657" s="9">
        <v>96</v>
      </c>
      <c r="G1657" s="9">
        <v>1031</v>
      </c>
      <c r="H1657" s="5" t="s">
        <v>20</v>
      </c>
      <c r="I1657" s="5" t="s">
        <v>4145</v>
      </c>
      <c r="J1657" s="12" t="str">
        <f>HYPERLINK("https://www.boe.es/gazeta/dias/1805/11/29/pdfs/GMD-1805-96.pdf#page=7","Abrir facsímil")</f>
        <v>Abrir facsímil</v>
      </c>
      <c r="K1657" s="15" t="s">
        <v>22</v>
      </c>
    </row>
    <row r="1658" spans="1:11" ht="42" customHeight="1">
      <c r="A1658" s="4" t="s">
        <v>4128</v>
      </c>
      <c r="B1658" s="5" t="s">
        <v>4129</v>
      </c>
      <c r="C1658" s="5" t="s">
        <v>35</v>
      </c>
      <c r="D1658" s="5" t="s">
        <v>36</v>
      </c>
      <c r="E1658" s="5" t="s">
        <v>539</v>
      </c>
      <c r="F1658" s="9">
        <v>97</v>
      </c>
      <c r="G1658" s="9">
        <v>1047</v>
      </c>
      <c r="H1658" s="5" t="s">
        <v>20</v>
      </c>
      <c r="I1658" s="5" t="s">
        <v>4146</v>
      </c>
      <c r="J1658" s="12" t="str">
        <f>HYPERLINK("https://www.boe.es/gazeta/dias/1805/12/03/pdfs/GMD-1805-97.pdf#page=11","Abrir facsímil")</f>
        <v>Abrir facsímil</v>
      </c>
      <c r="K1658" s="15" t="s">
        <v>22</v>
      </c>
    </row>
    <row r="1659" spans="1:11" ht="42" customHeight="1">
      <c r="A1659" s="4" t="s">
        <v>4128</v>
      </c>
      <c r="B1659" s="5" t="s">
        <v>4129</v>
      </c>
      <c r="C1659" s="5" t="s">
        <v>35</v>
      </c>
      <c r="D1659" s="5" t="s">
        <v>36</v>
      </c>
      <c r="E1659" s="5" t="s">
        <v>54</v>
      </c>
      <c r="F1659" s="9">
        <v>99</v>
      </c>
      <c r="G1659" s="9">
        <v>1069</v>
      </c>
      <c r="H1659" s="5" t="s">
        <v>20</v>
      </c>
      <c r="I1659" s="5" t="s">
        <v>4147</v>
      </c>
      <c r="J1659" s="12" t="str">
        <f>HYPERLINK("https://www.boe.es/gazeta/dias/1805/12/10/pdfs/GMD-1805-99.pdf#page=9","Abrir facsímil")</f>
        <v>Abrir facsímil</v>
      </c>
      <c r="K1659" s="15" t="s">
        <v>22</v>
      </c>
    </row>
    <row r="1660" spans="1:11" ht="42" customHeight="1">
      <c r="A1660" s="4" t="s">
        <v>4128</v>
      </c>
      <c r="B1660" s="5" t="s">
        <v>4129</v>
      </c>
      <c r="C1660" s="5" t="s">
        <v>35</v>
      </c>
      <c r="D1660" s="5" t="s">
        <v>36</v>
      </c>
      <c r="E1660" s="5" t="s">
        <v>54</v>
      </c>
      <c r="F1660" s="9">
        <v>99</v>
      </c>
      <c r="G1660" s="9">
        <v>1070</v>
      </c>
      <c r="H1660" s="5" t="s">
        <v>20</v>
      </c>
      <c r="I1660" s="5" t="s">
        <v>4148</v>
      </c>
      <c r="J1660" s="12" t="str">
        <f>HYPERLINK("https://www.boe.es/gazeta/dias/1805/12/10/pdfs/GMD-1805-99.pdf#page=10","Abrir facsímil")</f>
        <v>Abrir facsímil</v>
      </c>
      <c r="K1660" s="15" t="s">
        <v>22</v>
      </c>
    </row>
    <row r="1661" spans="1:11" ht="42" customHeight="1">
      <c r="A1661" s="4" t="s">
        <v>4128</v>
      </c>
      <c r="B1661" s="5" t="s">
        <v>4129</v>
      </c>
      <c r="C1661" s="5" t="s">
        <v>35</v>
      </c>
      <c r="D1661" s="5" t="s">
        <v>36</v>
      </c>
      <c r="E1661" s="5" t="s">
        <v>63</v>
      </c>
      <c r="F1661" s="9">
        <v>101</v>
      </c>
      <c r="G1661" s="9">
        <v>1093</v>
      </c>
      <c r="H1661" s="5" t="s">
        <v>20</v>
      </c>
      <c r="I1661" s="5" t="s">
        <v>4149</v>
      </c>
      <c r="J1661" s="12" t="str">
        <f>HYPERLINK("https://www.boe.es/gazeta/dias/1805/12/17/pdfs/GMD-1805-101.pdf#page=9","Abrir facsímil")</f>
        <v>Abrir facsímil</v>
      </c>
      <c r="K1661" s="15" t="s">
        <v>22</v>
      </c>
    </row>
    <row r="1662" spans="1:11" ht="42" customHeight="1">
      <c r="A1662" s="4" t="s">
        <v>4128</v>
      </c>
      <c r="B1662" s="5" t="s">
        <v>4129</v>
      </c>
      <c r="C1662" s="5" t="s">
        <v>35</v>
      </c>
      <c r="D1662" s="5" t="s">
        <v>36</v>
      </c>
      <c r="E1662" s="5" t="s">
        <v>495</v>
      </c>
      <c r="F1662" s="9">
        <v>103</v>
      </c>
      <c r="G1662" s="9">
        <v>1115</v>
      </c>
      <c r="H1662" s="5" t="s">
        <v>20</v>
      </c>
      <c r="I1662" s="5" t="s">
        <v>4150</v>
      </c>
      <c r="J1662" s="12" t="str">
        <f>HYPERLINK("https://www.boe.es/gazeta/dias/1805/12/24/pdfs/GMD-1805-103.pdf#page=7","Abrir facsímil")</f>
        <v>Abrir facsímil</v>
      </c>
      <c r="K1662" s="15" t="s">
        <v>22</v>
      </c>
    </row>
    <row r="1663" spans="1:11" ht="42" customHeight="1">
      <c r="A1663" s="4" t="s">
        <v>4128</v>
      </c>
      <c r="B1663" s="5" t="s">
        <v>4129</v>
      </c>
      <c r="C1663" s="5" t="s">
        <v>35</v>
      </c>
      <c r="D1663" s="5" t="s">
        <v>36</v>
      </c>
      <c r="E1663" s="5" t="s">
        <v>192</v>
      </c>
      <c r="F1663" s="9">
        <v>105</v>
      </c>
      <c r="G1663" s="9">
        <v>1139</v>
      </c>
      <c r="H1663" s="5" t="s">
        <v>20</v>
      </c>
      <c r="I1663" s="5" t="s">
        <v>4151</v>
      </c>
      <c r="J1663" s="12" t="str">
        <f>HYPERLINK("https://www.boe.es/gazeta/dias/1805/12/31/pdfs/GMD-1805-105.pdf#page=11","Abrir facsímil")</f>
        <v>Abrir facsímil</v>
      </c>
      <c r="K1663" s="15" t="s">
        <v>22</v>
      </c>
    </row>
    <row r="1664" spans="1:11" ht="42" customHeight="1">
      <c r="A1664" s="4" t="s">
        <v>4152</v>
      </c>
      <c r="B1664" s="5" t="s">
        <v>4153</v>
      </c>
      <c r="C1664" s="5" t="s">
        <v>17</v>
      </c>
      <c r="D1664" s="5" t="s">
        <v>18</v>
      </c>
      <c r="E1664" s="5" t="s">
        <v>99</v>
      </c>
      <c r="F1664" s="9">
        <v>83</v>
      </c>
      <c r="G1664" s="9">
        <v>882</v>
      </c>
      <c r="H1664" s="5" t="s">
        <v>20</v>
      </c>
      <c r="I1664" s="5" t="s">
        <v>4154</v>
      </c>
      <c r="J1664" s="12" t="str">
        <f>HYPERLINK("https://www.boe.es/gazeta/dias/1805/10/15/pdfs/GMD-1805-83.pdf#page=10","Abrir facsímil")</f>
        <v>Abrir facsímil</v>
      </c>
      <c r="K1664" s="15" t="s">
        <v>22</v>
      </c>
    </row>
    <row r="1665" spans="1:11" ht="42" customHeight="1">
      <c r="A1665" s="4" t="s">
        <v>4155</v>
      </c>
      <c r="B1665" s="5" t="s">
        <v>4156</v>
      </c>
      <c r="C1665" s="5" t="s">
        <v>17</v>
      </c>
      <c r="D1665" s="5" t="s">
        <v>18</v>
      </c>
      <c r="E1665" s="5" t="s">
        <v>363</v>
      </c>
      <c r="F1665" s="9">
        <v>1</v>
      </c>
      <c r="G1665" s="9">
        <v>11</v>
      </c>
      <c r="H1665" s="5" t="s">
        <v>20</v>
      </c>
      <c r="I1665" s="5" t="s">
        <v>4157</v>
      </c>
      <c r="J1665" s="12" t="str">
        <f>HYPERLINK("https://www.boe.es/gazeta/dias/1805/01/01/pdfs/GMD-1805-1.pdf#page=11","Abrir facsímil")</f>
        <v>Abrir facsímil</v>
      </c>
      <c r="K1665" s="15" t="s">
        <v>22</v>
      </c>
    </row>
    <row r="1666" spans="1:11" ht="42" customHeight="1">
      <c r="A1666" s="4" t="s">
        <v>4155</v>
      </c>
      <c r="B1666" s="5" t="s">
        <v>4156</v>
      </c>
      <c r="C1666" s="5" t="s">
        <v>35</v>
      </c>
      <c r="D1666" s="5" t="s">
        <v>36</v>
      </c>
      <c r="E1666" s="5" t="s">
        <v>67</v>
      </c>
      <c r="F1666" s="9">
        <v>98</v>
      </c>
      <c r="G1666" s="9">
        <v>1060</v>
      </c>
      <c r="H1666" s="5" t="s">
        <v>20</v>
      </c>
      <c r="I1666" s="5" t="s">
        <v>4158</v>
      </c>
      <c r="J1666" s="12" t="str">
        <f>HYPERLINK("https://www.boe.es/gazeta/dias/1805/12/06/pdfs/GMD-1805-98.pdf#page=12","Abrir facsímil")</f>
        <v>Abrir facsímil</v>
      </c>
      <c r="K1666" s="15" t="s">
        <v>22</v>
      </c>
    </row>
    <row r="1667" spans="1:11" ht="42" customHeight="1">
      <c r="A1667" s="4" t="s">
        <v>4159</v>
      </c>
      <c r="B1667" s="5" t="s">
        <v>4160</v>
      </c>
      <c r="C1667" s="5" t="s">
        <v>29</v>
      </c>
      <c r="D1667" s="5" t="s">
        <v>30</v>
      </c>
      <c r="E1667" s="5" t="s">
        <v>103</v>
      </c>
      <c r="F1667" s="9">
        <v>30</v>
      </c>
      <c r="G1667" s="9">
        <v>324</v>
      </c>
      <c r="H1667" s="5" t="s">
        <v>20</v>
      </c>
      <c r="I1667" s="5" t="s">
        <v>4161</v>
      </c>
      <c r="J1667" s="12" t="str">
        <f>HYPERLINK("https://www.boe.es/gazeta/dias/1805/04/12/pdfs/GMD-1805-30.pdf#page=8","Abrir facsímil")</f>
        <v>Abrir facsímil</v>
      </c>
      <c r="K1667" s="15" t="s">
        <v>22</v>
      </c>
    </row>
    <row r="1668" spans="1:11" ht="42" customHeight="1">
      <c r="A1668" s="4" t="s">
        <v>4162</v>
      </c>
      <c r="B1668" s="5" t="s">
        <v>4163</v>
      </c>
      <c r="C1668" s="5" t="s">
        <v>85</v>
      </c>
      <c r="D1668" s="5" t="s">
        <v>86</v>
      </c>
      <c r="E1668" s="5" t="s">
        <v>1221</v>
      </c>
      <c r="F1668" s="9">
        <v>41</v>
      </c>
      <c r="G1668" s="9">
        <v>442</v>
      </c>
      <c r="H1668" s="5" t="s">
        <v>20</v>
      </c>
      <c r="I1668" s="5" t="s">
        <v>4164</v>
      </c>
      <c r="J1668" s="12" t="str">
        <f>HYPERLINK("https://www.boe.es/gazeta/dias/1805/05/21/pdfs/GMD-1805-41.pdf#page=10","Abrir facsímil")</f>
        <v>Abrir facsímil</v>
      </c>
      <c r="K1668" s="15" t="s">
        <v>22</v>
      </c>
    </row>
    <row r="1669" spans="1:11" ht="42" customHeight="1">
      <c r="A1669" s="4" t="s">
        <v>4165</v>
      </c>
      <c r="B1669" s="5" t="s">
        <v>4166</v>
      </c>
      <c r="C1669" s="5" t="s">
        <v>35</v>
      </c>
      <c r="D1669" s="5" t="s">
        <v>36</v>
      </c>
      <c r="E1669" s="5" t="s">
        <v>300</v>
      </c>
      <c r="F1669" s="9">
        <v>81</v>
      </c>
      <c r="G1669" s="9">
        <v>858</v>
      </c>
      <c r="H1669" s="5" t="s">
        <v>20</v>
      </c>
      <c r="I1669" s="5" t="s">
        <v>4167</v>
      </c>
      <c r="J1669" s="12" t="str">
        <f>HYPERLINK("https://www.boe.es/gazeta/dias/1805/10/08/pdfs/GMD-1805-81.pdf#page=6","Abrir facsímil")</f>
        <v>Abrir facsímil</v>
      </c>
      <c r="K1669" s="15" t="s">
        <v>22</v>
      </c>
    </row>
    <row r="1670" spans="1:11" ht="42" customHeight="1">
      <c r="A1670" s="4" t="s">
        <v>4165</v>
      </c>
      <c r="B1670" s="5" t="s">
        <v>4166</v>
      </c>
      <c r="C1670" s="5" t="s">
        <v>35</v>
      </c>
      <c r="D1670" s="5" t="s">
        <v>36</v>
      </c>
      <c r="E1670" s="5" t="s">
        <v>192</v>
      </c>
      <c r="F1670" s="9">
        <v>105</v>
      </c>
      <c r="G1670" s="9">
        <v>1137</v>
      </c>
      <c r="H1670" s="5" t="s">
        <v>20</v>
      </c>
      <c r="I1670" s="5" t="s">
        <v>4168</v>
      </c>
      <c r="J1670" s="12" t="str">
        <f>HYPERLINK("https://www.boe.es/gazeta/dias/1805/12/31/pdfs/GMD-1805-105.pdf#page=9","Abrir facsímil")</f>
        <v>Abrir facsímil</v>
      </c>
      <c r="K1670" s="15" t="s">
        <v>22</v>
      </c>
    </row>
    <row r="1671" spans="1:11" ht="42" customHeight="1">
      <c r="A1671" s="4" t="s">
        <v>4169</v>
      </c>
      <c r="B1671" s="5" t="s">
        <v>4170</v>
      </c>
      <c r="C1671" s="5" t="s">
        <v>35</v>
      </c>
      <c r="D1671" s="5" t="s">
        <v>36</v>
      </c>
      <c r="E1671" s="5" t="s">
        <v>63</v>
      </c>
      <c r="F1671" s="9">
        <v>101</v>
      </c>
      <c r="G1671" s="9">
        <v>1092</v>
      </c>
      <c r="H1671" s="5" t="s">
        <v>20</v>
      </c>
      <c r="I1671" s="5" t="s">
        <v>4171</v>
      </c>
      <c r="J1671" s="12" t="str">
        <f>HYPERLINK("https://www.boe.es/gazeta/dias/1805/12/17/pdfs/GMD-1805-101.pdf#page=8","Abrir facsímil")</f>
        <v>Abrir facsímil</v>
      </c>
      <c r="K1671" s="15" t="s">
        <v>22</v>
      </c>
    </row>
    <row r="1672" spans="1:11" ht="42" customHeight="1">
      <c r="A1672" s="4" t="s">
        <v>4172</v>
      </c>
      <c r="B1672" s="5" t="s">
        <v>4173</v>
      </c>
      <c r="C1672" s="5" t="s">
        <v>85</v>
      </c>
      <c r="D1672" s="5" t="s">
        <v>86</v>
      </c>
      <c r="E1672" s="5" t="s">
        <v>181</v>
      </c>
      <c r="F1672" s="9">
        <v>90</v>
      </c>
      <c r="G1672" s="9">
        <v>966</v>
      </c>
      <c r="H1672" s="5" t="s">
        <v>20</v>
      </c>
      <c r="I1672" s="5" t="s">
        <v>4174</v>
      </c>
      <c r="J1672" s="12" t="str">
        <f>HYPERLINK("https://www.boe.es/gazeta/dias/1805/11/08/pdfs/GMD-1805-90.pdf#page=10","Abrir facsímil")</f>
        <v>Abrir facsímil</v>
      </c>
      <c r="K1672" s="15" t="s">
        <v>22</v>
      </c>
    </row>
    <row r="1673" spans="1:11" ht="42" customHeight="1">
      <c r="A1673" s="4" t="s">
        <v>4175</v>
      </c>
      <c r="B1673" s="5" t="s">
        <v>4176</v>
      </c>
      <c r="C1673" s="5" t="s">
        <v>35</v>
      </c>
      <c r="D1673" s="5" t="s">
        <v>36</v>
      </c>
      <c r="E1673" s="5" t="s">
        <v>141</v>
      </c>
      <c r="F1673" s="9">
        <v>82</v>
      </c>
      <c r="G1673" s="9">
        <v>872</v>
      </c>
      <c r="H1673" s="5" t="s">
        <v>20</v>
      </c>
      <c r="I1673" s="5" t="s">
        <v>4177</v>
      </c>
      <c r="J1673" s="12" t="str">
        <f>HYPERLINK("https://www.boe.es/gazeta/dias/1805/10/11/pdfs/GMD-1805-82.pdf#page=12","Abrir facsímil")</f>
        <v>Abrir facsímil</v>
      </c>
      <c r="K1673" s="15" t="s">
        <v>22</v>
      </c>
    </row>
    <row r="1674" spans="1:11" ht="42" customHeight="1">
      <c r="A1674" s="4" t="s">
        <v>4178</v>
      </c>
      <c r="B1674" s="5" t="s">
        <v>4179</v>
      </c>
      <c r="C1674" s="5" t="s">
        <v>29</v>
      </c>
      <c r="D1674" s="5" t="s">
        <v>30</v>
      </c>
      <c r="E1674" s="5" t="s">
        <v>207</v>
      </c>
      <c r="F1674" s="9">
        <v>76</v>
      </c>
      <c r="G1674" s="9">
        <v>808</v>
      </c>
      <c r="H1674" s="5" t="s">
        <v>20</v>
      </c>
      <c r="I1674" s="5" t="s">
        <v>4180</v>
      </c>
      <c r="J1674" s="12" t="str">
        <f>HYPERLINK("https://www.boe.es/gazeta/dias/1805/09/20/pdfs/GMD-1805-76.pdf#page=8","Abrir facsímil")</f>
        <v>Abrir facsímil</v>
      </c>
      <c r="K1674" s="15" t="s">
        <v>22</v>
      </c>
    </row>
    <row r="1675" spans="1:11" ht="42" customHeight="1">
      <c r="A1675" s="4" t="s">
        <v>4181</v>
      </c>
      <c r="B1675" s="5" t="s">
        <v>4182</v>
      </c>
      <c r="C1675" s="5" t="s">
        <v>184</v>
      </c>
      <c r="D1675" s="5" t="s">
        <v>86</v>
      </c>
      <c r="E1675" s="5" t="s">
        <v>144</v>
      </c>
      <c r="F1675" s="9">
        <v>85</v>
      </c>
      <c r="G1675" s="9">
        <v>902</v>
      </c>
      <c r="H1675" s="5" t="s">
        <v>20</v>
      </c>
      <c r="I1675" s="5" t="s">
        <v>4183</v>
      </c>
      <c r="J1675" s="12" t="str">
        <f>HYPERLINK("https://www.boe.es/gazeta/dias/1805/10/22/pdfs/GMD-1805-85.pdf#page=10","Abrir facsímil")</f>
        <v>Abrir facsímil</v>
      </c>
      <c r="K1675" s="15" t="s">
        <v>22</v>
      </c>
    </row>
    <row r="1676" spans="1:11" ht="42" customHeight="1">
      <c r="A1676" s="4" t="s">
        <v>4184</v>
      </c>
      <c r="B1676" s="5" t="s">
        <v>4185</v>
      </c>
      <c r="C1676" s="5" t="s">
        <v>85</v>
      </c>
      <c r="D1676" s="5" t="s">
        <v>86</v>
      </c>
      <c r="E1676" s="5" t="s">
        <v>273</v>
      </c>
      <c r="F1676" s="9">
        <v>8</v>
      </c>
      <c r="G1676" s="9">
        <v>88</v>
      </c>
      <c r="H1676" s="5" t="s">
        <v>20</v>
      </c>
      <c r="I1676" s="5" t="s">
        <v>4186</v>
      </c>
      <c r="J1676" s="12" t="str">
        <f>HYPERLINK("https://www.boe.es/gazeta/dias/1805/01/25/pdfs/GMD-1805-8.pdf#page=8","Abrir facsímil")</f>
        <v>Abrir facsímil</v>
      </c>
      <c r="K1676" s="15" t="s">
        <v>22</v>
      </c>
    </row>
    <row r="1677" spans="1:11" ht="42" customHeight="1">
      <c r="A1677" s="4" t="s">
        <v>4187</v>
      </c>
      <c r="B1677" s="5" t="s">
        <v>4188</v>
      </c>
      <c r="C1677" s="5" t="s">
        <v>35</v>
      </c>
      <c r="D1677" s="5" t="s">
        <v>36</v>
      </c>
      <c r="E1677" s="5" t="s">
        <v>393</v>
      </c>
      <c r="F1677" s="9">
        <v>44</v>
      </c>
      <c r="G1677" s="9">
        <v>474</v>
      </c>
      <c r="H1677" s="5" t="s">
        <v>20</v>
      </c>
      <c r="I1677" s="5" t="s">
        <v>4189</v>
      </c>
      <c r="J1677" s="12" t="str">
        <f>HYPERLINK("https://www.boe.es/gazeta/dias/1805/05/31/pdfs/GMD-1805-44.pdf#page=10","Abrir facsímil")</f>
        <v>Abrir facsímil</v>
      </c>
      <c r="K1677" s="15" t="s">
        <v>22</v>
      </c>
    </row>
    <row r="1678" spans="1:11" ht="42" customHeight="1">
      <c r="A1678" s="4" t="s">
        <v>4190</v>
      </c>
      <c r="B1678" s="5" t="s">
        <v>4191</v>
      </c>
      <c r="C1678" s="5" t="s">
        <v>29</v>
      </c>
      <c r="D1678" s="5" t="s">
        <v>30</v>
      </c>
      <c r="E1678" s="5" t="s">
        <v>44</v>
      </c>
      <c r="F1678" s="9">
        <v>29</v>
      </c>
      <c r="G1678" s="9">
        <v>314</v>
      </c>
      <c r="H1678" s="5" t="s">
        <v>20</v>
      </c>
      <c r="I1678" s="5" t="s">
        <v>4192</v>
      </c>
      <c r="J1678" s="12" t="str">
        <f>HYPERLINK("https://www.boe.es/gazeta/dias/1805/04/09/pdfs/GMD-1805-29.pdf#page=10","Abrir facsímil")</f>
        <v>Abrir facsímil</v>
      </c>
      <c r="K1678" s="15" t="s">
        <v>22</v>
      </c>
    </row>
    <row r="1679" spans="1:11" ht="42" customHeight="1">
      <c r="A1679" s="4" t="s">
        <v>4190</v>
      </c>
      <c r="B1679" s="5" t="s">
        <v>4191</v>
      </c>
      <c r="C1679" s="5" t="s">
        <v>184</v>
      </c>
      <c r="D1679" s="5" t="s">
        <v>86</v>
      </c>
      <c r="E1679" s="5" t="s">
        <v>645</v>
      </c>
      <c r="F1679" s="9">
        <v>55</v>
      </c>
      <c r="G1679" s="9">
        <v>588</v>
      </c>
      <c r="H1679" s="5" t="s">
        <v>20</v>
      </c>
      <c r="I1679" s="5" t="s">
        <v>4193</v>
      </c>
      <c r="J1679" s="12" t="str">
        <f>HYPERLINK("https://www.boe.es/gazeta/dias/1805/07/09/pdfs/GMD-1805-55.pdf#page=8","Abrir facsímil")</f>
        <v>Abrir facsímil</v>
      </c>
      <c r="K1679" s="15" t="s">
        <v>22</v>
      </c>
    </row>
    <row r="1680" spans="1:11" ht="42" customHeight="1">
      <c r="A1680" s="4" t="s">
        <v>4194</v>
      </c>
      <c r="B1680" s="5" t="s">
        <v>4195</v>
      </c>
      <c r="C1680" s="5" t="s">
        <v>35</v>
      </c>
      <c r="D1680" s="5" t="s">
        <v>36</v>
      </c>
      <c r="E1680" s="5" t="s">
        <v>296</v>
      </c>
      <c r="F1680" s="9">
        <v>26</v>
      </c>
      <c r="G1680" s="9">
        <v>277</v>
      </c>
      <c r="H1680" s="5" t="s">
        <v>20</v>
      </c>
      <c r="I1680" s="5" t="s">
        <v>4196</v>
      </c>
      <c r="J1680" s="12" t="str">
        <f>HYPERLINK("https://www.boe.es/gazeta/dias/1805/03/29/pdfs/GMD-1805-26.pdf#page=9","Abrir facsímil")</f>
        <v>Abrir facsímil</v>
      </c>
      <c r="K1680" s="15" t="s">
        <v>22</v>
      </c>
    </row>
    <row r="1681" spans="1:11" ht="42" customHeight="1">
      <c r="A1681" s="4" t="s">
        <v>4197</v>
      </c>
      <c r="B1681" s="5" t="s">
        <v>4198</v>
      </c>
      <c r="C1681" s="5" t="s">
        <v>35</v>
      </c>
      <c r="D1681" s="5" t="s">
        <v>36</v>
      </c>
      <c r="E1681" s="5" t="s">
        <v>506</v>
      </c>
      <c r="F1681" s="9">
        <v>80</v>
      </c>
      <c r="G1681" s="9">
        <v>850</v>
      </c>
      <c r="H1681" s="5" t="s">
        <v>20</v>
      </c>
      <c r="I1681" s="5" t="s">
        <v>4199</v>
      </c>
      <c r="J1681" s="12" t="str">
        <f>HYPERLINK("https://www.boe.es/gazeta/dias/1805/10/04/pdfs/GMD-1805-80.pdf#page=10","Abrir facsímil")</f>
        <v>Abrir facsímil</v>
      </c>
      <c r="K1681" s="15" t="s">
        <v>22</v>
      </c>
    </row>
    <row r="1682" spans="1:11" ht="42" customHeight="1">
      <c r="A1682" s="4" t="s">
        <v>4200</v>
      </c>
      <c r="B1682" s="5" t="s">
        <v>4201</v>
      </c>
      <c r="C1682" s="5" t="s">
        <v>17</v>
      </c>
      <c r="D1682" s="5" t="s">
        <v>18</v>
      </c>
      <c r="E1682" s="5" t="s">
        <v>363</v>
      </c>
      <c r="F1682" s="9">
        <v>1</v>
      </c>
      <c r="G1682" s="9">
        <v>10</v>
      </c>
      <c r="H1682" s="5" t="s">
        <v>20</v>
      </c>
      <c r="I1682" s="5" t="s">
        <v>4202</v>
      </c>
      <c r="J1682" s="12" t="str">
        <f>HYPERLINK("https://www.boe.es/gazeta/dias/1805/01/01/pdfs/GMD-1805-1.pdf#page=10","Abrir facsímil")</f>
        <v>Abrir facsímil</v>
      </c>
      <c r="K1682" s="15" t="s">
        <v>22</v>
      </c>
    </row>
    <row r="1683" spans="1:11" ht="42" customHeight="1">
      <c r="A1683" s="4" t="s">
        <v>4203</v>
      </c>
      <c r="B1683" s="5" t="s">
        <v>4204</v>
      </c>
      <c r="C1683" s="5" t="s">
        <v>85</v>
      </c>
      <c r="D1683" s="5" t="s">
        <v>86</v>
      </c>
      <c r="E1683" s="5" t="s">
        <v>539</v>
      </c>
      <c r="F1683" s="9">
        <v>97</v>
      </c>
      <c r="G1683" s="9">
        <v>1043</v>
      </c>
      <c r="H1683" s="5" t="s">
        <v>20</v>
      </c>
      <c r="I1683" s="5" t="s">
        <v>4205</v>
      </c>
      <c r="J1683" s="12" t="str">
        <f>HYPERLINK("https://www.boe.es/gazeta/dias/1805/12/03/pdfs/GMD-1805-97.pdf#page=7","Abrir facsímil")</f>
        <v>Abrir facsímil</v>
      </c>
      <c r="K1683" s="15" t="s">
        <v>22</v>
      </c>
    </row>
    <row r="1684" spans="1:11" ht="42" customHeight="1">
      <c r="A1684" s="4" t="s">
        <v>4206</v>
      </c>
      <c r="B1684" s="5" t="s">
        <v>4207</v>
      </c>
      <c r="C1684" s="5" t="s">
        <v>35</v>
      </c>
      <c r="D1684" s="5" t="s">
        <v>36</v>
      </c>
      <c r="E1684" s="5" t="s">
        <v>95</v>
      </c>
      <c r="F1684" s="9">
        <v>13</v>
      </c>
      <c r="G1684" s="9">
        <v>139</v>
      </c>
      <c r="H1684" s="5" t="s">
        <v>20</v>
      </c>
      <c r="I1684" s="5" t="s">
        <v>4208</v>
      </c>
      <c r="J1684" s="12" t="str">
        <f>HYPERLINK("https://www.boe.es/gazeta/dias/1805/02/12/pdfs/GMD-1805-13.pdf#page=7","Abrir facsímil")</f>
        <v>Abrir facsímil</v>
      </c>
      <c r="K1684" s="15" t="s">
        <v>22</v>
      </c>
    </row>
    <row r="1685" spans="1:11" ht="42" customHeight="1">
      <c r="A1685" s="4" t="s">
        <v>4209</v>
      </c>
      <c r="B1685" s="5" t="s">
        <v>4210</v>
      </c>
      <c r="C1685" s="5" t="s">
        <v>85</v>
      </c>
      <c r="D1685" s="5" t="s">
        <v>86</v>
      </c>
      <c r="E1685" s="5" t="s">
        <v>24</v>
      </c>
      <c r="F1685" s="9">
        <v>11</v>
      </c>
      <c r="G1685" s="9">
        <v>123</v>
      </c>
      <c r="H1685" s="5" t="s">
        <v>20</v>
      </c>
      <c r="I1685" s="5" t="s">
        <v>4211</v>
      </c>
      <c r="J1685" s="12" t="str">
        <f>HYPERLINK("https://www.boe.es/gazeta/dias/1805/02/05/pdfs/GMD-1805-11.pdf#page=11","Abrir facsímil")</f>
        <v>Abrir facsímil</v>
      </c>
      <c r="K1685" s="15" t="s">
        <v>22</v>
      </c>
    </row>
    <row r="1686" spans="1:11" ht="42" customHeight="1">
      <c r="A1686" s="4" t="s">
        <v>4212</v>
      </c>
      <c r="B1686" s="5" t="s">
        <v>4213</v>
      </c>
      <c r="C1686" s="5" t="s">
        <v>17</v>
      </c>
      <c r="D1686" s="5" t="s">
        <v>18</v>
      </c>
      <c r="E1686" s="5" t="s">
        <v>729</v>
      </c>
      <c r="F1686" s="9">
        <v>61</v>
      </c>
      <c r="G1686" s="9">
        <v>655</v>
      </c>
      <c r="H1686" s="5" t="s">
        <v>20</v>
      </c>
      <c r="I1686" s="5" t="s">
        <v>4214</v>
      </c>
      <c r="J1686" s="12" t="str">
        <f>HYPERLINK("https://www.boe.es/gazeta/dias/1805/07/30/pdfs/GMD-1805-61.pdf#page=7","Abrir facsímil")</f>
        <v>Abrir facsímil</v>
      </c>
      <c r="K1686" s="15" t="s">
        <v>22</v>
      </c>
    </row>
    <row r="1687" spans="1:11" ht="42" customHeight="1">
      <c r="A1687" s="4" t="s">
        <v>4215</v>
      </c>
      <c r="B1687" s="5" t="s">
        <v>4216</v>
      </c>
      <c r="C1687" s="5" t="s">
        <v>29</v>
      </c>
      <c r="D1687" s="5" t="s">
        <v>30</v>
      </c>
      <c r="E1687" s="5" t="s">
        <v>132</v>
      </c>
      <c r="F1687" s="9">
        <v>2</v>
      </c>
      <c r="G1687" s="9">
        <v>23</v>
      </c>
      <c r="H1687" s="5" t="s">
        <v>20</v>
      </c>
      <c r="I1687" s="5" t="s">
        <v>4217</v>
      </c>
      <c r="J1687" s="12" t="str">
        <f>HYPERLINK("https://www.boe.es/gazeta/dias/1805/01/04/pdfs/GMD-1805-2.pdf#page=11","Abrir facsímil")</f>
        <v>Abrir facsímil</v>
      </c>
      <c r="K1687" s="15" t="s">
        <v>22</v>
      </c>
    </row>
    <row r="1688" spans="1:11" ht="42" customHeight="1">
      <c r="A1688" s="4" t="s">
        <v>4218</v>
      </c>
      <c r="B1688" s="5" t="s">
        <v>4219</v>
      </c>
      <c r="C1688" s="5" t="s">
        <v>35</v>
      </c>
      <c r="D1688" s="5" t="s">
        <v>36</v>
      </c>
      <c r="E1688" s="5" t="s">
        <v>335</v>
      </c>
      <c r="F1688" s="9">
        <v>79</v>
      </c>
      <c r="G1688" s="9">
        <v>838</v>
      </c>
      <c r="H1688" s="5" t="s">
        <v>20</v>
      </c>
      <c r="I1688" s="5" t="s">
        <v>4220</v>
      </c>
      <c r="J1688" s="12" t="str">
        <f>HYPERLINK("https://www.boe.es/gazeta/dias/1805/10/01/pdfs/GMD-1805-79.pdf#page=10","Abrir facsímil")</f>
        <v>Abrir facsímil</v>
      </c>
      <c r="K1688" s="15" t="s">
        <v>22</v>
      </c>
    </row>
    <row r="1689" spans="1:11" ht="42" customHeight="1">
      <c r="A1689" s="4" t="s">
        <v>4221</v>
      </c>
      <c r="B1689" s="5" t="s">
        <v>4222</v>
      </c>
      <c r="C1689" s="5" t="s">
        <v>35</v>
      </c>
      <c r="D1689" s="5" t="s">
        <v>36</v>
      </c>
      <c r="E1689" s="5" t="s">
        <v>495</v>
      </c>
      <c r="F1689" s="9">
        <v>103</v>
      </c>
      <c r="G1689" s="9">
        <v>1113</v>
      </c>
      <c r="H1689" s="5" t="s">
        <v>20</v>
      </c>
      <c r="I1689" s="5" t="s">
        <v>4223</v>
      </c>
      <c r="J1689" s="12" t="str">
        <f>HYPERLINK("https://www.boe.es/gazeta/dias/1805/12/24/pdfs/GMD-1805-103.pdf#page=5","Abrir facsímil")</f>
        <v>Abrir facsímil</v>
      </c>
      <c r="K1689" s="15" t="s">
        <v>22</v>
      </c>
    </row>
    <row r="1690" spans="1:11" ht="42" customHeight="1">
      <c r="A1690" s="4" t="s">
        <v>4224</v>
      </c>
      <c r="B1690" s="5" t="s">
        <v>4225</v>
      </c>
      <c r="C1690" s="5" t="s">
        <v>35</v>
      </c>
      <c r="D1690" s="5" t="s">
        <v>36</v>
      </c>
      <c r="E1690" s="5" t="s">
        <v>163</v>
      </c>
      <c r="F1690" s="9">
        <v>77</v>
      </c>
      <c r="G1690" s="9">
        <v>817</v>
      </c>
      <c r="H1690" s="5" t="s">
        <v>20</v>
      </c>
      <c r="I1690" s="5" t="s">
        <v>4226</v>
      </c>
      <c r="J1690" s="12" t="str">
        <f>HYPERLINK("https://www.boe.es/gazeta/dias/1805/09/24/pdfs/GMD-1805-77.pdf#page=9","Abrir facsímil")</f>
        <v>Abrir facsímil</v>
      </c>
      <c r="K1690" s="15" t="s">
        <v>22</v>
      </c>
    </row>
    <row r="1691" spans="1:11" ht="42" customHeight="1">
      <c r="A1691" s="4" t="s">
        <v>4227</v>
      </c>
      <c r="B1691" s="5" t="s">
        <v>4228</v>
      </c>
      <c r="C1691" s="5" t="s">
        <v>29</v>
      </c>
      <c r="D1691" s="5" t="s">
        <v>30</v>
      </c>
      <c r="E1691" s="5" t="s">
        <v>296</v>
      </c>
      <c r="F1691" s="9">
        <v>26</v>
      </c>
      <c r="G1691" s="9">
        <v>278</v>
      </c>
      <c r="H1691" s="5" t="s">
        <v>20</v>
      </c>
      <c r="I1691" s="5" t="s">
        <v>4229</v>
      </c>
      <c r="J1691" s="12" t="str">
        <f>HYPERLINK("https://www.boe.es/gazeta/dias/1805/03/29/pdfs/GMD-1805-26.pdf#page=10","Abrir facsímil")</f>
        <v>Abrir facsímil</v>
      </c>
      <c r="K1691" s="15" t="s">
        <v>22</v>
      </c>
    </row>
    <row r="1692" spans="1:11" ht="42" customHeight="1">
      <c r="A1692" s="4" t="s">
        <v>4230</v>
      </c>
      <c r="B1692" s="5" t="s">
        <v>4231</v>
      </c>
      <c r="C1692" s="5" t="s">
        <v>29</v>
      </c>
      <c r="D1692" s="5" t="s">
        <v>30</v>
      </c>
      <c r="E1692" s="5" t="s">
        <v>112</v>
      </c>
      <c r="F1692" s="9">
        <v>16</v>
      </c>
      <c r="G1692" s="9">
        <v>167</v>
      </c>
      <c r="H1692" s="5" t="s">
        <v>20</v>
      </c>
      <c r="I1692" s="5" t="s">
        <v>4232</v>
      </c>
      <c r="J1692" s="12" t="str">
        <f>HYPERLINK("https://www.boe.es/gazeta/dias/1805/02/22/pdfs/GMD-1805-16.pdf#page=7","Abrir facsímil")</f>
        <v>Abrir facsímil</v>
      </c>
      <c r="K1692" s="15" t="s">
        <v>22</v>
      </c>
    </row>
    <row r="1693" spans="1:11" ht="42" customHeight="1">
      <c r="A1693" s="4" t="s">
        <v>4233</v>
      </c>
      <c r="B1693" s="5" t="s">
        <v>4234</v>
      </c>
      <c r="C1693" s="5" t="s">
        <v>17</v>
      </c>
      <c r="D1693" s="5" t="s">
        <v>18</v>
      </c>
      <c r="E1693" s="5" t="s">
        <v>40</v>
      </c>
      <c r="F1693" s="9">
        <v>59</v>
      </c>
      <c r="G1693" s="9">
        <v>634</v>
      </c>
      <c r="H1693" s="5" t="s">
        <v>20</v>
      </c>
      <c r="I1693" s="5" t="s">
        <v>4235</v>
      </c>
      <c r="J1693" s="12" t="str">
        <f>HYPERLINK("https://www.boe.es/gazeta/dias/1805/07/23/pdfs/GMD-1805-59.pdf#page=10","Abrir facsímil")</f>
        <v>Abrir facsímil</v>
      </c>
      <c r="K1693" s="15" t="s">
        <v>22</v>
      </c>
    </row>
    <row r="1694" spans="1:11" ht="42" customHeight="1">
      <c r="A1694" s="4" t="s">
        <v>4236</v>
      </c>
      <c r="B1694" s="5" t="s">
        <v>4237</v>
      </c>
      <c r="C1694" s="5" t="s">
        <v>35</v>
      </c>
      <c r="D1694" s="5" t="s">
        <v>36</v>
      </c>
      <c r="E1694" s="5" t="s">
        <v>67</v>
      </c>
      <c r="F1694" s="9">
        <v>98</v>
      </c>
      <c r="G1694" s="9">
        <v>1059</v>
      </c>
      <c r="H1694" s="5" t="s">
        <v>20</v>
      </c>
      <c r="I1694" s="5" t="s">
        <v>4238</v>
      </c>
      <c r="J1694" s="12" t="str">
        <f>HYPERLINK("https://www.boe.es/gazeta/dias/1805/12/06/pdfs/GMD-1805-98.pdf#page=11","Abrir facsímil")</f>
        <v>Abrir facsímil</v>
      </c>
      <c r="K1694" s="15" t="s">
        <v>22</v>
      </c>
    </row>
    <row r="1695" spans="1:11" ht="42" customHeight="1">
      <c r="A1695" s="4" t="s">
        <v>4239</v>
      </c>
      <c r="B1695" s="5" t="s">
        <v>4240</v>
      </c>
      <c r="C1695" s="5" t="s">
        <v>35</v>
      </c>
      <c r="D1695" s="5" t="s">
        <v>36</v>
      </c>
      <c r="E1695" s="5" t="s">
        <v>539</v>
      </c>
      <c r="F1695" s="9">
        <v>97</v>
      </c>
      <c r="G1695" s="9">
        <v>1043</v>
      </c>
      <c r="H1695" s="5" t="s">
        <v>20</v>
      </c>
      <c r="I1695" s="5" t="s">
        <v>4241</v>
      </c>
      <c r="J1695" s="12" t="str">
        <f>HYPERLINK("https://www.boe.es/gazeta/dias/1805/12/03/pdfs/GMD-1805-97.pdf#page=7","Abrir facsímil")</f>
        <v>Abrir facsímil</v>
      </c>
      <c r="K1695" s="15" t="s">
        <v>22</v>
      </c>
    </row>
    <row r="1696" spans="1:11" ht="42" customHeight="1">
      <c r="A1696" s="4" t="s">
        <v>4242</v>
      </c>
      <c r="B1696" s="5" t="s">
        <v>4243</v>
      </c>
      <c r="C1696" s="5" t="s">
        <v>184</v>
      </c>
      <c r="D1696" s="5" t="s">
        <v>86</v>
      </c>
      <c r="E1696" s="5" t="s">
        <v>711</v>
      </c>
      <c r="F1696" s="9">
        <v>63</v>
      </c>
      <c r="G1696" s="9">
        <v>675</v>
      </c>
      <c r="H1696" s="5" t="s">
        <v>20</v>
      </c>
      <c r="I1696" s="5" t="s">
        <v>4244</v>
      </c>
      <c r="J1696" s="12" t="str">
        <f>HYPERLINK("https://www.boe.es/gazeta/dias/1805/08/06/pdfs/GMD-1805-63.pdf#page=11","Abrir facsímil")</f>
        <v>Abrir facsímil</v>
      </c>
      <c r="K1696" s="15" t="s">
        <v>22</v>
      </c>
    </row>
    <row r="1697" spans="1:11" ht="42" customHeight="1">
      <c r="A1697" s="4" t="s">
        <v>4245</v>
      </c>
      <c r="B1697" s="5" t="s">
        <v>4246</v>
      </c>
      <c r="C1697" s="5" t="s">
        <v>17</v>
      </c>
      <c r="D1697" s="5" t="s">
        <v>18</v>
      </c>
      <c r="E1697" s="5" t="s">
        <v>37</v>
      </c>
      <c r="F1697" s="9">
        <v>54</v>
      </c>
      <c r="G1697" s="9">
        <v>577</v>
      </c>
      <c r="H1697" s="5" t="s">
        <v>20</v>
      </c>
      <c r="I1697" s="5" t="s">
        <v>4247</v>
      </c>
      <c r="J1697" s="12" t="str">
        <f>HYPERLINK("https://www.boe.es/gazeta/dias/1805/07/05/pdfs/GMD-1805-54.pdf#page=5","Abrir facsímil")</f>
        <v>Abrir facsímil</v>
      </c>
      <c r="K1697" s="15" t="s">
        <v>22</v>
      </c>
    </row>
    <row r="1698" spans="1:11" ht="42" customHeight="1">
      <c r="A1698" s="4" t="s">
        <v>4248</v>
      </c>
      <c r="B1698" s="5" t="s">
        <v>4249</v>
      </c>
      <c r="C1698" s="5" t="s">
        <v>29</v>
      </c>
      <c r="D1698" s="5" t="s">
        <v>30</v>
      </c>
      <c r="E1698" s="5" t="s">
        <v>426</v>
      </c>
      <c r="F1698" s="9">
        <v>75</v>
      </c>
      <c r="G1698" s="9">
        <v>800</v>
      </c>
      <c r="H1698" s="5" t="s">
        <v>20</v>
      </c>
      <c r="I1698" s="5" t="s">
        <v>4250</v>
      </c>
      <c r="J1698" s="12" t="str">
        <f>HYPERLINK("https://www.boe.es/gazeta/dias/1805/09/17/pdfs/GMD-1805-75.pdf#page=12","Abrir facsímil")</f>
        <v>Abrir facsímil</v>
      </c>
      <c r="K1698" s="15" t="s">
        <v>22</v>
      </c>
    </row>
    <row r="1699" spans="1:11" ht="42" customHeight="1">
      <c r="A1699" s="4" t="s">
        <v>4251</v>
      </c>
      <c r="B1699" s="5" t="s">
        <v>4252</v>
      </c>
      <c r="C1699" s="5" t="s">
        <v>85</v>
      </c>
      <c r="D1699" s="5" t="s">
        <v>86</v>
      </c>
      <c r="E1699" s="5" t="s">
        <v>904</v>
      </c>
      <c r="F1699" s="9">
        <v>47</v>
      </c>
      <c r="G1699" s="9">
        <v>509</v>
      </c>
      <c r="H1699" s="5" t="s">
        <v>20</v>
      </c>
      <c r="I1699" s="5" t="s">
        <v>4253</v>
      </c>
      <c r="J1699" s="12" t="str">
        <f>HYPERLINK("https://www.boe.es/gazeta/dias/1805/06/11/pdfs/GMD-1805-47.pdf#page=9","Abrir facsímil")</f>
        <v>Abrir facsímil</v>
      </c>
      <c r="K1699" s="15" t="s">
        <v>22</v>
      </c>
    </row>
    <row r="1700" spans="1:11" ht="42" customHeight="1">
      <c r="A1700" s="4" t="s">
        <v>4254</v>
      </c>
      <c r="B1700" s="5" t="s">
        <v>4255</v>
      </c>
      <c r="C1700" s="5" t="s">
        <v>17</v>
      </c>
      <c r="D1700" s="5" t="s">
        <v>18</v>
      </c>
      <c r="E1700" s="5" t="s">
        <v>495</v>
      </c>
      <c r="F1700" s="9">
        <v>103</v>
      </c>
      <c r="G1700" s="9">
        <v>1113</v>
      </c>
      <c r="H1700" s="5" t="s">
        <v>20</v>
      </c>
      <c r="I1700" s="5" t="s">
        <v>4256</v>
      </c>
      <c r="J1700" s="12" t="str">
        <f>HYPERLINK("https://www.boe.es/gazeta/dias/1805/12/24/pdfs/GMD-1805-103.pdf#page=5","Abrir facsímil")</f>
        <v>Abrir facsímil</v>
      </c>
      <c r="K1700" s="15" t="s">
        <v>22</v>
      </c>
    </row>
    <row r="1701" spans="1:11" ht="42" customHeight="1">
      <c r="A1701" s="4" t="s">
        <v>4257</v>
      </c>
      <c r="B1701" s="5" t="s">
        <v>4258</v>
      </c>
      <c r="C1701" s="5" t="s">
        <v>35</v>
      </c>
      <c r="D1701" s="5" t="s">
        <v>36</v>
      </c>
      <c r="E1701" s="5" t="s">
        <v>24</v>
      </c>
      <c r="F1701" s="9">
        <v>11</v>
      </c>
      <c r="G1701" s="9">
        <v>122</v>
      </c>
      <c r="H1701" s="5" t="s">
        <v>20</v>
      </c>
      <c r="I1701" s="5" t="s">
        <v>4259</v>
      </c>
      <c r="J1701" s="12" t="str">
        <f>HYPERLINK("https://www.boe.es/gazeta/dias/1805/02/05/pdfs/GMD-1805-11.pdf#page=10","Abrir facsímil")</f>
        <v>Abrir facsímil</v>
      </c>
      <c r="K1701" s="15" t="s">
        <v>22</v>
      </c>
    </row>
    <row r="1702" spans="1:11" ht="42" customHeight="1">
      <c r="A1702" s="4" t="s">
        <v>4260</v>
      </c>
      <c r="B1702" s="5" t="s">
        <v>4261</v>
      </c>
      <c r="C1702" s="5" t="s">
        <v>29</v>
      </c>
      <c r="D1702" s="5" t="s">
        <v>30</v>
      </c>
      <c r="E1702" s="5" t="s">
        <v>44</v>
      </c>
      <c r="F1702" s="9">
        <v>29</v>
      </c>
      <c r="G1702" s="9">
        <v>313</v>
      </c>
      <c r="H1702" s="5" t="s">
        <v>20</v>
      </c>
      <c r="I1702" s="5" t="s">
        <v>4262</v>
      </c>
      <c r="J1702" s="12" t="str">
        <f>HYPERLINK("https://www.boe.es/gazeta/dias/1805/04/09/pdfs/GMD-1805-29.pdf#page=9","Abrir facsímil")</f>
        <v>Abrir facsímil</v>
      </c>
      <c r="K1702" s="15" t="s">
        <v>22</v>
      </c>
    </row>
    <row r="1703" spans="1:11" ht="42" customHeight="1">
      <c r="A1703" s="4" t="s">
        <v>4260</v>
      </c>
      <c r="B1703" s="5" t="s">
        <v>4261</v>
      </c>
      <c r="C1703" s="5" t="s">
        <v>184</v>
      </c>
      <c r="D1703" s="5" t="s">
        <v>86</v>
      </c>
      <c r="E1703" s="5" t="s">
        <v>303</v>
      </c>
      <c r="F1703" s="9">
        <v>57</v>
      </c>
      <c r="G1703" s="9">
        <v>614</v>
      </c>
      <c r="H1703" s="5" t="s">
        <v>20</v>
      </c>
      <c r="I1703" s="5" t="s">
        <v>4263</v>
      </c>
      <c r="J1703" s="12" t="str">
        <f>HYPERLINK("https://www.boe.es/gazeta/dias/1805/07/16/pdfs/GMD-1805-57.pdf#page=10","Abrir facsímil")</f>
        <v>Abrir facsímil</v>
      </c>
      <c r="K1703" s="15" t="s">
        <v>22</v>
      </c>
    </row>
    <row r="1704" spans="1:11" ht="42" customHeight="1">
      <c r="A1704" s="4" t="s">
        <v>4260</v>
      </c>
      <c r="B1704" s="5" t="s">
        <v>4261</v>
      </c>
      <c r="C1704" s="5" t="s">
        <v>184</v>
      </c>
      <c r="D1704" s="5" t="s">
        <v>86</v>
      </c>
      <c r="E1704" s="5" t="s">
        <v>19</v>
      </c>
      <c r="F1704" s="9">
        <v>86</v>
      </c>
      <c r="G1704" s="9">
        <v>915</v>
      </c>
      <c r="H1704" s="5" t="s">
        <v>20</v>
      </c>
      <c r="I1704" s="5" t="s">
        <v>4264</v>
      </c>
      <c r="J1704" s="12" t="str">
        <f>HYPERLINK("https://www.boe.es/gazeta/dias/1805/10/25/pdfs/GMD-1805-86.pdf#page=11","Abrir facsímil")</f>
        <v>Abrir facsímil</v>
      </c>
      <c r="K1704" s="15" t="s">
        <v>22</v>
      </c>
    </row>
    <row r="1705" spans="1:11" ht="42" customHeight="1">
      <c r="A1705" s="4" t="s">
        <v>4265</v>
      </c>
      <c r="B1705" s="5" t="s">
        <v>4266</v>
      </c>
      <c r="C1705" s="5" t="s">
        <v>35</v>
      </c>
      <c r="D1705" s="5" t="s">
        <v>36</v>
      </c>
      <c r="E1705" s="5" t="s">
        <v>63</v>
      </c>
      <c r="F1705" s="9">
        <v>101</v>
      </c>
      <c r="G1705" s="9">
        <v>1092</v>
      </c>
      <c r="H1705" s="5" t="s">
        <v>20</v>
      </c>
      <c r="I1705" s="5" t="s">
        <v>4267</v>
      </c>
      <c r="J1705" s="12" t="str">
        <f>HYPERLINK("https://www.boe.es/gazeta/dias/1805/12/17/pdfs/GMD-1805-101.pdf#page=8","Abrir facsímil")</f>
        <v>Abrir facsímil</v>
      </c>
      <c r="K1705" s="15" t="s">
        <v>22</v>
      </c>
    </row>
    <row r="1706" spans="1:11" ht="42" customHeight="1">
      <c r="A1706" s="4" t="s">
        <v>4268</v>
      </c>
      <c r="B1706" s="5" t="s">
        <v>4269</v>
      </c>
      <c r="C1706" s="5" t="s">
        <v>17</v>
      </c>
      <c r="D1706" s="5" t="s">
        <v>18</v>
      </c>
      <c r="E1706" s="5" t="s">
        <v>76</v>
      </c>
      <c r="F1706" s="9">
        <v>66</v>
      </c>
      <c r="G1706" s="9">
        <v>707</v>
      </c>
      <c r="H1706" s="5" t="s">
        <v>20</v>
      </c>
      <c r="I1706" s="5" t="s">
        <v>4270</v>
      </c>
      <c r="J1706" s="12" t="str">
        <f>HYPERLINK("https://www.boe.es/gazeta/dias/1805/08/16/pdfs/GMD-1805-66.pdf#page=7","Abrir facsímil")</f>
        <v>Abrir facsímil</v>
      </c>
      <c r="K1706" s="15" t="s">
        <v>22</v>
      </c>
    </row>
    <row r="1707" spans="1:11" ht="42" customHeight="1">
      <c r="A1707" s="4" t="s">
        <v>4271</v>
      </c>
      <c r="B1707" s="5" t="s">
        <v>4272</v>
      </c>
      <c r="C1707" s="5" t="s">
        <v>35</v>
      </c>
      <c r="D1707" s="5" t="s">
        <v>36</v>
      </c>
      <c r="E1707" s="5" t="s">
        <v>114</v>
      </c>
      <c r="F1707" s="9">
        <v>17</v>
      </c>
      <c r="G1707" s="9">
        <v>180</v>
      </c>
      <c r="H1707" s="5" t="s">
        <v>20</v>
      </c>
      <c r="I1707" s="5" t="s">
        <v>4273</v>
      </c>
      <c r="J1707" s="12" t="str">
        <f>HYPERLINK("https://www.boe.es/gazeta/dias/1805/02/26/pdfs/GMD-1805-17.pdf#page=12","Abrir facsímil")</f>
        <v>Abrir facsímil</v>
      </c>
      <c r="K1707" s="15" t="s">
        <v>22</v>
      </c>
    </row>
    <row r="1708" spans="1:11" ht="42" customHeight="1">
      <c r="A1708" s="4" t="s">
        <v>4274</v>
      </c>
      <c r="B1708" s="5" t="s">
        <v>4275</v>
      </c>
      <c r="C1708" s="5" t="s">
        <v>17</v>
      </c>
      <c r="D1708" s="5" t="s">
        <v>18</v>
      </c>
      <c r="E1708" s="5" t="s">
        <v>1471</v>
      </c>
      <c r="F1708" s="9">
        <v>34</v>
      </c>
      <c r="G1708" s="9">
        <v>363</v>
      </c>
      <c r="H1708" s="5" t="s">
        <v>20</v>
      </c>
      <c r="I1708" s="5" t="s">
        <v>4276</v>
      </c>
      <c r="J1708" s="12" t="str">
        <f>HYPERLINK("https://www.boe.es/gazeta/dias/1805/04/26/pdfs/GMD-1805-34.pdf#page=7","Abrir facsímil")</f>
        <v>Abrir facsímil</v>
      </c>
      <c r="K1708" s="15" t="s">
        <v>22</v>
      </c>
    </row>
    <row r="1709" spans="1:11" ht="42" customHeight="1">
      <c r="A1709" s="4" t="s">
        <v>4277</v>
      </c>
      <c r="B1709" s="5" t="s">
        <v>4278</v>
      </c>
      <c r="C1709" s="5" t="s">
        <v>17</v>
      </c>
      <c r="D1709" s="5" t="s">
        <v>18</v>
      </c>
      <c r="E1709" s="5" t="s">
        <v>63</v>
      </c>
      <c r="F1709" s="9">
        <v>101</v>
      </c>
      <c r="G1709" s="9">
        <v>1091</v>
      </c>
      <c r="H1709" s="5" t="s">
        <v>20</v>
      </c>
      <c r="I1709" s="5" t="s">
        <v>4279</v>
      </c>
      <c r="J1709" s="12" t="str">
        <f>HYPERLINK("https://www.boe.es/gazeta/dias/1805/12/17/pdfs/GMD-1805-101.pdf#page=7","Abrir facsímil")</f>
        <v>Abrir facsímil</v>
      </c>
      <c r="K1709" s="15" t="s">
        <v>22</v>
      </c>
    </row>
    <row r="1710" spans="1:11" ht="42" customHeight="1">
      <c r="A1710" s="4" t="s">
        <v>4280</v>
      </c>
      <c r="B1710" s="5" t="s">
        <v>4281</v>
      </c>
      <c r="C1710" s="5" t="s">
        <v>17</v>
      </c>
      <c r="D1710" s="5" t="s">
        <v>18</v>
      </c>
      <c r="E1710" s="5" t="s">
        <v>281</v>
      </c>
      <c r="F1710" s="9">
        <v>15</v>
      </c>
      <c r="G1710" s="9">
        <v>153</v>
      </c>
      <c r="H1710" s="5" t="s">
        <v>20</v>
      </c>
      <c r="I1710" s="5" t="s">
        <v>4282</v>
      </c>
      <c r="J1710" s="12" t="str">
        <f>HYPERLINK("https://www.boe.es/gazeta/dias/1805/02/19/pdfs/GMD-1805-15.pdf#page=5","Abrir facsímil")</f>
        <v>Abrir facsímil</v>
      </c>
      <c r="K1710" s="15" t="s">
        <v>22</v>
      </c>
    </row>
    <row r="1711" spans="1:11" ht="42" customHeight="1">
      <c r="A1711" s="4" t="s">
        <v>4283</v>
      </c>
      <c r="B1711" s="5" t="s">
        <v>4284</v>
      </c>
      <c r="C1711" s="5" t="s">
        <v>17</v>
      </c>
      <c r="D1711" s="5" t="s">
        <v>18</v>
      </c>
      <c r="E1711" s="5" t="s">
        <v>76</v>
      </c>
      <c r="F1711" s="9">
        <v>66</v>
      </c>
      <c r="G1711" s="9">
        <v>707</v>
      </c>
      <c r="H1711" s="5" t="s">
        <v>20</v>
      </c>
      <c r="I1711" s="5" t="s">
        <v>4285</v>
      </c>
      <c r="J1711" s="12" t="str">
        <f>HYPERLINK("https://www.boe.es/gazeta/dias/1805/08/16/pdfs/GMD-1805-66.pdf#page=7","Abrir facsímil")</f>
        <v>Abrir facsímil</v>
      </c>
      <c r="K1711" s="15" t="s">
        <v>22</v>
      </c>
    </row>
    <row r="1712" spans="1:11" ht="42" customHeight="1">
      <c r="A1712" s="4" t="s">
        <v>4286</v>
      </c>
      <c r="B1712" s="5" t="s">
        <v>4287</v>
      </c>
      <c r="C1712" s="5" t="s">
        <v>35</v>
      </c>
      <c r="D1712" s="5" t="s">
        <v>36</v>
      </c>
      <c r="E1712" s="5" t="s">
        <v>107</v>
      </c>
      <c r="F1712" s="9">
        <v>19</v>
      </c>
      <c r="G1712" s="9">
        <v>198</v>
      </c>
      <c r="H1712" s="5" t="s">
        <v>20</v>
      </c>
      <c r="I1712" s="5" t="s">
        <v>4288</v>
      </c>
      <c r="J1712" s="12" t="str">
        <f>HYPERLINK("https://www.boe.es/gazeta/dias/1805/03/05/pdfs/GMD-1805-19.pdf#page=10","Abrir facsímil")</f>
        <v>Abrir facsímil</v>
      </c>
      <c r="K1712" s="15" t="s">
        <v>22</v>
      </c>
    </row>
    <row r="1713" spans="1:11" ht="42" customHeight="1">
      <c r="A1713" s="4" t="s">
        <v>4289</v>
      </c>
      <c r="B1713" s="5" t="s">
        <v>4290</v>
      </c>
      <c r="C1713" s="5" t="s">
        <v>80</v>
      </c>
      <c r="D1713" s="5" t="s">
        <v>81</v>
      </c>
      <c r="E1713" s="5" t="s">
        <v>217</v>
      </c>
      <c r="F1713" s="9">
        <v>96</v>
      </c>
      <c r="G1713" s="9">
        <v>1028</v>
      </c>
      <c r="H1713" s="5" t="s">
        <v>20</v>
      </c>
      <c r="I1713" s="5" t="s">
        <v>4291</v>
      </c>
      <c r="J1713" s="12" t="str">
        <f>HYPERLINK("https://www.boe.es/gazeta/dias/1805/11/29/pdfs/GMD-1805-96.pdf#page=4","Abrir facsímil")</f>
        <v>Abrir facsímil</v>
      </c>
      <c r="K1713" s="15" t="s">
        <v>22</v>
      </c>
    </row>
    <row r="1714" spans="1:11" ht="42" customHeight="1">
      <c r="A1714" s="4" t="s">
        <v>4292</v>
      </c>
      <c r="B1714" s="5" t="s">
        <v>4293</v>
      </c>
      <c r="C1714" s="5" t="s">
        <v>35</v>
      </c>
      <c r="D1714" s="5" t="s">
        <v>36</v>
      </c>
      <c r="E1714" s="5" t="s">
        <v>669</v>
      </c>
      <c r="F1714" s="9">
        <v>84</v>
      </c>
      <c r="G1714" s="9">
        <v>890</v>
      </c>
      <c r="H1714" s="5" t="s">
        <v>20</v>
      </c>
      <c r="I1714" s="5" t="s">
        <v>4294</v>
      </c>
      <c r="J1714" s="12" t="str">
        <f>HYPERLINK("https://www.boe.es/gazeta/dias/1805/10/18/pdfs/GMD-1805-84.pdf#page=6","Abrir facsímil")</f>
        <v>Abrir facsímil</v>
      </c>
      <c r="K1714" s="15" t="s">
        <v>22</v>
      </c>
    </row>
    <row r="1715" spans="1:11" ht="42" customHeight="1">
      <c r="A1715" s="4" t="s">
        <v>4295</v>
      </c>
      <c r="B1715" s="5" t="s">
        <v>4296</v>
      </c>
      <c r="C1715" s="5" t="s">
        <v>80</v>
      </c>
      <c r="D1715" s="5" t="s">
        <v>81</v>
      </c>
      <c r="E1715" s="5" t="s">
        <v>327</v>
      </c>
      <c r="F1715" s="9">
        <v>10</v>
      </c>
      <c r="G1715" s="9">
        <v>106</v>
      </c>
      <c r="H1715" s="5" t="s">
        <v>20</v>
      </c>
      <c r="I1715" s="5" t="s">
        <v>4297</v>
      </c>
      <c r="J1715" s="12" t="str">
        <f>HYPERLINK("https://www.boe.es/gazeta/dias/1805/02/01/pdfs/GMD-1805-10.pdf#page=2","Abrir facsímil")</f>
        <v>Abrir facsímil</v>
      </c>
      <c r="K1715" s="15" t="s">
        <v>22</v>
      </c>
    </row>
    <row r="1716" spans="1:11" ht="42" customHeight="1">
      <c r="A1716" s="4" t="s">
        <v>4295</v>
      </c>
      <c r="B1716" s="5" t="s">
        <v>4296</v>
      </c>
      <c r="C1716" s="5" t="s">
        <v>35</v>
      </c>
      <c r="D1716" s="5" t="s">
        <v>36</v>
      </c>
      <c r="E1716" s="5" t="s">
        <v>393</v>
      </c>
      <c r="F1716" s="9">
        <v>44</v>
      </c>
      <c r="G1716" s="9">
        <v>471</v>
      </c>
      <c r="H1716" s="5" t="s">
        <v>20</v>
      </c>
      <c r="I1716" s="5" t="s">
        <v>4298</v>
      </c>
      <c r="J1716" s="12" t="str">
        <f>HYPERLINK("https://www.boe.es/gazeta/dias/1805/05/31/pdfs/GMD-1805-44.pdf#page=7","Abrir facsímil")</f>
        <v>Abrir facsímil</v>
      </c>
      <c r="K1716" s="15" t="s">
        <v>22</v>
      </c>
    </row>
    <row r="1717" spans="1:11" ht="42" customHeight="1">
      <c r="A1717" s="4" t="s">
        <v>4295</v>
      </c>
      <c r="B1717" s="5" t="s">
        <v>4296</v>
      </c>
      <c r="C1717" s="5" t="s">
        <v>17</v>
      </c>
      <c r="D1717" s="5" t="s">
        <v>18</v>
      </c>
      <c r="E1717" s="5" t="s">
        <v>393</v>
      </c>
      <c r="F1717" s="9">
        <v>44</v>
      </c>
      <c r="G1717" s="9">
        <v>472</v>
      </c>
      <c r="H1717" s="5" t="s">
        <v>20</v>
      </c>
      <c r="I1717" s="5" t="s">
        <v>4299</v>
      </c>
      <c r="J1717" s="12" t="str">
        <f>HYPERLINK("https://www.boe.es/gazeta/dias/1805/05/31/pdfs/GMD-1805-44.pdf#page=8","Abrir facsímil")</f>
        <v>Abrir facsímil</v>
      </c>
      <c r="K1717" s="15" t="s">
        <v>22</v>
      </c>
    </row>
    <row r="1718" spans="1:11" ht="42" customHeight="1">
      <c r="A1718" s="4" t="s">
        <v>4300</v>
      </c>
      <c r="B1718" s="5" t="s">
        <v>4301</v>
      </c>
      <c r="C1718" s="5" t="s">
        <v>35</v>
      </c>
      <c r="D1718" s="5" t="s">
        <v>36</v>
      </c>
      <c r="E1718" s="5" t="s">
        <v>135</v>
      </c>
      <c r="F1718" s="9">
        <v>71</v>
      </c>
      <c r="G1718" s="9">
        <v>757</v>
      </c>
      <c r="H1718" s="5" t="s">
        <v>20</v>
      </c>
      <c r="I1718" s="5" t="s">
        <v>4302</v>
      </c>
      <c r="J1718" s="12" t="str">
        <f>HYPERLINK("https://www.boe.es/gazeta/dias/1805/09/03/pdfs/GMD-1805-71.pdf#page=9","Abrir facsímil")</f>
        <v>Abrir facsímil</v>
      </c>
      <c r="K1718" s="15" t="s">
        <v>22</v>
      </c>
    </row>
    <row r="1719" spans="1:11" ht="42" customHeight="1">
      <c r="A1719" s="4" t="s">
        <v>4303</v>
      </c>
      <c r="B1719" s="5" t="s">
        <v>4304</v>
      </c>
      <c r="C1719" s="5" t="s">
        <v>35</v>
      </c>
      <c r="D1719" s="5" t="s">
        <v>36</v>
      </c>
      <c r="E1719" s="5" t="s">
        <v>213</v>
      </c>
      <c r="F1719" s="9">
        <v>56</v>
      </c>
      <c r="G1719" s="9">
        <v>600</v>
      </c>
      <c r="H1719" s="5" t="s">
        <v>20</v>
      </c>
      <c r="I1719" s="5" t="s">
        <v>4305</v>
      </c>
      <c r="J1719" s="12" t="str">
        <f>HYPERLINK("https://www.boe.es/gazeta/dias/1805/07/12/pdfs/GMD-1805-56.pdf#page=8","Abrir facsímil")</f>
        <v>Abrir facsímil</v>
      </c>
      <c r="K1719" s="15" t="s">
        <v>22</v>
      </c>
    </row>
    <row r="1720" spans="1:11" ht="42" customHeight="1">
      <c r="A1720" s="4" t="s">
        <v>4306</v>
      </c>
      <c r="B1720" s="5" t="s">
        <v>4307</v>
      </c>
      <c r="C1720" s="5" t="s">
        <v>35</v>
      </c>
      <c r="D1720" s="5" t="s">
        <v>36</v>
      </c>
      <c r="E1720" s="5" t="s">
        <v>24</v>
      </c>
      <c r="F1720" s="9">
        <v>11</v>
      </c>
      <c r="G1720" s="9">
        <v>121</v>
      </c>
      <c r="H1720" s="5" t="s">
        <v>20</v>
      </c>
      <c r="I1720" s="5" t="s">
        <v>4308</v>
      </c>
      <c r="J1720" s="12" t="str">
        <f>HYPERLINK("https://www.boe.es/gazeta/dias/1805/02/05/pdfs/GMD-1805-11.pdf#page=9","Abrir facsímil")</f>
        <v>Abrir facsímil</v>
      </c>
      <c r="K1720" s="15" t="s">
        <v>22</v>
      </c>
    </row>
    <row r="1721" spans="1:11" ht="42" customHeight="1">
      <c r="A1721" s="4" t="s">
        <v>4309</v>
      </c>
      <c r="B1721" s="5" t="s">
        <v>4310</v>
      </c>
      <c r="C1721" s="5" t="s">
        <v>184</v>
      </c>
      <c r="D1721" s="5" t="s">
        <v>86</v>
      </c>
      <c r="E1721" s="5" t="s">
        <v>293</v>
      </c>
      <c r="F1721" s="9">
        <v>5</v>
      </c>
      <c r="G1721" s="9">
        <v>53</v>
      </c>
      <c r="H1721" s="5" t="s">
        <v>20</v>
      </c>
      <c r="I1721" s="5" t="s">
        <v>4311</v>
      </c>
      <c r="J1721" s="12" t="str">
        <f>HYPERLINK("https://www.boe.es/gazeta/dias/1805/01/15/pdfs/GMD-1805-5.pdf#page=9","Abrir facsímil")</f>
        <v>Abrir facsímil</v>
      </c>
      <c r="K1721" s="15" t="s">
        <v>22</v>
      </c>
    </row>
    <row r="1722" spans="1:11" ht="42" customHeight="1">
      <c r="A1722" s="4" t="s">
        <v>4312</v>
      </c>
      <c r="B1722" s="5" t="s">
        <v>4313</v>
      </c>
      <c r="C1722" s="5" t="s">
        <v>35</v>
      </c>
      <c r="D1722" s="5" t="s">
        <v>36</v>
      </c>
      <c r="E1722" s="5" t="s">
        <v>141</v>
      </c>
      <c r="F1722" s="9">
        <v>82</v>
      </c>
      <c r="G1722" s="9">
        <v>870</v>
      </c>
      <c r="H1722" s="5" t="s">
        <v>20</v>
      </c>
      <c r="I1722" s="5" t="s">
        <v>4314</v>
      </c>
      <c r="J1722" s="12" t="str">
        <f>HYPERLINK("https://www.boe.es/gazeta/dias/1805/10/11/pdfs/GMD-1805-82.pdf#page=10","Abrir facsímil")</f>
        <v>Abrir facsímil</v>
      </c>
      <c r="K1722" s="15" t="s">
        <v>22</v>
      </c>
    </row>
    <row r="1723" spans="1:11" ht="42" customHeight="1">
      <c r="A1723" s="4" t="s">
        <v>4315</v>
      </c>
      <c r="B1723" s="5" t="s">
        <v>4316</v>
      </c>
      <c r="C1723" s="5" t="s">
        <v>35</v>
      </c>
      <c r="D1723" s="5" t="s">
        <v>36</v>
      </c>
      <c r="E1723" s="5" t="s">
        <v>200</v>
      </c>
      <c r="F1723" s="9">
        <v>91</v>
      </c>
      <c r="G1723" s="9">
        <v>977</v>
      </c>
      <c r="H1723" s="5" t="s">
        <v>20</v>
      </c>
      <c r="I1723" s="5" t="s">
        <v>4317</v>
      </c>
      <c r="J1723" s="12" t="str">
        <f>HYPERLINK("https://www.boe.es/gazeta/dias/1805/11/12/pdfs/GMD-1805-91.pdf#page=9","Abrir facsímil")</f>
        <v>Abrir facsímil</v>
      </c>
      <c r="K1723" s="15" t="s">
        <v>22</v>
      </c>
    </row>
    <row r="1724" spans="1:11" ht="42" customHeight="1">
      <c r="A1724" s="4" t="s">
        <v>4318</v>
      </c>
      <c r="B1724" s="5" t="s">
        <v>4319</v>
      </c>
      <c r="C1724" s="5" t="s">
        <v>35</v>
      </c>
      <c r="D1724" s="5" t="s">
        <v>36</v>
      </c>
      <c r="E1724" s="5" t="s">
        <v>352</v>
      </c>
      <c r="F1724" s="9">
        <v>60</v>
      </c>
      <c r="G1724" s="9">
        <v>647</v>
      </c>
      <c r="H1724" s="5" t="s">
        <v>20</v>
      </c>
      <c r="I1724" s="5" t="s">
        <v>4320</v>
      </c>
      <c r="J1724" s="12" t="str">
        <f>HYPERLINK("https://www.boe.es/gazeta/dias/1805/07/26/pdfs/GMD-1805-60.pdf#page=11","Abrir facsímil")</f>
        <v>Abrir facsímil</v>
      </c>
      <c r="K1724" s="15" t="s">
        <v>22</v>
      </c>
    </row>
    <row r="1725" spans="1:11" ht="42" customHeight="1">
      <c r="A1725" s="4" t="s">
        <v>4321</v>
      </c>
      <c r="B1725" s="5" t="s">
        <v>4322</v>
      </c>
      <c r="C1725" s="5" t="s">
        <v>17</v>
      </c>
      <c r="D1725" s="5" t="s">
        <v>18</v>
      </c>
      <c r="E1725" s="5" t="s">
        <v>44</v>
      </c>
      <c r="F1725" s="9">
        <v>29</v>
      </c>
      <c r="G1725" s="9">
        <v>313</v>
      </c>
      <c r="H1725" s="5" t="s">
        <v>20</v>
      </c>
      <c r="I1725" s="5" t="s">
        <v>4323</v>
      </c>
      <c r="J1725" s="12" t="str">
        <f>HYPERLINK("https://www.boe.es/gazeta/dias/1805/04/09/pdfs/GMD-1805-29.pdf#page=9","Abrir facsímil")</f>
        <v>Abrir facsímil</v>
      </c>
      <c r="K1725" s="15" t="s">
        <v>22</v>
      </c>
    </row>
    <row r="1726" spans="1:11" ht="42" customHeight="1">
      <c r="A1726" s="4" t="s">
        <v>4324</v>
      </c>
      <c r="B1726" s="5" t="s">
        <v>4325</v>
      </c>
      <c r="C1726" s="5" t="s">
        <v>35</v>
      </c>
      <c r="D1726" s="5" t="s">
        <v>36</v>
      </c>
      <c r="E1726" s="5" t="s">
        <v>95</v>
      </c>
      <c r="F1726" s="9">
        <v>13</v>
      </c>
      <c r="G1726" s="9">
        <v>138</v>
      </c>
      <c r="H1726" s="5" t="s">
        <v>20</v>
      </c>
      <c r="I1726" s="5" t="s">
        <v>4326</v>
      </c>
      <c r="J1726" s="12" t="str">
        <f>HYPERLINK("https://www.boe.es/gazeta/dias/1805/02/12/pdfs/GMD-1805-13.pdf#page=6","Abrir facsímil")</f>
        <v>Abrir facsímil</v>
      </c>
      <c r="K1726" s="15" t="s">
        <v>22</v>
      </c>
    </row>
    <row r="1727" spans="1:11" ht="42" customHeight="1">
      <c r="A1727" s="4" t="s">
        <v>4327</v>
      </c>
      <c r="B1727" s="5" t="s">
        <v>4328</v>
      </c>
      <c r="C1727" s="5" t="s">
        <v>52</v>
      </c>
      <c r="D1727" s="5" t="s">
        <v>53</v>
      </c>
      <c r="E1727" s="5" t="s">
        <v>54</v>
      </c>
      <c r="F1727" s="9">
        <v>99</v>
      </c>
      <c r="G1727" s="9" t="s">
        <v>145</v>
      </c>
      <c r="H1727" s="5" t="s">
        <v>20</v>
      </c>
      <c r="I1727" s="5" t="s">
        <v>4329</v>
      </c>
      <c r="J1727" s="12" t="str">
        <f>HYPERLINK("https://www.boe.es/gazeta/dias/1805/12/10/pdfs/GMD-C-1805-99.pdf#page=2","Abrir facsímil")</f>
        <v>Abrir facsímil</v>
      </c>
      <c r="K1727" s="15" t="s">
        <v>22</v>
      </c>
    </row>
    <row r="1728" spans="1:11" ht="42" customHeight="1">
      <c r="A1728" s="4" t="s">
        <v>4330</v>
      </c>
      <c r="B1728" s="5" t="s">
        <v>4331</v>
      </c>
      <c r="C1728" s="5" t="s">
        <v>35</v>
      </c>
      <c r="D1728" s="5" t="s">
        <v>36</v>
      </c>
      <c r="E1728" s="5" t="s">
        <v>188</v>
      </c>
      <c r="F1728" s="9">
        <v>68</v>
      </c>
      <c r="G1728" s="9">
        <v>729</v>
      </c>
      <c r="H1728" s="5" t="s">
        <v>20</v>
      </c>
      <c r="I1728" s="5" t="s">
        <v>4332</v>
      </c>
      <c r="J1728" s="12" t="str">
        <f>HYPERLINK("https://www.boe.es/gazeta/dias/1805/08/23/pdfs/GMD-1805-68.pdf#page=9","Abrir facsímil")</f>
        <v>Abrir facsímil</v>
      </c>
      <c r="K1728" s="15" t="s">
        <v>22</v>
      </c>
    </row>
    <row r="1729" spans="1:11" ht="42" customHeight="1">
      <c r="A1729" s="4" t="s">
        <v>4333</v>
      </c>
      <c r="B1729" s="5" t="s">
        <v>4334</v>
      </c>
      <c r="C1729" s="5" t="s">
        <v>85</v>
      </c>
      <c r="D1729" s="5" t="s">
        <v>86</v>
      </c>
      <c r="E1729" s="5" t="s">
        <v>144</v>
      </c>
      <c r="F1729" s="9">
        <v>85</v>
      </c>
      <c r="G1729" s="9">
        <v>902</v>
      </c>
      <c r="H1729" s="5" t="s">
        <v>20</v>
      </c>
      <c r="I1729" s="5" t="s">
        <v>4335</v>
      </c>
      <c r="J1729" s="12" t="str">
        <f>HYPERLINK("https://www.boe.es/gazeta/dias/1805/10/22/pdfs/GMD-1805-85.pdf#page=10","Abrir facsímil")</f>
        <v>Abrir facsímil</v>
      </c>
      <c r="K1729" s="15" t="s">
        <v>22</v>
      </c>
    </row>
    <row r="1730" spans="1:11" ht="42" customHeight="1">
      <c r="A1730" s="4" t="s">
        <v>4336</v>
      </c>
      <c r="B1730" s="5" t="s">
        <v>4337</v>
      </c>
      <c r="C1730" s="5" t="s">
        <v>35</v>
      </c>
      <c r="D1730" s="5" t="s">
        <v>36</v>
      </c>
      <c r="E1730" s="5" t="s">
        <v>327</v>
      </c>
      <c r="F1730" s="9">
        <v>10</v>
      </c>
      <c r="G1730" s="9">
        <v>109</v>
      </c>
      <c r="H1730" s="5" t="s">
        <v>20</v>
      </c>
      <c r="I1730" s="5" t="s">
        <v>4338</v>
      </c>
      <c r="J1730" s="12" t="str">
        <f>HYPERLINK("https://www.boe.es/gazeta/dias/1805/02/01/pdfs/GMD-1805-10.pdf#page=5","Abrir facsímil")</f>
        <v>Abrir facsímil</v>
      </c>
      <c r="K1730" s="15" t="s">
        <v>22</v>
      </c>
    </row>
    <row r="1731" spans="1:11" ht="42" customHeight="1">
      <c r="A1731" s="4" t="s">
        <v>4339</v>
      </c>
      <c r="B1731" s="5" t="s">
        <v>4340</v>
      </c>
      <c r="C1731" s="5" t="s">
        <v>184</v>
      </c>
      <c r="D1731" s="5" t="s">
        <v>86</v>
      </c>
      <c r="E1731" s="5" t="s">
        <v>128</v>
      </c>
      <c r="F1731" s="9">
        <v>23</v>
      </c>
      <c r="G1731" s="9">
        <v>247</v>
      </c>
      <c r="H1731" s="5" t="s">
        <v>20</v>
      </c>
      <c r="I1731" s="5" t="s">
        <v>4341</v>
      </c>
      <c r="J1731" s="12" t="str">
        <f>HYPERLINK("https://www.boe.es/gazeta/dias/1805/03/19/pdfs/GMD-1805-23.pdf#page=11","Abrir facsímil")</f>
        <v>Abrir facsímil</v>
      </c>
      <c r="K1731" s="15" t="s">
        <v>22</v>
      </c>
    </row>
    <row r="1732" spans="1:11" ht="42" customHeight="1">
      <c r="A1732" s="4" t="s">
        <v>4342</v>
      </c>
      <c r="B1732" s="5" t="s">
        <v>4343</v>
      </c>
      <c r="C1732" s="5" t="s">
        <v>35</v>
      </c>
      <c r="D1732" s="5" t="s">
        <v>36</v>
      </c>
      <c r="E1732" s="5" t="s">
        <v>200</v>
      </c>
      <c r="F1732" s="9">
        <v>91</v>
      </c>
      <c r="G1732" s="9">
        <v>977</v>
      </c>
      <c r="H1732" s="5" t="s">
        <v>20</v>
      </c>
      <c r="I1732" s="5" t="s">
        <v>4344</v>
      </c>
      <c r="J1732" s="12" t="str">
        <f>HYPERLINK("https://www.boe.es/gazeta/dias/1805/11/12/pdfs/GMD-1805-91.pdf#page=9","Abrir facsímil")</f>
        <v>Abrir facsímil</v>
      </c>
      <c r="K1732" s="15" t="s">
        <v>22</v>
      </c>
    </row>
    <row r="1733" spans="1:11" ht="42" customHeight="1">
      <c r="A1733" s="4" t="s">
        <v>4342</v>
      </c>
      <c r="B1733" s="5" t="s">
        <v>4343</v>
      </c>
      <c r="C1733" s="5" t="s">
        <v>17</v>
      </c>
      <c r="D1733" s="5" t="s">
        <v>18</v>
      </c>
      <c r="E1733" s="5" t="s">
        <v>495</v>
      </c>
      <c r="F1733" s="9">
        <v>103</v>
      </c>
      <c r="G1733" s="9">
        <v>1114</v>
      </c>
      <c r="H1733" s="5" t="s">
        <v>20</v>
      </c>
      <c r="I1733" s="5" t="s">
        <v>4345</v>
      </c>
      <c r="J1733" s="12" t="str">
        <f>HYPERLINK("https://www.boe.es/gazeta/dias/1805/12/24/pdfs/GMD-1805-103.pdf#page=6","Abrir facsímil")</f>
        <v>Abrir facsímil</v>
      </c>
      <c r="K1733" s="15" t="s">
        <v>22</v>
      </c>
    </row>
    <row r="1734" spans="1:11" ht="42" customHeight="1">
      <c r="A1734" s="4" t="s">
        <v>4346</v>
      </c>
      <c r="B1734" s="5" t="s">
        <v>4347</v>
      </c>
      <c r="C1734" s="5" t="s">
        <v>35</v>
      </c>
      <c r="D1734" s="5" t="s">
        <v>36</v>
      </c>
      <c r="E1734" s="5" t="s">
        <v>63</v>
      </c>
      <c r="F1734" s="9">
        <v>101</v>
      </c>
      <c r="G1734" s="9">
        <v>1092</v>
      </c>
      <c r="H1734" s="5" t="s">
        <v>20</v>
      </c>
      <c r="I1734" s="5" t="s">
        <v>4348</v>
      </c>
      <c r="J1734" s="12" t="str">
        <f>HYPERLINK("https://www.boe.es/gazeta/dias/1805/12/17/pdfs/GMD-1805-101.pdf#page=8","Abrir facsímil")</f>
        <v>Abrir facsímil</v>
      </c>
      <c r="K1734" s="15" t="s">
        <v>22</v>
      </c>
    </row>
    <row r="1735" spans="1:11" ht="42" customHeight="1">
      <c r="A1735" s="4" t="s">
        <v>4349</v>
      </c>
      <c r="B1735" s="5" t="s">
        <v>4350</v>
      </c>
      <c r="C1735" s="5" t="s">
        <v>35</v>
      </c>
      <c r="D1735" s="5" t="s">
        <v>36</v>
      </c>
      <c r="E1735" s="5" t="s">
        <v>117</v>
      </c>
      <c r="F1735" s="9">
        <v>20</v>
      </c>
      <c r="G1735" s="9">
        <v>209</v>
      </c>
      <c r="H1735" s="5" t="s">
        <v>20</v>
      </c>
      <c r="I1735" s="5" t="s">
        <v>4351</v>
      </c>
      <c r="J1735" s="12" t="str">
        <f>HYPERLINK("https://www.boe.es/gazeta/dias/1805/03/08/pdfs/GMD-1805-20.pdf#page=9","Abrir facsímil")</f>
        <v>Abrir facsímil</v>
      </c>
      <c r="K1735" s="15" t="s">
        <v>22</v>
      </c>
    </row>
    <row r="1736" spans="1:11" ht="42" customHeight="1">
      <c r="A1736" s="4" t="s">
        <v>4352</v>
      </c>
      <c r="B1736" s="5" t="s">
        <v>4353</v>
      </c>
      <c r="C1736" s="5" t="s">
        <v>17</v>
      </c>
      <c r="D1736" s="5" t="s">
        <v>18</v>
      </c>
      <c r="E1736" s="5" t="s">
        <v>114</v>
      </c>
      <c r="F1736" s="9">
        <v>17</v>
      </c>
      <c r="G1736" s="9">
        <v>177</v>
      </c>
      <c r="H1736" s="5" t="s">
        <v>20</v>
      </c>
      <c r="I1736" s="5" t="s">
        <v>4354</v>
      </c>
      <c r="J1736" s="12" t="str">
        <f>HYPERLINK("https://www.boe.es/gazeta/dias/1805/02/26/pdfs/GMD-1805-17.pdf#page=9","Abrir facsímil")</f>
        <v>Abrir facsímil</v>
      </c>
      <c r="K1736" s="15" t="s">
        <v>22</v>
      </c>
    </row>
    <row r="1737" spans="1:11" ht="42" customHeight="1">
      <c r="A1737" s="4" t="s">
        <v>4355</v>
      </c>
      <c r="B1737" s="5" t="s">
        <v>4356</v>
      </c>
      <c r="C1737" s="5" t="s">
        <v>80</v>
      </c>
      <c r="D1737" s="5" t="s">
        <v>81</v>
      </c>
      <c r="E1737" s="5" t="s">
        <v>539</v>
      </c>
      <c r="F1737" s="9">
        <v>97</v>
      </c>
      <c r="G1737" s="9">
        <v>1041</v>
      </c>
      <c r="H1737" s="5" t="s">
        <v>20</v>
      </c>
      <c r="I1737" s="5" t="s">
        <v>4357</v>
      </c>
      <c r="J1737" s="12" t="str">
        <f>HYPERLINK("https://www.boe.es/gazeta/dias/1805/12/03/pdfs/GMD-1805-97.pdf#page=5","Abrir facsímil")</f>
        <v>Abrir facsímil</v>
      </c>
      <c r="K1737" s="15" t="s">
        <v>22</v>
      </c>
    </row>
    <row r="1738" spans="1:11" ht="42" customHeight="1">
      <c r="A1738" s="4" t="s">
        <v>4358</v>
      </c>
      <c r="B1738" s="5" t="s">
        <v>4359</v>
      </c>
      <c r="C1738" s="5" t="s">
        <v>35</v>
      </c>
      <c r="D1738" s="5" t="s">
        <v>36</v>
      </c>
      <c r="E1738" s="5" t="s">
        <v>200</v>
      </c>
      <c r="F1738" s="9">
        <v>91</v>
      </c>
      <c r="G1738" s="9">
        <v>971</v>
      </c>
      <c r="H1738" s="5" t="s">
        <v>20</v>
      </c>
      <c r="I1738" s="5" t="s">
        <v>4360</v>
      </c>
      <c r="J1738" s="12" t="str">
        <f>HYPERLINK("https://www.boe.es/gazeta/dias/1805/11/12/pdfs/GMD-1805-91.pdf#page=3","Abrir facsímil")</f>
        <v>Abrir facsímil</v>
      </c>
      <c r="K1738" s="15" t="s">
        <v>22</v>
      </c>
    </row>
    <row r="1739" spans="1:11" ht="42" customHeight="1">
      <c r="A1739" s="4" t="s">
        <v>4361</v>
      </c>
      <c r="B1739" s="5" t="s">
        <v>4362</v>
      </c>
      <c r="C1739" s="5" t="s">
        <v>35</v>
      </c>
      <c r="D1739" s="5" t="s">
        <v>36</v>
      </c>
      <c r="E1739" s="5" t="s">
        <v>303</v>
      </c>
      <c r="F1739" s="9">
        <v>57</v>
      </c>
      <c r="G1739" s="9">
        <v>611</v>
      </c>
      <c r="H1739" s="5" t="s">
        <v>20</v>
      </c>
      <c r="I1739" s="5" t="s">
        <v>4363</v>
      </c>
      <c r="J1739" s="12" t="str">
        <f>HYPERLINK("https://www.boe.es/gazeta/dias/1805/07/16/pdfs/GMD-1805-57.pdf#page=7","Abrir facsímil")</f>
        <v>Abrir facsímil</v>
      </c>
      <c r="K1739" s="15" t="s">
        <v>22</v>
      </c>
    </row>
    <row r="1740" spans="1:11" ht="42" customHeight="1">
      <c r="A1740" s="4" t="s">
        <v>4364</v>
      </c>
      <c r="B1740" s="5" t="s">
        <v>4365</v>
      </c>
      <c r="C1740" s="5" t="s">
        <v>35</v>
      </c>
      <c r="D1740" s="5" t="s">
        <v>36</v>
      </c>
      <c r="E1740" s="5" t="s">
        <v>539</v>
      </c>
      <c r="F1740" s="9">
        <v>97</v>
      </c>
      <c r="G1740" s="9">
        <v>1045</v>
      </c>
      <c r="H1740" s="5" t="s">
        <v>20</v>
      </c>
      <c r="I1740" s="5" t="s">
        <v>4366</v>
      </c>
      <c r="J1740" s="12" t="str">
        <f>HYPERLINK("https://www.boe.es/gazeta/dias/1805/12/03/pdfs/GMD-1805-97.pdf#page=9","Abrir facsímil")</f>
        <v>Abrir facsímil</v>
      </c>
      <c r="K1740" s="15" t="s">
        <v>22</v>
      </c>
    </row>
    <row r="1741" spans="1:11" ht="42" customHeight="1">
      <c r="A1741" s="4" t="s">
        <v>4367</v>
      </c>
      <c r="B1741" s="5" t="s">
        <v>4368</v>
      </c>
      <c r="C1741" s="5" t="s">
        <v>17</v>
      </c>
      <c r="D1741" s="5" t="s">
        <v>18</v>
      </c>
      <c r="E1741" s="5" t="s">
        <v>854</v>
      </c>
      <c r="F1741" s="9">
        <v>46</v>
      </c>
      <c r="G1741" s="9">
        <v>500</v>
      </c>
      <c r="H1741" s="5" t="s">
        <v>20</v>
      </c>
      <c r="I1741" s="5" t="s">
        <v>4369</v>
      </c>
      <c r="J1741" s="12" t="str">
        <f>HYPERLINK("https://www.boe.es/gazeta/dias/1805/06/07/pdfs/GMD-1805-46.pdf#page=12","Abrir facsímil")</f>
        <v>Abrir facsímil</v>
      </c>
      <c r="K1741" s="15" t="s">
        <v>22</v>
      </c>
    </row>
    <row r="1742" spans="1:11" ht="42" customHeight="1">
      <c r="A1742" s="4" t="s">
        <v>4370</v>
      </c>
      <c r="B1742" s="5" t="s">
        <v>4371</v>
      </c>
      <c r="C1742" s="5" t="s">
        <v>184</v>
      </c>
      <c r="D1742" s="5" t="s">
        <v>86</v>
      </c>
      <c r="E1742" s="5" t="s">
        <v>729</v>
      </c>
      <c r="F1742" s="9">
        <v>61</v>
      </c>
      <c r="G1742" s="9">
        <v>655</v>
      </c>
      <c r="H1742" s="5" t="s">
        <v>20</v>
      </c>
      <c r="I1742" s="5" t="s">
        <v>4372</v>
      </c>
      <c r="J1742" s="12" t="str">
        <f>HYPERLINK("https://www.boe.es/gazeta/dias/1805/07/30/pdfs/GMD-1805-61.pdf#page=7","Abrir facsímil")</f>
        <v>Abrir facsímil</v>
      </c>
      <c r="K1742" s="15" t="s">
        <v>22</v>
      </c>
    </row>
    <row r="1743" spans="1:11" ht="42" customHeight="1">
      <c r="A1743" s="4" t="s">
        <v>4373</v>
      </c>
      <c r="B1743" s="5" t="s">
        <v>4374</v>
      </c>
      <c r="C1743" s="5" t="s">
        <v>35</v>
      </c>
      <c r="D1743" s="5" t="s">
        <v>36</v>
      </c>
      <c r="E1743" s="5" t="s">
        <v>281</v>
      </c>
      <c r="F1743" s="9">
        <v>15</v>
      </c>
      <c r="G1743" s="9">
        <v>156</v>
      </c>
      <c r="H1743" s="5" t="s">
        <v>20</v>
      </c>
      <c r="I1743" s="5" t="s">
        <v>4375</v>
      </c>
      <c r="J1743" s="12" t="str">
        <f>HYPERLINK("https://www.boe.es/gazeta/dias/1805/02/19/pdfs/GMD-1805-15.pdf#page=8","Abrir facsímil")</f>
        <v>Abrir facsímil</v>
      </c>
      <c r="K1743" s="15" t="s">
        <v>22</v>
      </c>
    </row>
    <row r="1744" spans="1:11" ht="42" customHeight="1">
      <c r="A1744" s="4" t="s">
        <v>4376</v>
      </c>
      <c r="B1744" s="5" t="s">
        <v>4377</v>
      </c>
      <c r="C1744" s="5" t="s">
        <v>35</v>
      </c>
      <c r="D1744" s="5" t="s">
        <v>36</v>
      </c>
      <c r="E1744" s="5" t="s">
        <v>163</v>
      </c>
      <c r="F1744" s="9">
        <v>77</v>
      </c>
      <c r="G1744" s="9">
        <v>816</v>
      </c>
      <c r="H1744" s="5" t="s">
        <v>20</v>
      </c>
      <c r="I1744" s="5" t="s">
        <v>4378</v>
      </c>
      <c r="J1744" s="12" t="str">
        <f>HYPERLINK("https://www.boe.es/gazeta/dias/1805/09/24/pdfs/GMD-1805-77.pdf#page=8","Abrir facsímil")</f>
        <v>Abrir facsímil</v>
      </c>
      <c r="K1744" s="15" t="s">
        <v>22</v>
      </c>
    </row>
    <row r="1745" spans="1:11" ht="42" customHeight="1">
      <c r="A1745" s="4" t="s">
        <v>4379</v>
      </c>
      <c r="B1745" s="5" t="s">
        <v>4380</v>
      </c>
      <c r="C1745" s="5" t="s">
        <v>17</v>
      </c>
      <c r="D1745" s="5" t="s">
        <v>18</v>
      </c>
      <c r="E1745" s="5" t="s">
        <v>854</v>
      </c>
      <c r="F1745" s="9">
        <v>46</v>
      </c>
      <c r="G1745" s="9">
        <v>499</v>
      </c>
      <c r="H1745" s="5" t="s">
        <v>20</v>
      </c>
      <c r="I1745" s="5" t="s">
        <v>4381</v>
      </c>
      <c r="J1745" s="12" t="str">
        <f>HYPERLINK("https://www.boe.es/gazeta/dias/1805/06/07/pdfs/GMD-1805-46.pdf#page=11","Abrir facsímil")</f>
        <v>Abrir facsímil</v>
      </c>
      <c r="K1745" s="15" t="s">
        <v>22</v>
      </c>
    </row>
    <row r="1746" spans="1:11" ht="42" customHeight="1">
      <c r="A1746" s="4" t="s">
        <v>4382</v>
      </c>
      <c r="B1746" s="5" t="s">
        <v>4383</v>
      </c>
      <c r="C1746" s="5" t="s">
        <v>35</v>
      </c>
      <c r="D1746" s="5" t="s">
        <v>36</v>
      </c>
      <c r="E1746" s="5" t="s">
        <v>200</v>
      </c>
      <c r="F1746" s="9">
        <v>91</v>
      </c>
      <c r="G1746" s="9">
        <v>977</v>
      </c>
      <c r="H1746" s="5" t="s">
        <v>20</v>
      </c>
      <c r="I1746" s="5" t="s">
        <v>4384</v>
      </c>
      <c r="J1746" s="12" t="str">
        <f>HYPERLINK("https://www.boe.es/gazeta/dias/1805/11/12/pdfs/GMD-1805-91.pdf#page=9","Abrir facsímil")</f>
        <v>Abrir facsímil</v>
      </c>
      <c r="K1746" s="15" t="s">
        <v>22</v>
      </c>
    </row>
    <row r="1747" spans="1:11" ht="42" customHeight="1">
      <c r="A1747" s="4" t="s">
        <v>4385</v>
      </c>
      <c r="B1747" s="5" t="s">
        <v>4386</v>
      </c>
      <c r="C1747" s="5" t="s">
        <v>35</v>
      </c>
      <c r="D1747" s="5" t="s">
        <v>36</v>
      </c>
      <c r="E1747" s="5" t="s">
        <v>91</v>
      </c>
      <c r="F1747" s="9">
        <v>28</v>
      </c>
      <c r="G1747" s="9">
        <v>302</v>
      </c>
      <c r="H1747" s="5" t="s">
        <v>20</v>
      </c>
      <c r="I1747" s="5" t="s">
        <v>4387</v>
      </c>
      <c r="J1747" s="12" t="str">
        <f>HYPERLINK("https://www.boe.es/gazeta/dias/1805/04/05/pdfs/GMD-1805-28.pdf#page=10","Abrir facsímil")</f>
        <v>Abrir facsímil</v>
      </c>
      <c r="K1747" s="15" t="s">
        <v>22</v>
      </c>
    </row>
    <row r="1748" spans="1:11" ht="42" customHeight="1">
      <c r="A1748" s="4" t="s">
        <v>4388</v>
      </c>
      <c r="B1748" s="5" t="s">
        <v>4389</v>
      </c>
      <c r="C1748" s="5" t="s">
        <v>85</v>
      </c>
      <c r="D1748" s="5" t="s">
        <v>86</v>
      </c>
      <c r="E1748" s="5" t="s">
        <v>24</v>
      </c>
      <c r="F1748" s="9">
        <v>11</v>
      </c>
      <c r="G1748" s="9">
        <v>120</v>
      </c>
      <c r="H1748" s="5" t="s">
        <v>20</v>
      </c>
      <c r="I1748" s="5" t="s">
        <v>4390</v>
      </c>
      <c r="J1748" s="12" t="str">
        <f>HYPERLINK("https://www.boe.es/gazeta/dias/1805/02/05/pdfs/GMD-1805-11.pdf#page=8","Abrir facsímil")</f>
        <v>Abrir facsímil</v>
      </c>
      <c r="K1748" s="15" t="s">
        <v>22</v>
      </c>
    </row>
    <row r="1749" spans="1:11" ht="42" customHeight="1">
      <c r="A1749" s="4" t="s">
        <v>4391</v>
      </c>
      <c r="B1749" s="5" t="s">
        <v>4392</v>
      </c>
      <c r="C1749" s="5" t="s">
        <v>35</v>
      </c>
      <c r="D1749" s="5" t="s">
        <v>36</v>
      </c>
      <c r="E1749" s="5" t="s">
        <v>200</v>
      </c>
      <c r="F1749" s="9">
        <v>91</v>
      </c>
      <c r="G1749" s="9">
        <v>977</v>
      </c>
      <c r="H1749" s="5" t="s">
        <v>20</v>
      </c>
      <c r="I1749" s="5" t="s">
        <v>4393</v>
      </c>
      <c r="J1749" s="12" t="str">
        <f>HYPERLINK("https://www.boe.es/gazeta/dias/1805/11/12/pdfs/GMD-1805-91.pdf#page=9","Abrir facsímil")</f>
        <v>Abrir facsímil</v>
      </c>
      <c r="K1749" s="15" t="s">
        <v>22</v>
      </c>
    </row>
    <row r="1750" spans="1:11" ht="42" customHeight="1">
      <c r="A1750" s="4" t="s">
        <v>4394</v>
      </c>
      <c r="B1750" s="5" t="s">
        <v>4395</v>
      </c>
      <c r="C1750" s="5" t="s">
        <v>17</v>
      </c>
      <c r="D1750" s="5" t="s">
        <v>18</v>
      </c>
      <c r="E1750" s="5" t="s">
        <v>63</v>
      </c>
      <c r="F1750" s="9">
        <v>101</v>
      </c>
      <c r="G1750" s="9">
        <v>1092</v>
      </c>
      <c r="H1750" s="5" t="s">
        <v>20</v>
      </c>
      <c r="I1750" s="5" t="s">
        <v>4396</v>
      </c>
      <c r="J1750" s="12" t="str">
        <f>HYPERLINK("https://www.boe.es/gazeta/dias/1805/12/17/pdfs/GMD-1805-101.pdf#page=8","Abrir facsímil")</f>
        <v>Abrir facsímil</v>
      </c>
      <c r="K1750" s="15" t="s">
        <v>22</v>
      </c>
    </row>
    <row r="1751" spans="1:11" ht="42" customHeight="1">
      <c r="A1751" s="4" t="s">
        <v>4397</v>
      </c>
      <c r="B1751" s="5" t="s">
        <v>4398</v>
      </c>
      <c r="C1751" s="5" t="s">
        <v>35</v>
      </c>
      <c r="D1751" s="5" t="s">
        <v>36</v>
      </c>
      <c r="E1751" s="5" t="s">
        <v>456</v>
      </c>
      <c r="F1751" s="9">
        <v>70</v>
      </c>
      <c r="G1751" s="9">
        <v>746</v>
      </c>
      <c r="H1751" s="5" t="s">
        <v>20</v>
      </c>
      <c r="I1751" s="5" t="s">
        <v>4399</v>
      </c>
      <c r="J1751" s="12" t="str">
        <f>HYPERLINK("https://www.boe.es/gazeta/dias/1805/08/30/pdfs/GMD-1805-70.pdf#page=6","Abrir facsímil")</f>
        <v>Abrir facsímil</v>
      </c>
      <c r="K1751" s="15" t="s">
        <v>22</v>
      </c>
    </row>
    <row r="1752" spans="1:11" ht="42" customHeight="1">
      <c r="A1752" s="4" t="s">
        <v>4400</v>
      </c>
      <c r="B1752" s="5" t="s">
        <v>4401</v>
      </c>
      <c r="C1752" s="5" t="s">
        <v>29</v>
      </c>
      <c r="D1752" s="5" t="s">
        <v>30</v>
      </c>
      <c r="E1752" s="5" t="s">
        <v>471</v>
      </c>
      <c r="F1752" s="9">
        <v>22</v>
      </c>
      <c r="G1752" s="9">
        <v>235</v>
      </c>
      <c r="H1752" s="5" t="s">
        <v>20</v>
      </c>
      <c r="I1752" s="5" t="s">
        <v>4402</v>
      </c>
      <c r="J1752" s="12" t="str">
        <f>HYPERLINK("https://www.boe.es/gazeta/dias/1805/03/15/pdfs/GMD-1805-22.pdf#page=11","Abrir facsímil")</f>
        <v>Abrir facsímil</v>
      </c>
      <c r="K1752" s="15" t="s">
        <v>22</v>
      </c>
    </row>
    <row r="1753" spans="1:11" ht="42" customHeight="1">
      <c r="A1753" s="4" t="s">
        <v>4403</v>
      </c>
      <c r="B1753" s="5" t="s">
        <v>4404</v>
      </c>
      <c r="C1753" s="5" t="s">
        <v>35</v>
      </c>
      <c r="D1753" s="5" t="s">
        <v>36</v>
      </c>
      <c r="E1753" s="5" t="s">
        <v>506</v>
      </c>
      <c r="F1753" s="9">
        <v>80</v>
      </c>
      <c r="G1753" s="9">
        <v>850</v>
      </c>
      <c r="H1753" s="5" t="s">
        <v>20</v>
      </c>
      <c r="I1753" s="5" t="s">
        <v>4405</v>
      </c>
      <c r="J1753" s="12" t="str">
        <f>HYPERLINK("https://www.boe.es/gazeta/dias/1805/10/04/pdfs/GMD-1805-80.pdf#page=10","Abrir facsímil")</f>
        <v>Abrir facsímil</v>
      </c>
      <c r="K1753" s="15" t="s">
        <v>22</v>
      </c>
    </row>
    <row r="1754" spans="1:11" ht="42" customHeight="1">
      <c r="A1754" s="4" t="s">
        <v>4406</v>
      </c>
      <c r="B1754" s="5" t="s">
        <v>4407</v>
      </c>
      <c r="C1754" s="5" t="s">
        <v>35</v>
      </c>
      <c r="D1754" s="5" t="s">
        <v>36</v>
      </c>
      <c r="E1754" s="5" t="s">
        <v>91</v>
      </c>
      <c r="F1754" s="9">
        <v>28</v>
      </c>
      <c r="G1754" s="9">
        <v>300</v>
      </c>
      <c r="H1754" s="5" t="s">
        <v>20</v>
      </c>
      <c r="I1754" s="5" t="s">
        <v>4408</v>
      </c>
      <c r="J1754" s="12" t="str">
        <f>HYPERLINK("https://www.boe.es/gazeta/dias/1805/04/05/pdfs/GMD-1805-28.pdf#page=8","Abrir facsímil")</f>
        <v>Abrir facsímil</v>
      </c>
      <c r="K1754" s="15" t="s">
        <v>22</v>
      </c>
    </row>
    <row r="1755" spans="1:11" ht="42" customHeight="1">
      <c r="A1755" s="4" t="s">
        <v>4409</v>
      </c>
      <c r="B1755" s="5" t="s">
        <v>4410</v>
      </c>
      <c r="C1755" s="5" t="s">
        <v>35</v>
      </c>
      <c r="D1755" s="5" t="s">
        <v>36</v>
      </c>
      <c r="E1755" s="5" t="s">
        <v>138</v>
      </c>
      <c r="F1755" s="9">
        <v>102</v>
      </c>
      <c r="G1755" s="9">
        <v>1103</v>
      </c>
      <c r="H1755" s="5" t="s">
        <v>20</v>
      </c>
      <c r="I1755" s="5" t="s">
        <v>4411</v>
      </c>
      <c r="J1755" s="12" t="str">
        <f>HYPERLINK("https://www.boe.es/gazeta/dias/1805/12/20/pdfs/GMD-1805-102.pdf#page=7","Abrir facsímil")</f>
        <v>Abrir facsímil</v>
      </c>
      <c r="K1755" s="15" t="s">
        <v>22</v>
      </c>
    </row>
    <row r="1756" spans="1:11" ht="42" customHeight="1">
      <c r="A1756" s="4" t="s">
        <v>4412</v>
      </c>
      <c r="B1756" s="5" t="s">
        <v>4413</v>
      </c>
      <c r="C1756" s="5" t="s">
        <v>35</v>
      </c>
      <c r="D1756" s="5" t="s">
        <v>36</v>
      </c>
      <c r="E1756" s="5" t="s">
        <v>192</v>
      </c>
      <c r="F1756" s="9">
        <v>105</v>
      </c>
      <c r="G1756" s="9">
        <v>1137</v>
      </c>
      <c r="H1756" s="5" t="s">
        <v>20</v>
      </c>
      <c r="I1756" s="5" t="s">
        <v>4414</v>
      </c>
      <c r="J1756" s="12" t="str">
        <f>HYPERLINK("https://www.boe.es/gazeta/dias/1805/12/31/pdfs/GMD-1805-105.pdf#page=9","Abrir facsímil")</f>
        <v>Abrir facsímil</v>
      </c>
      <c r="K1756" s="15" t="s">
        <v>22</v>
      </c>
    </row>
    <row r="1757" spans="1:11" ht="42" customHeight="1">
      <c r="A1757" s="4" t="s">
        <v>4415</v>
      </c>
      <c r="B1757" s="5" t="s">
        <v>4416</v>
      </c>
      <c r="C1757" s="5" t="s">
        <v>17</v>
      </c>
      <c r="D1757" s="5" t="s">
        <v>18</v>
      </c>
      <c r="E1757" s="5" t="s">
        <v>122</v>
      </c>
      <c r="F1757" s="9">
        <v>38</v>
      </c>
      <c r="G1757" s="9">
        <v>411</v>
      </c>
      <c r="H1757" s="5" t="s">
        <v>20</v>
      </c>
      <c r="I1757" s="5" t="s">
        <v>4417</v>
      </c>
      <c r="J1757" s="12" t="str">
        <f>HYPERLINK("https://www.boe.es/gazeta/dias/1805/05/10/pdfs/GMD-1805-38.pdf#page=7","Abrir facsímil")</f>
        <v>Abrir facsímil</v>
      </c>
      <c r="K1757" s="15" t="s">
        <v>22</v>
      </c>
    </row>
    <row r="1758" spans="1:11" ht="42" customHeight="1">
      <c r="A1758" s="4" t="s">
        <v>4418</v>
      </c>
      <c r="B1758" s="5" t="s">
        <v>4418</v>
      </c>
      <c r="C1758" s="5" t="s">
        <v>35</v>
      </c>
      <c r="D1758" s="5" t="s">
        <v>36</v>
      </c>
      <c r="E1758" s="5" t="s">
        <v>163</v>
      </c>
      <c r="F1758" s="9">
        <v>77</v>
      </c>
      <c r="G1758" s="9">
        <v>817</v>
      </c>
      <c r="H1758" s="5" t="s">
        <v>20</v>
      </c>
      <c r="I1758" s="5" t="s">
        <v>4419</v>
      </c>
      <c r="J1758" s="12" t="str">
        <f>HYPERLINK("https://www.boe.es/gazeta/dias/1805/09/24/pdfs/GMD-1805-77.pdf#page=9","Abrir facsímil")</f>
        <v>Abrir facsímil</v>
      </c>
      <c r="K1758" s="15" t="s">
        <v>22</v>
      </c>
    </row>
    <row r="1759" spans="1:11" ht="42" customHeight="1">
      <c r="A1759" s="4" t="s">
        <v>4420</v>
      </c>
      <c r="B1759" s="5" t="s">
        <v>4420</v>
      </c>
      <c r="C1759" s="5" t="s">
        <v>85</v>
      </c>
      <c r="D1759" s="5" t="s">
        <v>86</v>
      </c>
      <c r="E1759" s="5" t="s">
        <v>1259</v>
      </c>
      <c r="F1759" s="9">
        <v>78</v>
      </c>
      <c r="G1759" s="9">
        <v>827</v>
      </c>
      <c r="H1759" s="5" t="s">
        <v>20</v>
      </c>
      <c r="I1759" s="5" t="s">
        <v>4421</v>
      </c>
      <c r="J1759" s="12" t="str">
        <f>HYPERLINK("https://www.boe.es/gazeta/dias/1805/09/27/pdfs/GMD-1805-78.pdf#page=7","Abrir facsímil")</f>
        <v>Abrir facsímil</v>
      </c>
      <c r="K1759" s="15" t="s">
        <v>22</v>
      </c>
    </row>
    <row r="1760" spans="1:11" ht="42" customHeight="1">
      <c r="A1760" s="4" t="s">
        <v>4422</v>
      </c>
      <c r="B1760" s="5" t="s">
        <v>4423</v>
      </c>
      <c r="C1760" s="5" t="s">
        <v>184</v>
      </c>
      <c r="D1760" s="5" t="s">
        <v>86</v>
      </c>
      <c r="E1760" s="5" t="s">
        <v>335</v>
      </c>
      <c r="F1760" s="9">
        <v>79</v>
      </c>
      <c r="G1760" s="9">
        <v>831</v>
      </c>
      <c r="H1760" s="5" t="s">
        <v>20</v>
      </c>
      <c r="I1760" s="5" t="s">
        <v>4424</v>
      </c>
      <c r="J1760" s="12" t="str">
        <f>HYPERLINK("https://www.boe.es/gazeta/dias/1805/10/01/pdfs/GMD-1805-79.pdf#page=3","Abrir facsímil")</f>
        <v>Abrir facsímil</v>
      </c>
      <c r="K1760" s="15" t="s">
        <v>22</v>
      </c>
    </row>
    <row r="1761" spans="1:11" ht="42" customHeight="1">
      <c r="A1761" s="4" t="s">
        <v>4425</v>
      </c>
      <c r="B1761" s="5" t="s">
        <v>4426</v>
      </c>
      <c r="C1761" s="5" t="s">
        <v>80</v>
      </c>
      <c r="D1761" s="5" t="s">
        <v>81</v>
      </c>
      <c r="E1761" s="5" t="s">
        <v>217</v>
      </c>
      <c r="F1761" s="9">
        <v>96</v>
      </c>
      <c r="G1761" s="9">
        <v>1027</v>
      </c>
      <c r="H1761" s="5" t="s">
        <v>20</v>
      </c>
      <c r="I1761" s="5" t="s">
        <v>4427</v>
      </c>
      <c r="J1761" s="12" t="str">
        <f>HYPERLINK("https://www.boe.es/gazeta/dias/1805/11/29/pdfs/GMD-1805-96.pdf#page=3","Abrir facsímil")</f>
        <v>Abrir facsímil</v>
      </c>
      <c r="K1761" s="15" t="s">
        <v>22</v>
      </c>
    </row>
    <row r="1762" spans="1:11" ht="42" customHeight="1">
      <c r="A1762" s="4" t="s">
        <v>4425</v>
      </c>
      <c r="B1762" s="5" t="s">
        <v>4426</v>
      </c>
      <c r="C1762" s="5" t="s">
        <v>35</v>
      </c>
      <c r="D1762" s="5" t="s">
        <v>36</v>
      </c>
      <c r="E1762" s="5" t="s">
        <v>217</v>
      </c>
      <c r="F1762" s="9">
        <v>96</v>
      </c>
      <c r="G1762" s="9">
        <v>1028</v>
      </c>
      <c r="H1762" s="5" t="s">
        <v>20</v>
      </c>
      <c r="I1762" s="5" t="s">
        <v>4428</v>
      </c>
      <c r="J1762" s="12" t="str">
        <f>HYPERLINK("https://www.boe.es/gazeta/dias/1805/11/29/pdfs/GMD-1805-96.pdf#page=4","Abrir facsímil")</f>
        <v>Abrir facsímil</v>
      </c>
      <c r="K1762" s="15" t="s">
        <v>22</v>
      </c>
    </row>
    <row r="1763" spans="1:11" ht="42" customHeight="1">
      <c r="A1763" s="4" t="s">
        <v>4429</v>
      </c>
      <c r="B1763" s="5" t="s">
        <v>4430</v>
      </c>
      <c r="C1763" s="5" t="s">
        <v>35</v>
      </c>
      <c r="D1763" s="5" t="s">
        <v>36</v>
      </c>
      <c r="E1763" s="5" t="s">
        <v>215</v>
      </c>
      <c r="F1763" s="9">
        <v>87</v>
      </c>
      <c r="G1763" s="9">
        <v>924</v>
      </c>
      <c r="H1763" s="5" t="s">
        <v>20</v>
      </c>
      <c r="I1763" s="5" t="s">
        <v>4431</v>
      </c>
      <c r="J1763" s="12" t="str">
        <f>HYPERLINK("https://www.boe.es/gazeta/dias/1805/10/29/pdfs/GMD-1805-87.pdf#page=8","Abrir facsímil")</f>
        <v>Abrir facsímil</v>
      </c>
      <c r="K1763" s="15" t="s">
        <v>22</v>
      </c>
    </row>
    <row r="1764" spans="1:11" ht="42" customHeight="1">
      <c r="A1764" s="4" t="s">
        <v>4432</v>
      </c>
      <c r="B1764" s="5" t="s">
        <v>4432</v>
      </c>
      <c r="C1764" s="5" t="s">
        <v>80</v>
      </c>
      <c r="D1764" s="5" t="s">
        <v>81</v>
      </c>
      <c r="E1764" s="5" t="s">
        <v>290</v>
      </c>
      <c r="F1764" s="9">
        <v>36</v>
      </c>
      <c r="G1764" s="9">
        <v>381</v>
      </c>
      <c r="H1764" s="5" t="s">
        <v>20</v>
      </c>
      <c r="I1764" s="5" t="s">
        <v>4433</v>
      </c>
      <c r="J1764" s="12" t="str">
        <f>HYPERLINK("https://www.boe.es/gazeta/dias/1805/05/03/pdfs/GMD-1805-36.pdf#page=1","Abrir facsímil")</f>
        <v>Abrir facsímil</v>
      </c>
      <c r="K1764" s="15" t="s">
        <v>22</v>
      </c>
    </row>
    <row r="1765" spans="1:11" ht="42" customHeight="1">
      <c r="A1765" s="4" t="s">
        <v>4434</v>
      </c>
      <c r="B1765" s="5" t="s">
        <v>4435</v>
      </c>
      <c r="C1765" s="5" t="s">
        <v>35</v>
      </c>
      <c r="D1765" s="5" t="s">
        <v>36</v>
      </c>
      <c r="E1765" s="5" t="s">
        <v>356</v>
      </c>
      <c r="F1765" s="9">
        <v>12</v>
      </c>
      <c r="G1765" s="9">
        <v>129</v>
      </c>
      <c r="H1765" s="5" t="s">
        <v>20</v>
      </c>
      <c r="I1765" s="5" t="s">
        <v>4436</v>
      </c>
      <c r="J1765" s="12" t="str">
        <f>HYPERLINK("https://www.boe.es/gazeta/dias/1805/02/08/pdfs/GMD-1805-12.pdf#page=5","Abrir facsímil")</f>
        <v>Abrir facsímil</v>
      </c>
      <c r="K1765" s="15" t="s">
        <v>22</v>
      </c>
    </row>
    <row r="1766" spans="1:11" ht="42" customHeight="1">
      <c r="A1766" s="4" t="s">
        <v>4437</v>
      </c>
      <c r="B1766" s="5" t="s">
        <v>4438</v>
      </c>
      <c r="C1766" s="5" t="s">
        <v>85</v>
      </c>
      <c r="D1766" s="5" t="s">
        <v>86</v>
      </c>
      <c r="E1766" s="5" t="s">
        <v>181</v>
      </c>
      <c r="F1766" s="9">
        <v>90</v>
      </c>
      <c r="G1766" s="9">
        <v>964</v>
      </c>
      <c r="H1766" s="5" t="s">
        <v>20</v>
      </c>
      <c r="I1766" s="5" t="s">
        <v>4439</v>
      </c>
      <c r="J1766" s="12" t="str">
        <f>HYPERLINK("https://www.boe.es/gazeta/dias/1805/11/08/pdfs/GMD-1805-90.pdf#page=8","Abrir facsímil")</f>
        <v>Abrir facsímil</v>
      </c>
      <c r="K1766" s="15" t="s">
        <v>22</v>
      </c>
    </row>
    <row r="1767" spans="1:11" ht="42" customHeight="1">
      <c r="A1767" s="4" t="s">
        <v>4440</v>
      </c>
      <c r="B1767" s="5" t="s">
        <v>4440</v>
      </c>
      <c r="C1767" s="5" t="s">
        <v>80</v>
      </c>
      <c r="D1767" s="5" t="s">
        <v>81</v>
      </c>
      <c r="E1767" s="5" t="s">
        <v>27</v>
      </c>
      <c r="F1767" s="9">
        <v>37</v>
      </c>
      <c r="G1767" s="9">
        <v>395</v>
      </c>
      <c r="H1767" s="5" t="s">
        <v>20</v>
      </c>
      <c r="I1767" s="5" t="s">
        <v>4441</v>
      </c>
      <c r="J1767" s="12" t="str">
        <f>HYPERLINK("https://www.boe.es/gazeta/dias/1805/05/07/pdfs/GMD-1805-37.pdf#page=3","Abrir facsímil")</f>
        <v>Abrir facsímil</v>
      </c>
      <c r="K1767" s="15" t="s">
        <v>22</v>
      </c>
    </row>
    <row r="1768" spans="1:11" ht="42" customHeight="1">
      <c r="A1768" s="4" t="s">
        <v>4442</v>
      </c>
      <c r="B1768" s="5" t="s">
        <v>4443</v>
      </c>
      <c r="C1768" s="5" t="s">
        <v>35</v>
      </c>
      <c r="D1768" s="5" t="s">
        <v>36</v>
      </c>
      <c r="E1768" s="5" t="s">
        <v>711</v>
      </c>
      <c r="F1768" s="9">
        <v>63</v>
      </c>
      <c r="G1768" s="9">
        <v>673</v>
      </c>
      <c r="H1768" s="5" t="s">
        <v>20</v>
      </c>
      <c r="I1768" s="5" t="s">
        <v>4444</v>
      </c>
      <c r="J1768" s="12" t="str">
        <f>HYPERLINK("https://www.boe.es/gazeta/dias/1805/08/06/pdfs/GMD-1805-63.pdf#page=9","Abrir facsímil")</f>
        <v>Abrir facsímil</v>
      </c>
      <c r="K1768" s="15" t="s">
        <v>22</v>
      </c>
    </row>
    <row r="1769" spans="1:11" ht="42" customHeight="1">
      <c r="A1769" s="4" t="s">
        <v>4445</v>
      </c>
      <c r="B1769" s="5" t="s">
        <v>4446</v>
      </c>
      <c r="C1769" s="5" t="s">
        <v>17</v>
      </c>
      <c r="D1769" s="5" t="s">
        <v>18</v>
      </c>
      <c r="E1769" s="5" t="s">
        <v>850</v>
      </c>
      <c r="F1769" s="9">
        <v>42</v>
      </c>
      <c r="G1769" s="9">
        <v>450</v>
      </c>
      <c r="H1769" s="5" t="s">
        <v>20</v>
      </c>
      <c r="I1769" s="5" t="s">
        <v>4447</v>
      </c>
      <c r="J1769" s="12" t="str">
        <f>HYPERLINK("https://www.boe.es/gazeta/dias/1805/05/24/pdfs/GMD-1805-42.pdf#page=6","Abrir facsímil")</f>
        <v>Abrir facsímil</v>
      </c>
      <c r="K1769" s="15" t="s">
        <v>22</v>
      </c>
    </row>
    <row r="1770" spans="1:11" ht="42" customHeight="1">
      <c r="A1770" s="4" t="s">
        <v>4448</v>
      </c>
      <c r="B1770" s="5" t="s">
        <v>4449</v>
      </c>
      <c r="C1770" s="5" t="s">
        <v>80</v>
      </c>
      <c r="D1770" s="5" t="s">
        <v>81</v>
      </c>
      <c r="E1770" s="5" t="s">
        <v>729</v>
      </c>
      <c r="F1770" s="9">
        <v>61</v>
      </c>
      <c r="G1770" s="9">
        <v>653</v>
      </c>
      <c r="H1770" s="5" t="s">
        <v>20</v>
      </c>
      <c r="I1770" s="5" t="s">
        <v>4450</v>
      </c>
      <c r="J1770" s="12" t="str">
        <f>HYPERLINK("https://www.boe.es/gazeta/dias/1805/07/30/pdfs/GMD-1805-61.pdf#page=5","Abrir facsímil")</f>
        <v>Abrir facsímil</v>
      </c>
      <c r="K1770" s="15" t="s">
        <v>22</v>
      </c>
    </row>
    <row r="1771" spans="1:11" ht="42" customHeight="1">
      <c r="A1771" s="4" t="s">
        <v>4451</v>
      </c>
      <c r="B1771" s="5" t="s">
        <v>4452</v>
      </c>
      <c r="C1771" s="5" t="s">
        <v>35</v>
      </c>
      <c r="D1771" s="5" t="s">
        <v>36</v>
      </c>
      <c r="E1771" s="5" t="s">
        <v>132</v>
      </c>
      <c r="F1771" s="9">
        <v>2</v>
      </c>
      <c r="G1771" s="9">
        <v>20</v>
      </c>
      <c r="H1771" s="5" t="s">
        <v>20</v>
      </c>
      <c r="I1771" s="5" t="s">
        <v>4453</v>
      </c>
      <c r="J1771" s="12" t="str">
        <f>HYPERLINK("https://www.boe.es/gazeta/dias/1805/01/04/pdfs/GMD-1805-2.pdf#page=8","Abrir facsímil")</f>
        <v>Abrir facsímil</v>
      </c>
      <c r="K1771" s="15" t="s">
        <v>22</v>
      </c>
    </row>
    <row r="1772" spans="1:11" ht="42" customHeight="1">
      <c r="A1772" s="4" t="s">
        <v>4454</v>
      </c>
      <c r="B1772" s="5" t="s">
        <v>4455</v>
      </c>
      <c r="C1772" s="5" t="s">
        <v>80</v>
      </c>
      <c r="D1772" s="5" t="s">
        <v>81</v>
      </c>
      <c r="E1772" s="5" t="s">
        <v>132</v>
      </c>
      <c r="F1772" s="9">
        <v>2</v>
      </c>
      <c r="G1772" s="9">
        <v>19</v>
      </c>
      <c r="H1772" s="5" t="s">
        <v>20</v>
      </c>
      <c r="I1772" s="5" t="s">
        <v>4456</v>
      </c>
      <c r="J1772" s="12" t="str">
        <f>HYPERLINK("https://www.boe.es/gazeta/dias/1805/01/04/pdfs/GMD-1805-2.pdf#page=7","Abrir facsímil")</f>
        <v>Abrir facsímil</v>
      </c>
      <c r="K1772" s="15" t="s">
        <v>22</v>
      </c>
    </row>
    <row r="1773" spans="1:11" ht="42" customHeight="1">
      <c r="A1773" s="4" t="s">
        <v>4457</v>
      </c>
      <c r="B1773" s="5" t="s">
        <v>4458</v>
      </c>
      <c r="C1773" s="5" t="s">
        <v>17</v>
      </c>
      <c r="D1773" s="5" t="s">
        <v>18</v>
      </c>
      <c r="E1773" s="5" t="s">
        <v>273</v>
      </c>
      <c r="F1773" s="9">
        <v>8</v>
      </c>
      <c r="G1773" s="9">
        <v>89</v>
      </c>
      <c r="H1773" s="5" t="s">
        <v>20</v>
      </c>
      <c r="I1773" s="5" t="s">
        <v>4459</v>
      </c>
      <c r="J1773" s="12" t="str">
        <f>HYPERLINK("https://www.boe.es/gazeta/dias/1805/01/25/pdfs/GMD-1805-8.pdf#page=9","Abrir facsímil")</f>
        <v>Abrir facsímil</v>
      </c>
      <c r="K1773" s="15" t="s">
        <v>22</v>
      </c>
    </row>
    <row r="1774" spans="1:11" ht="42" customHeight="1">
      <c r="A1774" s="4" t="s">
        <v>4460</v>
      </c>
      <c r="B1774" s="5" t="s">
        <v>4461</v>
      </c>
      <c r="C1774" s="5" t="s">
        <v>35</v>
      </c>
      <c r="D1774" s="5" t="s">
        <v>36</v>
      </c>
      <c r="E1774" s="5" t="s">
        <v>107</v>
      </c>
      <c r="F1774" s="9">
        <v>19</v>
      </c>
      <c r="G1774" s="9">
        <v>198</v>
      </c>
      <c r="H1774" s="5" t="s">
        <v>20</v>
      </c>
      <c r="I1774" s="5" t="s">
        <v>4462</v>
      </c>
      <c r="J1774" s="12" t="str">
        <f>HYPERLINK("https://www.boe.es/gazeta/dias/1805/03/05/pdfs/GMD-1805-19.pdf#page=10","Abrir facsímil")</f>
        <v>Abrir facsímil</v>
      </c>
      <c r="K1774" s="15" t="s">
        <v>22</v>
      </c>
    </row>
    <row r="1775" spans="1:11" ht="42" customHeight="1">
      <c r="A1775" s="4" t="s">
        <v>4463</v>
      </c>
      <c r="B1775" s="5" t="s">
        <v>4464</v>
      </c>
      <c r="C1775" s="5" t="s">
        <v>52</v>
      </c>
      <c r="D1775" s="5" t="s">
        <v>53</v>
      </c>
      <c r="E1775" s="5" t="s">
        <v>144</v>
      </c>
      <c r="F1775" s="9">
        <v>85</v>
      </c>
      <c r="G1775" s="9" t="s">
        <v>1002</v>
      </c>
      <c r="H1775" s="5" t="s">
        <v>20</v>
      </c>
      <c r="I1775" s="5" t="s">
        <v>4465</v>
      </c>
      <c r="J1775" s="12" t="str">
        <f>HYPERLINK("https://www.boe.es/gazeta/dias/1805/10/22/pdfs/GMD-C-1805-85.pdf#page=7","Abrir facsímil")</f>
        <v>Abrir facsímil</v>
      </c>
      <c r="K1775" s="15" t="s">
        <v>22</v>
      </c>
    </row>
    <row r="1776" spans="1:11" ht="42" customHeight="1">
      <c r="A1776" s="4" t="s">
        <v>4466</v>
      </c>
      <c r="B1776" s="5" t="s">
        <v>4467</v>
      </c>
      <c r="C1776" s="5" t="s">
        <v>35</v>
      </c>
      <c r="D1776" s="5" t="s">
        <v>36</v>
      </c>
      <c r="E1776" s="5" t="s">
        <v>904</v>
      </c>
      <c r="F1776" s="9">
        <v>47</v>
      </c>
      <c r="G1776" s="9">
        <v>509</v>
      </c>
      <c r="H1776" s="5" t="s">
        <v>20</v>
      </c>
      <c r="I1776" s="5" t="s">
        <v>4468</v>
      </c>
      <c r="J1776" s="12" t="str">
        <f>HYPERLINK("https://www.boe.es/gazeta/dias/1805/06/11/pdfs/GMD-1805-47.pdf#page=9","Abrir facsímil")</f>
        <v>Abrir facsímil</v>
      </c>
      <c r="K1776" s="15" t="s">
        <v>22</v>
      </c>
    </row>
    <row r="1777" spans="1:11" ht="42" customHeight="1">
      <c r="A1777" s="4" t="s">
        <v>4469</v>
      </c>
      <c r="B1777" s="5" t="s">
        <v>4470</v>
      </c>
      <c r="C1777" s="5" t="s">
        <v>85</v>
      </c>
      <c r="D1777" s="5" t="s">
        <v>86</v>
      </c>
      <c r="E1777" s="5" t="s">
        <v>286</v>
      </c>
      <c r="F1777" s="9">
        <v>48</v>
      </c>
      <c r="G1777" s="9">
        <v>522</v>
      </c>
      <c r="H1777" s="5" t="s">
        <v>20</v>
      </c>
      <c r="I1777" s="5" t="s">
        <v>4471</v>
      </c>
      <c r="J1777" s="12" t="str">
        <f>HYPERLINK("https://www.boe.es/gazeta/dias/1805/06/14/pdfs/GMD-1805-48.pdf#page=10","Abrir facsímil")</f>
        <v>Abrir facsímil</v>
      </c>
      <c r="K1777" s="15" t="s">
        <v>22</v>
      </c>
    </row>
    <row r="1778" spans="1:11" ht="42" customHeight="1">
      <c r="A1778" s="4" t="s">
        <v>4472</v>
      </c>
      <c r="B1778" s="5" t="s">
        <v>4473</v>
      </c>
      <c r="C1778" s="5" t="s">
        <v>29</v>
      </c>
      <c r="D1778" s="5" t="s">
        <v>30</v>
      </c>
      <c r="E1778" s="5" t="s">
        <v>567</v>
      </c>
      <c r="F1778" s="9">
        <v>49</v>
      </c>
      <c r="G1778" s="9">
        <v>531</v>
      </c>
      <c r="H1778" s="5" t="s">
        <v>20</v>
      </c>
      <c r="I1778" s="5" t="s">
        <v>4474</v>
      </c>
      <c r="J1778" s="12" t="str">
        <f>HYPERLINK("https://www.boe.es/gazeta/dias/1805/06/18/pdfs/GMD-1805-49.pdf#page=7","Abrir facsímil")</f>
        <v>Abrir facsímil</v>
      </c>
      <c r="K1778" s="15" t="s">
        <v>22</v>
      </c>
    </row>
    <row r="1779" spans="1:11" ht="42" customHeight="1">
      <c r="A1779" s="4" t="s">
        <v>4475</v>
      </c>
      <c r="B1779" s="5" t="s">
        <v>4476</v>
      </c>
      <c r="C1779" s="5" t="s">
        <v>35</v>
      </c>
      <c r="D1779" s="5" t="s">
        <v>36</v>
      </c>
      <c r="E1779" s="5" t="s">
        <v>393</v>
      </c>
      <c r="F1779" s="9">
        <v>44</v>
      </c>
      <c r="G1779" s="9">
        <v>474</v>
      </c>
      <c r="H1779" s="5" t="s">
        <v>20</v>
      </c>
      <c r="I1779" s="5" t="s">
        <v>4477</v>
      </c>
      <c r="J1779" s="12" t="str">
        <f>HYPERLINK("https://www.boe.es/gazeta/dias/1805/05/31/pdfs/GMD-1805-44.pdf#page=10","Abrir facsímil")</f>
        <v>Abrir facsímil</v>
      </c>
      <c r="K1779" s="15" t="s">
        <v>22</v>
      </c>
    </row>
    <row r="1780" spans="1:11" ht="42" customHeight="1">
      <c r="A1780" s="4" t="s">
        <v>4478</v>
      </c>
      <c r="B1780" s="5" t="s">
        <v>4479</v>
      </c>
      <c r="C1780" s="5" t="s">
        <v>17</v>
      </c>
      <c r="D1780" s="5" t="s">
        <v>18</v>
      </c>
      <c r="E1780" s="5" t="s">
        <v>649</v>
      </c>
      <c r="F1780" s="9">
        <v>7</v>
      </c>
      <c r="G1780" s="9">
        <v>77</v>
      </c>
      <c r="H1780" s="5" t="s">
        <v>20</v>
      </c>
      <c r="I1780" s="5" t="s">
        <v>4480</v>
      </c>
      <c r="J1780" s="12" t="str">
        <f>HYPERLINK("https://www.boe.es/gazeta/dias/1805/01/22/pdfs/GMD-1805-7.pdf#page=9","Abrir facsímil")</f>
        <v>Abrir facsímil</v>
      </c>
      <c r="K1780" s="15" t="s">
        <v>22</v>
      </c>
    </row>
    <row r="1781" spans="1:11" ht="42" customHeight="1">
      <c r="A1781" s="4" t="s">
        <v>4481</v>
      </c>
      <c r="B1781" s="5" t="s">
        <v>4482</v>
      </c>
      <c r="C1781" s="5" t="s">
        <v>17</v>
      </c>
      <c r="D1781" s="5" t="s">
        <v>18</v>
      </c>
      <c r="E1781" s="5" t="s">
        <v>352</v>
      </c>
      <c r="F1781" s="9">
        <v>60</v>
      </c>
      <c r="G1781" s="9">
        <v>646</v>
      </c>
      <c r="H1781" s="5" t="s">
        <v>20</v>
      </c>
      <c r="I1781" s="5" t="s">
        <v>4483</v>
      </c>
      <c r="J1781" s="12" t="str">
        <f>HYPERLINK("https://www.boe.es/gazeta/dias/1805/07/26/pdfs/GMD-1805-60.pdf#page=10","Abrir facsímil")</f>
        <v>Abrir facsímil</v>
      </c>
      <c r="K1781" s="15" t="s">
        <v>22</v>
      </c>
    </row>
    <row r="1782" spans="1:11" ht="42" customHeight="1">
      <c r="A1782" s="4" t="s">
        <v>4484</v>
      </c>
      <c r="B1782" s="5" t="s">
        <v>4485</v>
      </c>
      <c r="C1782" s="5" t="s">
        <v>17</v>
      </c>
      <c r="D1782" s="5" t="s">
        <v>18</v>
      </c>
      <c r="E1782" s="5" t="s">
        <v>290</v>
      </c>
      <c r="F1782" s="9">
        <v>36</v>
      </c>
      <c r="G1782" s="9">
        <v>392</v>
      </c>
      <c r="H1782" s="5" t="s">
        <v>20</v>
      </c>
      <c r="I1782" s="5" t="s">
        <v>4486</v>
      </c>
      <c r="J1782" s="12" t="str">
        <f>HYPERLINK("https://www.boe.es/gazeta/dias/1805/05/03/pdfs/GMD-1805-36.pdf#page=12","Abrir facsímil")</f>
        <v>Abrir facsímil</v>
      </c>
      <c r="K1782" s="15" t="s">
        <v>22</v>
      </c>
    </row>
    <row r="1783" spans="1:11" ht="42" customHeight="1">
      <c r="A1783" s="4" t="s">
        <v>4487</v>
      </c>
      <c r="B1783" s="5" t="s">
        <v>4488</v>
      </c>
      <c r="C1783" s="5" t="s">
        <v>35</v>
      </c>
      <c r="D1783" s="5" t="s">
        <v>36</v>
      </c>
      <c r="E1783" s="5" t="s">
        <v>144</v>
      </c>
      <c r="F1783" s="9">
        <v>85</v>
      </c>
      <c r="G1783" s="9">
        <v>902</v>
      </c>
      <c r="H1783" s="5" t="s">
        <v>20</v>
      </c>
      <c r="I1783" s="5" t="s">
        <v>4489</v>
      </c>
      <c r="J1783" s="12" t="str">
        <f>HYPERLINK("https://www.boe.es/gazeta/dias/1805/10/22/pdfs/GMD-1805-85.pdf#page=10","Abrir facsímil")</f>
        <v>Abrir facsímil</v>
      </c>
      <c r="K1783" s="15" t="s">
        <v>22</v>
      </c>
    </row>
    <row r="1784" spans="1:11" ht="42" customHeight="1">
      <c r="A1784" s="4" t="s">
        <v>4490</v>
      </c>
      <c r="B1784" s="5" t="s">
        <v>4491</v>
      </c>
      <c r="C1784" s="5" t="s">
        <v>85</v>
      </c>
      <c r="D1784" s="5" t="s">
        <v>86</v>
      </c>
      <c r="E1784" s="5" t="s">
        <v>387</v>
      </c>
      <c r="F1784" s="9">
        <v>4</v>
      </c>
      <c r="G1784" s="9">
        <v>42</v>
      </c>
      <c r="H1784" s="5" t="s">
        <v>20</v>
      </c>
      <c r="I1784" s="5" t="s">
        <v>4492</v>
      </c>
      <c r="J1784" s="12" t="str">
        <f>HYPERLINK("https://www.boe.es/gazeta/dias/1805/01/11/pdfs/GMD-1805-4.pdf#page=10","Abrir facsímil")</f>
        <v>Abrir facsímil</v>
      </c>
      <c r="K1784" s="15" t="s">
        <v>22</v>
      </c>
    </row>
    <row r="1785" spans="1:11" ht="42" customHeight="1">
      <c r="A1785" s="4" t="s">
        <v>4493</v>
      </c>
      <c r="B1785" s="5" t="s">
        <v>4494</v>
      </c>
      <c r="C1785" s="5" t="s">
        <v>35</v>
      </c>
      <c r="D1785" s="5" t="s">
        <v>36</v>
      </c>
      <c r="E1785" s="5" t="s">
        <v>87</v>
      </c>
      <c r="F1785" s="9">
        <v>14</v>
      </c>
      <c r="G1785" s="9">
        <v>146</v>
      </c>
      <c r="H1785" s="5" t="s">
        <v>20</v>
      </c>
      <c r="I1785" s="5" t="s">
        <v>4495</v>
      </c>
      <c r="J1785" s="12" t="str">
        <f>HYPERLINK("https://www.boe.es/gazeta/dias/1805/02/15/pdfs/GMD-1805-14.pdf#page=6","Abrir facsímil")</f>
        <v>Abrir facsímil</v>
      </c>
      <c r="K1785" s="15" t="s">
        <v>22</v>
      </c>
    </row>
    <row r="1786" spans="1:11" ht="42" customHeight="1">
      <c r="A1786" s="4" t="s">
        <v>4496</v>
      </c>
      <c r="B1786" s="5" t="s">
        <v>4497</v>
      </c>
      <c r="C1786" s="5" t="s">
        <v>29</v>
      </c>
      <c r="D1786" s="5" t="s">
        <v>30</v>
      </c>
      <c r="E1786" s="5" t="s">
        <v>552</v>
      </c>
      <c r="F1786" s="9">
        <v>94</v>
      </c>
      <c r="G1786" s="9">
        <v>1012</v>
      </c>
      <c r="H1786" s="5" t="s">
        <v>20</v>
      </c>
      <c r="I1786" s="5" t="s">
        <v>4498</v>
      </c>
      <c r="J1786" s="12" t="str">
        <f>HYPERLINK("https://www.boe.es/gazeta/dias/1805/11/22/pdfs/GMD-1805-94.pdf#page=12","Abrir facsímil")</f>
        <v>Abrir facsímil</v>
      </c>
      <c r="K1786" s="15" t="s">
        <v>22</v>
      </c>
    </row>
    <row r="1787" spans="1:11" ht="42" customHeight="1">
      <c r="A1787" s="4" t="s">
        <v>4499</v>
      </c>
      <c r="B1787" s="5" t="s">
        <v>4500</v>
      </c>
      <c r="C1787" s="5" t="s">
        <v>184</v>
      </c>
      <c r="D1787" s="5" t="s">
        <v>86</v>
      </c>
      <c r="E1787" s="5" t="s">
        <v>1445</v>
      </c>
      <c r="F1787" s="9">
        <v>6</v>
      </c>
      <c r="G1787" s="9">
        <v>67</v>
      </c>
      <c r="H1787" s="5" t="s">
        <v>20</v>
      </c>
      <c r="I1787" s="5" t="s">
        <v>4501</v>
      </c>
      <c r="J1787" s="12" t="str">
        <f>HYPERLINK("https://www.boe.es/gazeta/dias/1805/01/18/pdfs/GMD-1805-6.pdf#page=11","Abrir facsímil")</f>
        <v>Abrir facsímil</v>
      </c>
      <c r="K1787" s="15" t="s">
        <v>22</v>
      </c>
    </row>
    <row r="1788" spans="1:11" ht="42" customHeight="1">
      <c r="A1788" s="4" t="s">
        <v>4502</v>
      </c>
      <c r="B1788" s="5" t="s">
        <v>4503</v>
      </c>
      <c r="C1788" s="5" t="s">
        <v>184</v>
      </c>
      <c r="D1788" s="5" t="s">
        <v>86</v>
      </c>
      <c r="E1788" s="5" t="s">
        <v>363</v>
      </c>
      <c r="F1788" s="9">
        <v>1</v>
      </c>
      <c r="G1788" s="9">
        <v>11</v>
      </c>
      <c r="H1788" s="5" t="s">
        <v>20</v>
      </c>
      <c r="I1788" s="5" t="s">
        <v>4504</v>
      </c>
      <c r="J1788" s="12" t="str">
        <f>HYPERLINK("https://www.boe.es/gazeta/dias/1805/01/01/pdfs/GMD-1805-1.pdf#page=11","Abrir facsímil")</f>
        <v>Abrir facsímil</v>
      </c>
      <c r="K1788" s="15" t="s">
        <v>22</v>
      </c>
    </row>
    <row r="1789" spans="1:11" ht="42" customHeight="1">
      <c r="A1789" s="4" t="s">
        <v>4502</v>
      </c>
      <c r="B1789" s="5" t="s">
        <v>4503</v>
      </c>
      <c r="C1789" s="5" t="s">
        <v>184</v>
      </c>
      <c r="D1789" s="5" t="s">
        <v>86</v>
      </c>
      <c r="E1789" s="5" t="s">
        <v>365</v>
      </c>
      <c r="F1789" s="9">
        <v>3</v>
      </c>
      <c r="G1789" s="9">
        <v>32</v>
      </c>
      <c r="H1789" s="5" t="s">
        <v>20</v>
      </c>
      <c r="I1789" s="5" t="s">
        <v>4505</v>
      </c>
      <c r="J1789" s="12" t="str">
        <f>HYPERLINK("https://www.boe.es/gazeta/dias/1805/01/08/pdfs/GMD-1805-3.pdf#page=8","Abrir facsímil")</f>
        <v>Abrir facsímil</v>
      </c>
      <c r="K1789" s="15" t="s">
        <v>22</v>
      </c>
    </row>
    <row r="1790" spans="1:11" ht="42" customHeight="1">
      <c r="A1790" s="4" t="s">
        <v>4502</v>
      </c>
      <c r="B1790" s="5" t="s">
        <v>4503</v>
      </c>
      <c r="C1790" s="5" t="s">
        <v>184</v>
      </c>
      <c r="D1790" s="5" t="s">
        <v>86</v>
      </c>
      <c r="E1790" s="5" t="s">
        <v>293</v>
      </c>
      <c r="F1790" s="9">
        <v>5</v>
      </c>
      <c r="G1790" s="9">
        <v>54</v>
      </c>
      <c r="H1790" s="5" t="s">
        <v>20</v>
      </c>
      <c r="I1790" s="5" t="s">
        <v>4506</v>
      </c>
      <c r="J1790" s="12" t="str">
        <f>HYPERLINK("https://www.boe.es/gazeta/dias/1805/01/15/pdfs/GMD-1805-5.pdf#page=10","Abrir facsímil")</f>
        <v>Abrir facsímil</v>
      </c>
      <c r="K1790" s="15" t="s">
        <v>22</v>
      </c>
    </row>
    <row r="1791" spans="1:11" ht="42" customHeight="1">
      <c r="A1791" s="4" t="s">
        <v>4502</v>
      </c>
      <c r="B1791" s="5" t="s">
        <v>4503</v>
      </c>
      <c r="C1791" s="5" t="s">
        <v>184</v>
      </c>
      <c r="D1791" s="5" t="s">
        <v>86</v>
      </c>
      <c r="E1791" s="5" t="s">
        <v>649</v>
      </c>
      <c r="F1791" s="9">
        <v>7</v>
      </c>
      <c r="G1791" s="9">
        <v>78</v>
      </c>
      <c r="H1791" s="5" t="s">
        <v>20</v>
      </c>
      <c r="I1791" s="5" t="s">
        <v>4507</v>
      </c>
      <c r="J1791" s="12" t="str">
        <f>HYPERLINK("https://www.boe.es/gazeta/dias/1805/01/22/pdfs/GMD-1805-7.pdf#page=10","Abrir facsímil")</f>
        <v>Abrir facsímil</v>
      </c>
      <c r="K1791" s="15" t="s">
        <v>22</v>
      </c>
    </row>
    <row r="1792" spans="1:11" ht="42" customHeight="1">
      <c r="A1792" s="4" t="s">
        <v>4502</v>
      </c>
      <c r="B1792" s="5" t="s">
        <v>4503</v>
      </c>
      <c r="C1792" s="5" t="s">
        <v>184</v>
      </c>
      <c r="D1792" s="5" t="s">
        <v>86</v>
      </c>
      <c r="E1792" s="5" t="s">
        <v>170</v>
      </c>
      <c r="F1792" s="9">
        <v>9</v>
      </c>
      <c r="G1792" s="9">
        <v>101</v>
      </c>
      <c r="H1792" s="5" t="s">
        <v>20</v>
      </c>
      <c r="I1792" s="5" t="s">
        <v>4508</v>
      </c>
      <c r="J1792" s="12" t="str">
        <f>HYPERLINK("https://www.boe.es/gazeta/dias/1805/01/29/pdfs/GMD-1805-9.pdf#page=9","Abrir facsímil")</f>
        <v>Abrir facsímil</v>
      </c>
      <c r="K1792" s="15" t="s">
        <v>22</v>
      </c>
    </row>
    <row r="1793" spans="1:11" ht="42" customHeight="1">
      <c r="A1793" s="4" t="s">
        <v>4502</v>
      </c>
      <c r="B1793" s="5" t="s">
        <v>4503</v>
      </c>
      <c r="C1793" s="5" t="s">
        <v>184</v>
      </c>
      <c r="D1793" s="5" t="s">
        <v>86</v>
      </c>
      <c r="E1793" s="5" t="s">
        <v>327</v>
      </c>
      <c r="F1793" s="9">
        <v>10</v>
      </c>
      <c r="G1793" s="9">
        <v>110</v>
      </c>
      <c r="H1793" s="5" t="s">
        <v>20</v>
      </c>
      <c r="I1793" s="5" t="s">
        <v>4509</v>
      </c>
      <c r="J1793" s="12" t="str">
        <f>HYPERLINK("https://www.boe.es/gazeta/dias/1805/02/01/pdfs/GMD-1805-10.pdf#page=6","Abrir facsímil")</f>
        <v>Abrir facsímil</v>
      </c>
      <c r="K1793" s="15" t="s">
        <v>22</v>
      </c>
    </row>
    <row r="1794" spans="1:11" ht="42" customHeight="1">
      <c r="A1794" s="4" t="s">
        <v>4502</v>
      </c>
      <c r="B1794" s="5" t="s">
        <v>4503</v>
      </c>
      <c r="C1794" s="5" t="s">
        <v>184</v>
      </c>
      <c r="D1794" s="5" t="s">
        <v>86</v>
      </c>
      <c r="E1794" s="5" t="s">
        <v>117</v>
      </c>
      <c r="F1794" s="9">
        <v>20</v>
      </c>
      <c r="G1794" s="9">
        <v>211</v>
      </c>
      <c r="H1794" s="5" t="s">
        <v>20</v>
      </c>
      <c r="I1794" s="5" t="s">
        <v>4510</v>
      </c>
      <c r="J1794" s="12" t="str">
        <f>HYPERLINK("https://www.boe.es/gazeta/dias/1805/03/08/pdfs/GMD-1805-20.pdf#page=11","Abrir facsímil")</f>
        <v>Abrir facsímil</v>
      </c>
      <c r="K1794" s="15" t="s">
        <v>22</v>
      </c>
    </row>
    <row r="1795" spans="1:11" ht="42" customHeight="1">
      <c r="A1795" s="4" t="s">
        <v>4502</v>
      </c>
      <c r="B1795" s="5" t="s">
        <v>4503</v>
      </c>
      <c r="C1795" s="5" t="s">
        <v>184</v>
      </c>
      <c r="D1795" s="5" t="s">
        <v>86</v>
      </c>
      <c r="E1795" s="5" t="s">
        <v>82</v>
      </c>
      <c r="F1795" s="9">
        <v>25</v>
      </c>
      <c r="G1795" s="9">
        <v>268</v>
      </c>
      <c r="H1795" s="5" t="s">
        <v>20</v>
      </c>
      <c r="I1795" s="5" t="s">
        <v>4511</v>
      </c>
      <c r="J1795" s="12" t="str">
        <f>HYPERLINK("https://www.boe.es/gazeta/dias/1805/03/26/pdfs/GMD-1805-25.pdf#page=8","Abrir facsímil")</f>
        <v>Abrir facsímil</v>
      </c>
      <c r="K1795" s="15" t="s">
        <v>22</v>
      </c>
    </row>
    <row r="1796" spans="1:11" ht="42" customHeight="1">
      <c r="A1796" s="4" t="s">
        <v>4502</v>
      </c>
      <c r="B1796" s="5" t="s">
        <v>4503</v>
      </c>
      <c r="C1796" s="5" t="s">
        <v>35</v>
      </c>
      <c r="D1796" s="5" t="s">
        <v>36</v>
      </c>
      <c r="E1796" s="5" t="s">
        <v>440</v>
      </c>
      <c r="F1796" s="9">
        <v>27</v>
      </c>
      <c r="G1796" s="9">
        <v>289</v>
      </c>
      <c r="H1796" s="5" t="s">
        <v>20</v>
      </c>
      <c r="I1796" s="5" t="s">
        <v>4512</v>
      </c>
      <c r="J1796" s="12" t="str">
        <f>HYPERLINK("https://www.boe.es/gazeta/dias/1805/04/02/pdfs/GMD-1805-27.pdf#page=9","Abrir facsímil")</f>
        <v>Abrir facsímil</v>
      </c>
      <c r="K1796" s="15" t="s">
        <v>22</v>
      </c>
    </row>
    <row r="1797" spans="1:11" ht="42" customHeight="1">
      <c r="A1797" s="4" t="s">
        <v>4502</v>
      </c>
      <c r="B1797" s="5" t="s">
        <v>4503</v>
      </c>
      <c r="C1797" s="5" t="s">
        <v>29</v>
      </c>
      <c r="D1797" s="5" t="s">
        <v>30</v>
      </c>
      <c r="E1797" s="5" t="s">
        <v>1221</v>
      </c>
      <c r="F1797" s="9">
        <v>41</v>
      </c>
      <c r="G1797" s="9">
        <v>443</v>
      </c>
      <c r="H1797" s="5" t="s">
        <v>20</v>
      </c>
      <c r="I1797" s="5" t="s">
        <v>4513</v>
      </c>
      <c r="J1797" s="12" t="str">
        <f>HYPERLINK("https://www.boe.es/gazeta/dias/1805/05/21/pdfs/GMD-1805-41.pdf#page=11","Abrir facsímil")</f>
        <v>Abrir facsímil</v>
      </c>
      <c r="K1797" s="15" t="s">
        <v>22</v>
      </c>
    </row>
    <row r="1798" spans="1:11" ht="42" customHeight="1">
      <c r="A1798" s="4" t="s">
        <v>4502</v>
      </c>
      <c r="B1798" s="5" t="s">
        <v>4503</v>
      </c>
      <c r="C1798" s="5" t="s">
        <v>29</v>
      </c>
      <c r="D1798" s="5" t="s">
        <v>30</v>
      </c>
      <c r="E1798" s="5" t="s">
        <v>1022</v>
      </c>
      <c r="F1798" s="9">
        <v>52</v>
      </c>
      <c r="G1798" s="9">
        <v>563</v>
      </c>
      <c r="H1798" s="5" t="s">
        <v>20</v>
      </c>
      <c r="I1798" s="5" t="s">
        <v>4514</v>
      </c>
      <c r="J1798" s="12" t="str">
        <f>HYPERLINK("https://www.boe.es/gazeta/dias/1805/06/28/pdfs/GMD-1805-52.pdf#page=11","Abrir facsímil")</f>
        <v>Abrir facsímil</v>
      </c>
      <c r="K1798" s="15" t="s">
        <v>22</v>
      </c>
    </row>
    <row r="1799" spans="1:11" ht="42" customHeight="1">
      <c r="A1799" s="4" t="s">
        <v>4502</v>
      </c>
      <c r="B1799" s="5" t="s">
        <v>4503</v>
      </c>
      <c r="C1799" s="5" t="s">
        <v>29</v>
      </c>
      <c r="D1799" s="5" t="s">
        <v>30</v>
      </c>
      <c r="E1799" s="5" t="s">
        <v>40</v>
      </c>
      <c r="F1799" s="9">
        <v>59</v>
      </c>
      <c r="G1799" s="9">
        <v>634</v>
      </c>
      <c r="H1799" s="5" t="s">
        <v>20</v>
      </c>
      <c r="I1799" s="5" t="s">
        <v>4515</v>
      </c>
      <c r="J1799" s="12" t="str">
        <f>HYPERLINK("https://www.boe.es/gazeta/dias/1805/07/23/pdfs/GMD-1805-59.pdf#page=10","Abrir facsímil")</f>
        <v>Abrir facsímil</v>
      </c>
      <c r="K1799" s="15" t="s">
        <v>22</v>
      </c>
    </row>
    <row r="1800" spans="1:11" ht="42" customHeight="1">
      <c r="A1800" s="4" t="s">
        <v>4502</v>
      </c>
      <c r="B1800" s="5" t="s">
        <v>4503</v>
      </c>
      <c r="C1800" s="5" t="s">
        <v>184</v>
      </c>
      <c r="D1800" s="5" t="s">
        <v>86</v>
      </c>
      <c r="E1800" s="5" t="s">
        <v>188</v>
      </c>
      <c r="F1800" s="9">
        <v>68</v>
      </c>
      <c r="G1800" s="9">
        <v>731</v>
      </c>
      <c r="H1800" s="5" t="s">
        <v>20</v>
      </c>
      <c r="I1800" s="5" t="s">
        <v>4516</v>
      </c>
      <c r="J1800" s="12" t="str">
        <f>HYPERLINK("https://www.boe.es/gazeta/dias/1805/08/23/pdfs/GMD-1805-68.pdf#page=11","Abrir facsímil")</f>
        <v>Abrir facsímil</v>
      </c>
      <c r="K1800" s="15" t="s">
        <v>22</v>
      </c>
    </row>
    <row r="1801" spans="1:11" ht="42" customHeight="1">
      <c r="A1801" s="4" t="s">
        <v>4517</v>
      </c>
      <c r="B1801" s="5" t="s">
        <v>4518</v>
      </c>
      <c r="C1801" s="5" t="s">
        <v>184</v>
      </c>
      <c r="D1801" s="5" t="s">
        <v>86</v>
      </c>
      <c r="E1801" s="5" t="s">
        <v>1132</v>
      </c>
      <c r="F1801" s="9">
        <v>72</v>
      </c>
      <c r="G1801" s="9">
        <v>767</v>
      </c>
      <c r="H1801" s="5" t="s">
        <v>20</v>
      </c>
      <c r="I1801" s="5" t="s">
        <v>4519</v>
      </c>
      <c r="J1801" s="12" t="str">
        <f>HYPERLINK("https://www.boe.es/gazeta/dias/1805/09/06/pdfs/GMD-1805-72.pdf#page=7","Abrir facsímil")</f>
        <v>Abrir facsímil</v>
      </c>
      <c r="K1801" s="15" t="s">
        <v>22</v>
      </c>
    </row>
    <row r="1802" spans="1:11" ht="42" customHeight="1">
      <c r="A1802" s="4" t="s">
        <v>4502</v>
      </c>
      <c r="B1802" s="5" t="s">
        <v>4503</v>
      </c>
      <c r="C1802" s="5" t="s">
        <v>29</v>
      </c>
      <c r="D1802" s="5" t="s">
        <v>30</v>
      </c>
      <c r="E1802" s="5" t="s">
        <v>422</v>
      </c>
      <c r="F1802" s="9">
        <v>74</v>
      </c>
      <c r="G1802" s="9">
        <v>788</v>
      </c>
      <c r="H1802" s="5" t="s">
        <v>20</v>
      </c>
      <c r="I1802" s="5" t="s">
        <v>4520</v>
      </c>
      <c r="J1802" s="12" t="str">
        <f>HYPERLINK("https://www.boe.es/gazeta/dias/1805/09/13/pdfs/GMD-1805-74.pdf#page=12","Abrir facsímil")</f>
        <v>Abrir facsímil</v>
      </c>
      <c r="K1802" s="15" t="s">
        <v>22</v>
      </c>
    </row>
    <row r="1803" spans="1:11" ht="42" customHeight="1">
      <c r="A1803" s="4" t="s">
        <v>4502</v>
      </c>
      <c r="B1803" s="5" t="s">
        <v>4503</v>
      </c>
      <c r="C1803" s="5" t="s">
        <v>184</v>
      </c>
      <c r="D1803" s="5" t="s">
        <v>86</v>
      </c>
      <c r="E1803" s="5" t="s">
        <v>144</v>
      </c>
      <c r="F1803" s="9">
        <v>85</v>
      </c>
      <c r="G1803" s="9">
        <v>903</v>
      </c>
      <c r="H1803" s="5" t="s">
        <v>20</v>
      </c>
      <c r="I1803" s="5" t="s">
        <v>4521</v>
      </c>
      <c r="J1803" s="12" t="str">
        <f>HYPERLINK("https://www.boe.es/gazeta/dias/1805/10/22/pdfs/GMD-1805-85.pdf#page=11","Abrir facsímil")</f>
        <v>Abrir facsímil</v>
      </c>
      <c r="K1803" s="15" t="s">
        <v>22</v>
      </c>
    </row>
    <row r="1804" spans="1:11" ht="42" customHeight="1">
      <c r="A1804" s="4" t="s">
        <v>4502</v>
      </c>
      <c r="B1804" s="5" t="s">
        <v>4503</v>
      </c>
      <c r="C1804" s="5" t="s">
        <v>184</v>
      </c>
      <c r="D1804" s="5" t="s">
        <v>86</v>
      </c>
      <c r="E1804" s="5" t="s">
        <v>539</v>
      </c>
      <c r="F1804" s="9">
        <v>97</v>
      </c>
      <c r="G1804" s="9">
        <v>1046</v>
      </c>
      <c r="H1804" s="5" t="s">
        <v>20</v>
      </c>
      <c r="I1804" s="5" t="s">
        <v>4522</v>
      </c>
      <c r="J1804" s="12" t="str">
        <f>HYPERLINK("https://www.boe.es/gazeta/dias/1805/12/03/pdfs/GMD-1805-97.pdf#page=10","Abrir facsímil")</f>
        <v>Abrir facsímil</v>
      </c>
      <c r="K1804" s="15" t="s">
        <v>22</v>
      </c>
    </row>
    <row r="1805" spans="1:11" ht="42" customHeight="1">
      <c r="A1805" s="4" t="s">
        <v>4502</v>
      </c>
      <c r="B1805" s="5" t="s">
        <v>4503</v>
      </c>
      <c r="C1805" s="5" t="s">
        <v>184</v>
      </c>
      <c r="D1805" s="5" t="s">
        <v>86</v>
      </c>
      <c r="E1805" s="5" t="s">
        <v>138</v>
      </c>
      <c r="F1805" s="9">
        <v>102</v>
      </c>
      <c r="G1805" s="9">
        <v>1106</v>
      </c>
      <c r="H1805" s="5" t="s">
        <v>20</v>
      </c>
      <c r="I1805" s="5" t="s">
        <v>4523</v>
      </c>
      <c r="J1805" s="12" t="str">
        <f>HYPERLINK("https://www.boe.es/gazeta/dias/1805/12/20/pdfs/GMD-1805-102.pdf#page=10","Abrir facsímil")</f>
        <v>Abrir facsímil</v>
      </c>
      <c r="K1805" s="15" t="s">
        <v>22</v>
      </c>
    </row>
    <row r="1806" spans="1:11" ht="42" customHeight="1">
      <c r="A1806" s="4" t="s">
        <v>4524</v>
      </c>
      <c r="B1806" s="5" t="s">
        <v>4525</v>
      </c>
      <c r="C1806" s="5" t="s">
        <v>85</v>
      </c>
      <c r="D1806" s="5" t="s">
        <v>86</v>
      </c>
      <c r="E1806" s="5" t="s">
        <v>854</v>
      </c>
      <c r="F1806" s="9">
        <v>46</v>
      </c>
      <c r="G1806" s="9">
        <v>498</v>
      </c>
      <c r="H1806" s="5" t="s">
        <v>20</v>
      </c>
      <c r="I1806" s="5" t="s">
        <v>4526</v>
      </c>
      <c r="J1806" s="12" t="str">
        <f>HYPERLINK("https://www.boe.es/gazeta/dias/1805/06/07/pdfs/GMD-1805-46.pdf#page=10","Abrir facsímil")</f>
        <v>Abrir facsímil</v>
      </c>
      <c r="K1806" s="15" t="s">
        <v>22</v>
      </c>
    </row>
    <row r="1807" spans="1:11" ht="42" customHeight="1">
      <c r="A1807" s="4" t="s">
        <v>4527</v>
      </c>
      <c r="B1807" s="5" t="s">
        <v>4528</v>
      </c>
      <c r="C1807" s="5" t="s">
        <v>85</v>
      </c>
      <c r="D1807" s="5" t="s">
        <v>86</v>
      </c>
      <c r="E1807" s="5" t="s">
        <v>170</v>
      </c>
      <c r="F1807" s="9">
        <v>9</v>
      </c>
      <c r="G1807" s="9">
        <v>102</v>
      </c>
      <c r="H1807" s="5" t="s">
        <v>20</v>
      </c>
      <c r="I1807" s="5" t="s">
        <v>4529</v>
      </c>
      <c r="J1807" s="12" t="str">
        <f>HYPERLINK("https://www.boe.es/gazeta/dias/1805/01/29/pdfs/GMD-1805-9.pdf#page=10","Abrir facsímil")</f>
        <v>Abrir facsímil</v>
      </c>
      <c r="K1807" s="15" t="s">
        <v>22</v>
      </c>
    </row>
    <row r="1808" spans="1:11" ht="42" customHeight="1">
      <c r="A1808" s="4" t="s">
        <v>4530</v>
      </c>
      <c r="B1808" s="5" t="s">
        <v>4531</v>
      </c>
      <c r="C1808" s="5" t="s">
        <v>35</v>
      </c>
      <c r="D1808" s="5" t="s">
        <v>36</v>
      </c>
      <c r="E1808" s="5" t="s">
        <v>95</v>
      </c>
      <c r="F1808" s="9">
        <v>13</v>
      </c>
      <c r="G1808" s="9">
        <v>139</v>
      </c>
      <c r="H1808" s="5" t="s">
        <v>20</v>
      </c>
      <c r="I1808" s="5" t="s">
        <v>4532</v>
      </c>
      <c r="J1808" s="12" t="str">
        <f>HYPERLINK("https://www.boe.es/gazeta/dias/1805/02/12/pdfs/GMD-1805-13.pdf#page=7","Abrir facsímil")</f>
        <v>Abrir facsímil</v>
      </c>
      <c r="K1808" s="15" t="s">
        <v>22</v>
      </c>
    </row>
    <row r="1809" spans="1:11" ht="42" customHeight="1">
      <c r="A1809" s="4" t="s">
        <v>4533</v>
      </c>
      <c r="B1809" s="5" t="s">
        <v>4534</v>
      </c>
      <c r="C1809" s="5" t="s">
        <v>184</v>
      </c>
      <c r="D1809" s="5" t="s">
        <v>86</v>
      </c>
      <c r="E1809" s="5" t="s">
        <v>54</v>
      </c>
      <c r="F1809" s="9">
        <v>99</v>
      </c>
      <c r="G1809" s="9">
        <v>1069</v>
      </c>
      <c r="H1809" s="5" t="s">
        <v>20</v>
      </c>
      <c r="I1809" s="5" t="s">
        <v>4535</v>
      </c>
      <c r="J1809" s="12" t="str">
        <f>HYPERLINK("https://www.boe.es/gazeta/dias/1805/12/10/pdfs/GMD-1805-99.pdf#page=9","Abrir facsímil")</f>
        <v>Abrir facsímil</v>
      </c>
      <c r="K1809" s="15" t="s">
        <v>22</v>
      </c>
    </row>
    <row r="1810" spans="1:11" ht="42" customHeight="1">
      <c r="A1810" s="4" t="s">
        <v>4536</v>
      </c>
      <c r="B1810" s="5" t="s">
        <v>4537</v>
      </c>
      <c r="C1810" s="5" t="s">
        <v>35</v>
      </c>
      <c r="D1810" s="5" t="s">
        <v>36</v>
      </c>
      <c r="E1810" s="5" t="s">
        <v>163</v>
      </c>
      <c r="F1810" s="9">
        <v>77</v>
      </c>
      <c r="G1810" s="9">
        <v>817</v>
      </c>
      <c r="H1810" s="5" t="s">
        <v>20</v>
      </c>
      <c r="I1810" s="5" t="s">
        <v>4538</v>
      </c>
      <c r="J1810" s="12" t="str">
        <f>HYPERLINK("https://www.boe.es/gazeta/dias/1805/09/24/pdfs/GMD-1805-77.pdf#page=9","Abrir facsímil")</f>
        <v>Abrir facsímil</v>
      </c>
      <c r="K1810" s="15" t="s">
        <v>22</v>
      </c>
    </row>
    <row r="1811" spans="1:11" ht="42" customHeight="1">
      <c r="A1811" s="4" t="s">
        <v>4539</v>
      </c>
      <c r="B1811" s="5" t="s">
        <v>4540</v>
      </c>
      <c r="C1811" s="5" t="s">
        <v>17</v>
      </c>
      <c r="D1811" s="5" t="s">
        <v>18</v>
      </c>
      <c r="E1811" s="5" t="s">
        <v>1471</v>
      </c>
      <c r="F1811" s="9">
        <v>34</v>
      </c>
      <c r="G1811" s="9">
        <v>361</v>
      </c>
      <c r="H1811" s="5" t="s">
        <v>20</v>
      </c>
      <c r="I1811" s="5" t="s">
        <v>4541</v>
      </c>
      <c r="J1811" s="12" t="str">
        <f>HYPERLINK("https://www.boe.es/gazeta/dias/1805/04/26/pdfs/GMD-1805-34.pdf#page=5","Abrir facsímil")</f>
        <v>Abrir facsímil</v>
      </c>
      <c r="K1811" s="15" t="s">
        <v>22</v>
      </c>
    </row>
    <row r="1812" spans="1:11" ht="42" customHeight="1">
      <c r="A1812" s="4" t="s">
        <v>4539</v>
      </c>
      <c r="B1812" s="5" t="s">
        <v>4540</v>
      </c>
      <c r="C1812" s="5" t="s">
        <v>35</v>
      </c>
      <c r="D1812" s="5" t="s">
        <v>36</v>
      </c>
      <c r="E1812" s="5" t="s">
        <v>495</v>
      </c>
      <c r="F1812" s="9">
        <v>103</v>
      </c>
      <c r="G1812" s="9">
        <v>1114</v>
      </c>
      <c r="H1812" s="5" t="s">
        <v>20</v>
      </c>
      <c r="I1812" s="5" t="s">
        <v>4542</v>
      </c>
      <c r="J1812" s="12" t="str">
        <f>HYPERLINK("https://www.boe.es/gazeta/dias/1805/12/24/pdfs/GMD-1805-103.pdf#page=6","Abrir facsímil")</f>
        <v>Abrir facsímil</v>
      </c>
      <c r="K1812" s="15" t="s">
        <v>22</v>
      </c>
    </row>
    <row r="1813" spans="1:11" ht="42" customHeight="1">
      <c r="A1813" s="4" t="s">
        <v>4543</v>
      </c>
      <c r="B1813" s="5" t="s">
        <v>4544</v>
      </c>
      <c r="C1813" s="5" t="s">
        <v>184</v>
      </c>
      <c r="D1813" s="5" t="s">
        <v>86</v>
      </c>
      <c r="E1813" s="5" t="s">
        <v>170</v>
      </c>
      <c r="F1813" s="9">
        <v>9</v>
      </c>
      <c r="G1813" s="9">
        <v>100</v>
      </c>
      <c r="H1813" s="5" t="s">
        <v>20</v>
      </c>
      <c r="I1813" s="5" t="s">
        <v>4545</v>
      </c>
      <c r="J1813" s="12" t="str">
        <f>HYPERLINK("https://www.boe.es/gazeta/dias/1805/01/29/pdfs/GMD-1805-9.pdf#page=8","Abrir facsímil")</f>
        <v>Abrir facsímil</v>
      </c>
      <c r="K1813" s="15" t="s">
        <v>22</v>
      </c>
    </row>
    <row r="1814" spans="1:11" ht="42" customHeight="1">
      <c r="A1814" s="4" t="s">
        <v>4546</v>
      </c>
      <c r="B1814" s="5" t="s">
        <v>4547</v>
      </c>
      <c r="C1814" s="5" t="s">
        <v>85</v>
      </c>
      <c r="D1814" s="5" t="s">
        <v>86</v>
      </c>
      <c r="E1814" s="5" t="s">
        <v>495</v>
      </c>
      <c r="F1814" s="9">
        <v>103</v>
      </c>
      <c r="G1814" s="9">
        <v>1113</v>
      </c>
      <c r="H1814" s="5" t="s">
        <v>20</v>
      </c>
      <c r="I1814" s="5" t="s">
        <v>4548</v>
      </c>
      <c r="J1814" s="12" t="str">
        <f>HYPERLINK("https://www.boe.es/gazeta/dias/1805/12/24/pdfs/GMD-1805-103.pdf#page=5","Abrir facsímil")</f>
        <v>Abrir facsímil</v>
      </c>
      <c r="K1814" s="15" t="s">
        <v>22</v>
      </c>
    </row>
    <row r="1815" spans="1:11" ht="42" customHeight="1">
      <c r="A1815" s="4" t="s">
        <v>4549</v>
      </c>
      <c r="B1815" s="5" t="s">
        <v>4550</v>
      </c>
      <c r="C1815" s="5" t="s">
        <v>85</v>
      </c>
      <c r="D1815" s="5" t="s">
        <v>86</v>
      </c>
      <c r="E1815" s="5" t="s">
        <v>24</v>
      </c>
      <c r="F1815" s="9">
        <v>11</v>
      </c>
      <c r="G1815" s="9">
        <v>120</v>
      </c>
      <c r="H1815" s="5" t="s">
        <v>20</v>
      </c>
      <c r="I1815" s="5" t="s">
        <v>4551</v>
      </c>
      <c r="J1815" s="12" t="str">
        <f>HYPERLINK("https://www.boe.es/gazeta/dias/1805/02/05/pdfs/GMD-1805-11.pdf#page=8","Abrir facsímil")</f>
        <v>Abrir facsímil</v>
      </c>
      <c r="K1815" s="15" t="s">
        <v>22</v>
      </c>
    </row>
    <row r="1816" spans="1:11" ht="42" customHeight="1">
      <c r="A1816" s="4" t="s">
        <v>4552</v>
      </c>
      <c r="B1816" s="5" t="s">
        <v>4553</v>
      </c>
      <c r="C1816" s="5" t="s">
        <v>35</v>
      </c>
      <c r="D1816" s="5" t="s">
        <v>36</v>
      </c>
      <c r="E1816" s="5" t="s">
        <v>290</v>
      </c>
      <c r="F1816" s="9">
        <v>36</v>
      </c>
      <c r="G1816" s="9">
        <v>388</v>
      </c>
      <c r="H1816" s="5" t="s">
        <v>20</v>
      </c>
      <c r="I1816" s="5" t="s">
        <v>4554</v>
      </c>
      <c r="J1816" s="12" t="str">
        <f>HYPERLINK("https://www.boe.es/gazeta/dias/1805/05/03/pdfs/GMD-1805-36.pdf#page=8","Abrir facsímil")</f>
        <v>Abrir facsímil</v>
      </c>
      <c r="K1816" s="15" t="s">
        <v>22</v>
      </c>
    </row>
    <row r="1817" spans="1:11" ht="42" customHeight="1">
      <c r="A1817" s="4" t="s">
        <v>4555</v>
      </c>
      <c r="B1817" s="5" t="s">
        <v>4556</v>
      </c>
      <c r="C1817" s="5" t="s">
        <v>52</v>
      </c>
      <c r="D1817" s="5" t="s">
        <v>53</v>
      </c>
      <c r="E1817" s="5" t="s">
        <v>144</v>
      </c>
      <c r="F1817" s="9">
        <v>85</v>
      </c>
      <c r="G1817" s="9" t="s">
        <v>159</v>
      </c>
      <c r="H1817" s="5" t="s">
        <v>20</v>
      </c>
      <c r="I1817" s="5" t="s">
        <v>4557</v>
      </c>
      <c r="J1817" s="12" t="str">
        <f>HYPERLINK("https://www.boe.es/gazeta/dias/1805/10/22/pdfs/GMD-C-1805-85.pdf#page=3","Abrir facsímil")</f>
        <v>Abrir facsímil</v>
      </c>
      <c r="K1817" s="15" t="s">
        <v>22</v>
      </c>
    </row>
    <row r="1818" spans="1:11" ht="42" customHeight="1">
      <c r="A1818" s="4" t="s">
        <v>4558</v>
      </c>
      <c r="B1818" s="5" t="s">
        <v>4559</v>
      </c>
      <c r="C1818" s="5" t="s">
        <v>29</v>
      </c>
      <c r="D1818" s="5" t="s">
        <v>30</v>
      </c>
      <c r="E1818" s="5" t="s">
        <v>71</v>
      </c>
      <c r="F1818" s="9">
        <v>33</v>
      </c>
      <c r="G1818" s="9">
        <v>353</v>
      </c>
      <c r="H1818" s="5" t="s">
        <v>20</v>
      </c>
      <c r="I1818" s="5" t="s">
        <v>4560</v>
      </c>
      <c r="J1818" s="12" t="str">
        <f>HYPERLINK("https://www.boe.es/gazeta/dias/1805/04/23/pdfs/GMD-1805-33.pdf#page=9","Abrir facsímil")</f>
        <v>Abrir facsímil</v>
      </c>
      <c r="K1818" s="15" t="s">
        <v>22</v>
      </c>
    </row>
    <row r="1819" spans="1:11" ht="42" customHeight="1">
      <c r="A1819" s="4" t="s">
        <v>4561</v>
      </c>
      <c r="B1819" s="5" t="s">
        <v>4562</v>
      </c>
      <c r="C1819" s="5" t="s">
        <v>17</v>
      </c>
      <c r="D1819" s="5" t="s">
        <v>18</v>
      </c>
      <c r="E1819" s="5" t="s">
        <v>286</v>
      </c>
      <c r="F1819" s="9">
        <v>48</v>
      </c>
      <c r="G1819" s="9">
        <v>520</v>
      </c>
      <c r="H1819" s="5" t="s">
        <v>20</v>
      </c>
      <c r="I1819" s="5" t="s">
        <v>4563</v>
      </c>
      <c r="J1819" s="12" t="str">
        <f>HYPERLINK("https://www.boe.es/gazeta/dias/1805/06/14/pdfs/GMD-1805-48.pdf#page=8","Abrir facsímil")</f>
        <v>Abrir facsímil</v>
      </c>
      <c r="K1819" s="15" t="s">
        <v>22</v>
      </c>
    </row>
    <row r="1820" spans="1:11" ht="42" customHeight="1">
      <c r="A1820" s="4" t="s">
        <v>4564</v>
      </c>
      <c r="B1820" s="5" t="s">
        <v>4564</v>
      </c>
      <c r="C1820" s="5" t="s">
        <v>17</v>
      </c>
      <c r="D1820" s="5" t="s">
        <v>18</v>
      </c>
      <c r="E1820" s="5" t="s">
        <v>107</v>
      </c>
      <c r="F1820" s="9">
        <v>19</v>
      </c>
      <c r="G1820" s="9">
        <v>192</v>
      </c>
      <c r="H1820" s="5" t="s">
        <v>20</v>
      </c>
      <c r="I1820" s="5" t="s">
        <v>4565</v>
      </c>
      <c r="J1820" s="12" t="str">
        <f>HYPERLINK("https://www.boe.es/gazeta/dias/1805/03/05/pdfs/GMD-1805-19.pdf#page=4","Abrir facsímil")</f>
        <v>Abrir facsímil</v>
      </c>
      <c r="K1820" s="15" t="s">
        <v>22</v>
      </c>
    </row>
    <row r="1821" spans="1:11" ht="42" customHeight="1">
      <c r="A1821" s="4" t="s">
        <v>4566</v>
      </c>
      <c r="B1821" s="5" t="s">
        <v>4566</v>
      </c>
      <c r="C1821" s="5" t="s">
        <v>35</v>
      </c>
      <c r="D1821" s="5" t="s">
        <v>36</v>
      </c>
      <c r="E1821" s="5" t="s">
        <v>1432</v>
      </c>
      <c r="F1821" s="9">
        <v>53</v>
      </c>
      <c r="G1821" s="9">
        <v>569</v>
      </c>
      <c r="H1821" s="5" t="s">
        <v>20</v>
      </c>
      <c r="I1821" s="5" t="s">
        <v>4567</v>
      </c>
      <c r="J1821" s="12" t="str">
        <f>HYPERLINK("https://www.boe.es/gazeta/dias/1805/07/02/pdfs/GMD-1805-53.pdf#page=5","Abrir facsímil")</f>
        <v>Abrir facsímil</v>
      </c>
      <c r="K1821" s="15" t="s">
        <v>22</v>
      </c>
    </row>
    <row r="1822" spans="1:11" ht="42" customHeight="1">
      <c r="A1822" s="4" t="s">
        <v>4568</v>
      </c>
      <c r="B1822" s="5" t="s">
        <v>4568</v>
      </c>
      <c r="C1822" s="5" t="s">
        <v>80</v>
      </c>
      <c r="D1822" s="5" t="s">
        <v>81</v>
      </c>
      <c r="E1822" s="5" t="s">
        <v>37</v>
      </c>
      <c r="F1822" s="9">
        <v>54</v>
      </c>
      <c r="G1822" s="9">
        <v>574</v>
      </c>
      <c r="H1822" s="5" t="s">
        <v>20</v>
      </c>
      <c r="I1822" s="5" t="s">
        <v>4569</v>
      </c>
      <c r="J1822" s="12" t="str">
        <f>HYPERLINK("https://www.boe.es/gazeta/dias/1805/07/05/pdfs/GMD-1805-54.pdf#page=2","Abrir facsímil")</f>
        <v>Abrir facsímil</v>
      </c>
      <c r="K1822" s="15" t="s">
        <v>22</v>
      </c>
    </row>
    <row r="1823" spans="1:11" ht="42" customHeight="1">
      <c r="A1823" s="4" t="s">
        <v>4570</v>
      </c>
      <c r="B1823" s="5" t="s">
        <v>4570</v>
      </c>
      <c r="C1823" s="5" t="s">
        <v>184</v>
      </c>
      <c r="D1823" s="5" t="s">
        <v>86</v>
      </c>
      <c r="E1823" s="5" t="s">
        <v>365</v>
      </c>
      <c r="F1823" s="9">
        <v>3</v>
      </c>
      <c r="G1823" s="9">
        <v>27</v>
      </c>
      <c r="H1823" s="5" t="s">
        <v>20</v>
      </c>
      <c r="I1823" s="5" t="s">
        <v>4571</v>
      </c>
      <c r="J1823" s="12" t="str">
        <f>HYPERLINK("https://www.boe.es/gazeta/dias/1805/01/08/pdfs/GMD-1805-3.pdf#page=3","Abrir facsímil")</f>
        <v>Abrir facsímil</v>
      </c>
      <c r="K1823" s="15" t="s">
        <v>22</v>
      </c>
    </row>
    <row r="1824" spans="1:11" ht="42" customHeight="1">
      <c r="A1824" s="4" t="s">
        <v>4572</v>
      </c>
      <c r="B1824" s="5" t="s">
        <v>4572</v>
      </c>
      <c r="C1824" s="5" t="s">
        <v>80</v>
      </c>
      <c r="D1824" s="5" t="s">
        <v>81</v>
      </c>
      <c r="E1824" s="5" t="s">
        <v>71</v>
      </c>
      <c r="F1824" s="9">
        <v>33</v>
      </c>
      <c r="G1824" s="9">
        <v>347</v>
      </c>
      <c r="H1824" s="5" t="s">
        <v>20</v>
      </c>
      <c r="I1824" s="5" t="s">
        <v>4573</v>
      </c>
      <c r="J1824" s="12" t="str">
        <f>HYPERLINK("https://www.boe.es/gazeta/dias/1805/04/23/pdfs/GMD-1805-33.pdf#page=3","Abrir facsímil")</f>
        <v>Abrir facsímil</v>
      </c>
      <c r="K1824" s="15" t="s">
        <v>22</v>
      </c>
    </row>
    <row r="1825" spans="1:11" ht="42" customHeight="1">
      <c r="A1825" s="4" t="s">
        <v>4572</v>
      </c>
      <c r="B1825" s="5" t="s">
        <v>4572</v>
      </c>
      <c r="C1825" s="5" t="s">
        <v>80</v>
      </c>
      <c r="D1825" s="5" t="s">
        <v>81</v>
      </c>
      <c r="E1825" s="5" t="s">
        <v>135</v>
      </c>
      <c r="F1825" s="9">
        <v>71</v>
      </c>
      <c r="G1825" s="9">
        <v>750</v>
      </c>
      <c r="H1825" s="5" t="s">
        <v>20</v>
      </c>
      <c r="I1825" s="5" t="s">
        <v>4574</v>
      </c>
      <c r="J1825" s="12" t="str">
        <f>HYPERLINK("https://www.boe.es/gazeta/dias/1805/09/03/pdfs/GMD-1805-71.pdf#page=2","Abrir facsímil")</f>
        <v>Abrir facsímil</v>
      </c>
      <c r="K1825" s="15" t="s">
        <v>22</v>
      </c>
    </row>
    <row r="1826" spans="1:11" ht="42" customHeight="1">
      <c r="A1826" s="4" t="s">
        <v>4575</v>
      </c>
      <c r="B1826" s="5" t="s">
        <v>4575</v>
      </c>
      <c r="C1826" s="5" t="s">
        <v>17</v>
      </c>
      <c r="D1826" s="5" t="s">
        <v>18</v>
      </c>
      <c r="E1826" s="5" t="s">
        <v>107</v>
      </c>
      <c r="F1826" s="9">
        <v>19</v>
      </c>
      <c r="G1826" s="9">
        <v>196</v>
      </c>
      <c r="H1826" s="5" t="s">
        <v>20</v>
      </c>
      <c r="I1826" s="5" t="s">
        <v>4576</v>
      </c>
      <c r="J1826" s="12" t="str">
        <f>HYPERLINK("https://www.boe.es/gazeta/dias/1805/03/05/pdfs/GMD-1805-19.pdf#page=8","Abrir facsímil")</f>
        <v>Abrir facsímil</v>
      </c>
      <c r="K1826" s="15" t="s">
        <v>22</v>
      </c>
    </row>
    <row r="1827" spans="1:11" ht="42" customHeight="1">
      <c r="A1827" s="4" t="s">
        <v>4577</v>
      </c>
      <c r="B1827" s="5" t="s">
        <v>4577</v>
      </c>
      <c r="C1827" s="5" t="s">
        <v>17</v>
      </c>
      <c r="D1827" s="5" t="s">
        <v>18</v>
      </c>
      <c r="E1827" s="5" t="s">
        <v>356</v>
      </c>
      <c r="F1827" s="9">
        <v>12</v>
      </c>
      <c r="G1827" s="9">
        <v>131</v>
      </c>
      <c r="H1827" s="5" t="s">
        <v>20</v>
      </c>
      <c r="I1827" s="5" t="s">
        <v>4578</v>
      </c>
      <c r="J1827" s="12" t="str">
        <f>HYPERLINK("https://www.boe.es/gazeta/dias/1805/02/08/pdfs/GMD-1805-12.pdf#page=7","Abrir facsímil")</f>
        <v>Abrir facsímil</v>
      </c>
      <c r="K1827" s="15" t="s">
        <v>22</v>
      </c>
    </row>
    <row r="1828" spans="1:11" ht="42" customHeight="1">
      <c r="A1828" s="4" t="s">
        <v>4579</v>
      </c>
      <c r="B1828" s="5" t="s">
        <v>4579</v>
      </c>
      <c r="C1828" s="5" t="s">
        <v>184</v>
      </c>
      <c r="D1828" s="5" t="s">
        <v>86</v>
      </c>
      <c r="E1828" s="5" t="s">
        <v>363</v>
      </c>
      <c r="F1828" s="9">
        <v>1</v>
      </c>
      <c r="G1828" s="9">
        <v>10</v>
      </c>
      <c r="H1828" s="5" t="s">
        <v>20</v>
      </c>
      <c r="I1828" s="5" t="s">
        <v>4580</v>
      </c>
      <c r="J1828" s="12" t="str">
        <f>HYPERLINK("https://www.boe.es/gazeta/dias/1805/01/01/pdfs/GMD-1805-1.pdf#page=10","Abrir facsímil")</f>
        <v>Abrir facsímil</v>
      </c>
      <c r="K1828" s="15" t="s">
        <v>22</v>
      </c>
    </row>
    <row r="1829" spans="1:11" ht="42" customHeight="1">
      <c r="A1829" s="4" t="s">
        <v>4581</v>
      </c>
      <c r="B1829" s="5" t="s">
        <v>4581</v>
      </c>
      <c r="C1829" s="5" t="s">
        <v>35</v>
      </c>
      <c r="D1829" s="5" t="s">
        <v>36</v>
      </c>
      <c r="E1829" s="5" t="s">
        <v>1445</v>
      </c>
      <c r="F1829" s="9">
        <v>6</v>
      </c>
      <c r="G1829" s="9">
        <v>66</v>
      </c>
      <c r="H1829" s="5" t="s">
        <v>20</v>
      </c>
      <c r="I1829" s="5" t="s">
        <v>4582</v>
      </c>
      <c r="J1829" s="12" t="str">
        <f>HYPERLINK("https://www.boe.es/gazeta/dias/1805/01/18/pdfs/GMD-1805-6.pdf#page=10","Abrir facsímil")</f>
        <v>Abrir facsímil</v>
      </c>
      <c r="K1829" s="15" t="s">
        <v>22</v>
      </c>
    </row>
    <row r="1830" spans="1:11" ht="42" customHeight="1">
      <c r="A1830" s="4" t="s">
        <v>4581</v>
      </c>
      <c r="B1830" s="5" t="s">
        <v>4581</v>
      </c>
      <c r="C1830" s="5" t="s">
        <v>35</v>
      </c>
      <c r="D1830" s="5" t="s">
        <v>36</v>
      </c>
      <c r="E1830" s="5" t="s">
        <v>103</v>
      </c>
      <c r="F1830" s="9">
        <v>30</v>
      </c>
      <c r="G1830" s="9">
        <v>323</v>
      </c>
      <c r="H1830" s="5" t="s">
        <v>20</v>
      </c>
      <c r="I1830" s="5" t="s">
        <v>4583</v>
      </c>
      <c r="J1830" s="12" t="str">
        <f>HYPERLINK("https://www.boe.es/gazeta/dias/1805/04/12/pdfs/GMD-1805-30.pdf#page=7","Abrir facsímil")</f>
        <v>Abrir facsímil</v>
      </c>
      <c r="K1830" s="15" t="s">
        <v>22</v>
      </c>
    </row>
    <row r="1831" spans="1:11" ht="42" customHeight="1">
      <c r="A1831" s="4" t="s">
        <v>4581</v>
      </c>
      <c r="B1831" s="5" t="s">
        <v>4581</v>
      </c>
      <c r="C1831" s="5" t="s">
        <v>35</v>
      </c>
      <c r="D1831" s="5" t="s">
        <v>36</v>
      </c>
      <c r="E1831" s="5" t="s">
        <v>1494</v>
      </c>
      <c r="F1831" s="9">
        <v>31</v>
      </c>
      <c r="G1831" s="9">
        <v>333</v>
      </c>
      <c r="H1831" s="5" t="s">
        <v>20</v>
      </c>
      <c r="I1831" s="5" t="s">
        <v>4584</v>
      </c>
      <c r="J1831" s="12" t="str">
        <f>HYPERLINK("https://www.boe.es/gazeta/dias/1805/04/16/pdfs/GMD-1805-31.pdf#page=9","Abrir facsímil")</f>
        <v>Abrir facsímil</v>
      </c>
      <c r="K1831" s="15" t="s">
        <v>22</v>
      </c>
    </row>
    <row r="1832" spans="1:11" ht="42" customHeight="1">
      <c r="A1832" s="4" t="s">
        <v>4585</v>
      </c>
      <c r="B1832" s="5" t="s">
        <v>4585</v>
      </c>
      <c r="C1832" s="5" t="s">
        <v>35</v>
      </c>
      <c r="D1832" s="5" t="s">
        <v>36</v>
      </c>
      <c r="E1832" s="5" t="s">
        <v>261</v>
      </c>
      <c r="F1832" s="9">
        <v>18</v>
      </c>
      <c r="G1832" s="9">
        <v>186</v>
      </c>
      <c r="H1832" s="5" t="s">
        <v>20</v>
      </c>
      <c r="I1832" s="5" t="s">
        <v>4586</v>
      </c>
      <c r="J1832" s="12" t="str">
        <f>HYPERLINK("https://www.boe.es/gazeta/dias/1805/03/01/pdfs/GMD-1805-18.pdf#page=6","Abrir facsímil")</f>
        <v>Abrir facsímil</v>
      </c>
      <c r="K1832" s="15" t="s">
        <v>22</v>
      </c>
    </row>
    <row r="1833" spans="1:11" ht="42" customHeight="1">
      <c r="A1833" s="4" t="s">
        <v>4587</v>
      </c>
      <c r="B1833" s="5" t="s">
        <v>4588</v>
      </c>
      <c r="C1833" s="5" t="s">
        <v>184</v>
      </c>
      <c r="D1833" s="5" t="s">
        <v>86</v>
      </c>
      <c r="E1833" s="5" t="s">
        <v>363</v>
      </c>
      <c r="F1833" s="9">
        <v>1</v>
      </c>
      <c r="G1833" s="9">
        <v>10</v>
      </c>
      <c r="H1833" s="5" t="s">
        <v>20</v>
      </c>
      <c r="I1833" s="5" t="s">
        <v>4589</v>
      </c>
      <c r="J1833" s="12" t="str">
        <f>HYPERLINK("https://www.boe.es/gazeta/dias/1805/01/01/pdfs/GMD-1805-1.pdf#page=10","Abrir facsímil")</f>
        <v>Abrir facsímil</v>
      </c>
      <c r="K1833" s="15" t="s">
        <v>22</v>
      </c>
    </row>
    <row r="1834" spans="1:11" ht="42" customHeight="1">
      <c r="A1834" s="4" t="s">
        <v>4590</v>
      </c>
      <c r="B1834" s="5" t="s">
        <v>4591</v>
      </c>
      <c r="C1834" s="5" t="s">
        <v>52</v>
      </c>
      <c r="D1834" s="5" t="s">
        <v>53</v>
      </c>
      <c r="E1834" s="5" t="s">
        <v>82</v>
      </c>
      <c r="F1834" s="9">
        <v>25</v>
      </c>
      <c r="G1834" s="9" t="s">
        <v>222</v>
      </c>
      <c r="H1834" s="5" t="s">
        <v>20</v>
      </c>
      <c r="I1834" s="5" t="s">
        <v>4592</v>
      </c>
      <c r="J1834" s="12" t="str">
        <f>HYPERLINK("https://www.boe.es/gazeta/dias/1805/03/26/pdfs/GMD-C-1805-25.pdf#page=1","Abrir facsímil")</f>
        <v>Abrir facsímil</v>
      </c>
      <c r="K1834" s="15" t="s">
        <v>22</v>
      </c>
    </row>
    <row r="1835" spans="1:11" ht="42" customHeight="1">
      <c r="A1835" s="4" t="s">
        <v>4593</v>
      </c>
      <c r="B1835" s="5" t="s">
        <v>4594</v>
      </c>
      <c r="C1835" s="5" t="s">
        <v>52</v>
      </c>
      <c r="D1835" s="5" t="s">
        <v>53</v>
      </c>
      <c r="E1835" s="5" t="s">
        <v>144</v>
      </c>
      <c r="F1835" s="9">
        <v>85</v>
      </c>
      <c r="G1835" s="9" t="s">
        <v>475</v>
      </c>
      <c r="H1835" s="5" t="s">
        <v>20</v>
      </c>
      <c r="I1835" s="5" t="s">
        <v>4595</v>
      </c>
      <c r="J1835" s="12" t="str">
        <f>HYPERLINK("https://www.boe.es/gazeta/dias/1805/10/22/pdfs/GMD-C-1805-85.pdf#page=5","Abrir facsímil")</f>
        <v>Abrir facsímil</v>
      </c>
      <c r="K1835" s="15" t="s">
        <v>22</v>
      </c>
    </row>
    <row r="1836" spans="1:11" ht="42" customHeight="1">
      <c r="A1836" s="4" t="s">
        <v>4596</v>
      </c>
      <c r="B1836" s="5" t="s">
        <v>4596</v>
      </c>
      <c r="C1836" s="5" t="s">
        <v>80</v>
      </c>
      <c r="D1836" s="5" t="s">
        <v>81</v>
      </c>
      <c r="E1836" s="5" t="s">
        <v>456</v>
      </c>
      <c r="F1836" s="9">
        <v>70</v>
      </c>
      <c r="G1836" s="9">
        <v>742</v>
      </c>
      <c r="H1836" s="5" t="s">
        <v>20</v>
      </c>
      <c r="I1836" s="5" t="s">
        <v>4597</v>
      </c>
      <c r="J1836" s="12" t="str">
        <f>HYPERLINK("https://www.boe.es/gazeta/dias/1805/08/30/pdfs/GMD-1805-70.pdf#page=2","Abrir facsímil")</f>
        <v>Abrir facsímil</v>
      </c>
      <c r="K1836" s="15" t="s">
        <v>22</v>
      </c>
    </row>
    <row r="1837" spans="1:11" ht="42" customHeight="1">
      <c r="A1837" s="4" t="s">
        <v>4598</v>
      </c>
      <c r="B1837" s="5" t="s">
        <v>4598</v>
      </c>
      <c r="C1837" s="5" t="s">
        <v>17</v>
      </c>
      <c r="D1837" s="5" t="s">
        <v>18</v>
      </c>
      <c r="E1837" s="5" t="s">
        <v>300</v>
      </c>
      <c r="F1837" s="9">
        <v>81</v>
      </c>
      <c r="G1837" s="9">
        <v>859</v>
      </c>
      <c r="H1837" s="5" t="s">
        <v>20</v>
      </c>
      <c r="I1837" s="5" t="s">
        <v>4599</v>
      </c>
      <c r="J1837" s="12" t="str">
        <f>HYPERLINK("https://www.boe.es/gazeta/dias/1805/10/08/pdfs/GMD-1805-81.pdf#page=7","Abrir facsímil")</f>
        <v>Abrir facsímil</v>
      </c>
      <c r="K1837" s="15" t="s">
        <v>22</v>
      </c>
    </row>
    <row r="1838" spans="1:11" ht="42" customHeight="1">
      <c r="A1838" s="4" t="s">
        <v>4600</v>
      </c>
      <c r="B1838" s="5" t="s">
        <v>4600</v>
      </c>
      <c r="C1838" s="5" t="s">
        <v>17</v>
      </c>
      <c r="D1838" s="5" t="s">
        <v>18</v>
      </c>
      <c r="E1838" s="5" t="s">
        <v>226</v>
      </c>
      <c r="F1838" s="9">
        <v>73</v>
      </c>
      <c r="G1838" s="9">
        <v>776</v>
      </c>
      <c r="H1838" s="5" t="s">
        <v>20</v>
      </c>
      <c r="I1838" s="5" t="s">
        <v>4601</v>
      </c>
      <c r="J1838" s="12" t="str">
        <f>HYPERLINK("https://www.boe.es/gazeta/dias/1805/09/10/pdfs/GMD-1805-73.pdf#page=8","Abrir facsímil")</f>
        <v>Abrir facsímil</v>
      </c>
      <c r="K1838" s="15" t="s">
        <v>22</v>
      </c>
    </row>
    <row r="1839" spans="1:11" ht="42" customHeight="1">
      <c r="A1839" s="4" t="s">
        <v>4602</v>
      </c>
      <c r="B1839" s="5" t="s">
        <v>4602</v>
      </c>
      <c r="C1839" s="5" t="s">
        <v>17</v>
      </c>
      <c r="D1839" s="5" t="s">
        <v>18</v>
      </c>
      <c r="E1839" s="5" t="s">
        <v>59</v>
      </c>
      <c r="F1839" s="9">
        <v>21</v>
      </c>
      <c r="G1839" s="9">
        <v>218</v>
      </c>
      <c r="H1839" s="5" t="s">
        <v>20</v>
      </c>
      <c r="I1839" s="5" t="s">
        <v>4603</v>
      </c>
      <c r="J1839" s="12" t="str">
        <f>HYPERLINK("https://www.boe.es/gazeta/dias/1805/03/12/pdfs/GMD-1805-21.pdf#page=6","Abrir facsímil")</f>
        <v>Abrir facsímil</v>
      </c>
      <c r="K1839" s="15" t="s">
        <v>22</v>
      </c>
    </row>
    <row r="1840" spans="1:11" ht="42" customHeight="1">
      <c r="A1840" s="4" t="s">
        <v>4604</v>
      </c>
      <c r="B1840" s="5" t="s">
        <v>4605</v>
      </c>
      <c r="C1840" s="5" t="s">
        <v>35</v>
      </c>
      <c r="D1840" s="5" t="s">
        <v>36</v>
      </c>
      <c r="E1840" s="5" t="s">
        <v>138</v>
      </c>
      <c r="F1840" s="9">
        <v>102</v>
      </c>
      <c r="G1840" s="9">
        <v>1097</v>
      </c>
      <c r="H1840" s="5" t="s">
        <v>20</v>
      </c>
      <c r="I1840" s="5" t="s">
        <v>4606</v>
      </c>
      <c r="J1840" s="12" t="str">
        <f>HYPERLINK("https://www.boe.es/gazeta/dias/1805/12/20/pdfs/GMD-1805-102.pdf#page=1","Abrir facsímil")</f>
        <v>Abrir facsímil</v>
      </c>
      <c r="K1840" s="15" t="s">
        <v>22</v>
      </c>
    </row>
    <row r="1841" spans="1:11" ht="42" customHeight="1">
      <c r="A1841" s="4" t="s">
        <v>4607</v>
      </c>
      <c r="B1841" s="5" t="s">
        <v>4608</v>
      </c>
      <c r="C1841" s="5" t="s">
        <v>80</v>
      </c>
      <c r="D1841" s="5" t="s">
        <v>81</v>
      </c>
      <c r="E1841" s="5" t="s">
        <v>552</v>
      </c>
      <c r="F1841" s="9">
        <v>94</v>
      </c>
      <c r="G1841" s="9">
        <v>1001</v>
      </c>
      <c r="H1841" s="5" t="s">
        <v>20</v>
      </c>
      <c r="I1841" s="5" t="s">
        <v>4609</v>
      </c>
      <c r="J1841" s="12" t="str">
        <f>HYPERLINK("https://www.boe.es/gazeta/dias/1805/11/22/pdfs/GMD-1805-94.pdf#page=1","Abrir facsímil")</f>
        <v>Abrir facsímil</v>
      </c>
      <c r="K1841" s="15" t="s">
        <v>22</v>
      </c>
    </row>
    <row r="1842" spans="1:11" ht="42" customHeight="1">
      <c r="A1842" s="4" t="s">
        <v>4610</v>
      </c>
      <c r="B1842" s="5" t="s">
        <v>4611</v>
      </c>
      <c r="C1842" s="5" t="s">
        <v>80</v>
      </c>
      <c r="D1842" s="5" t="s">
        <v>81</v>
      </c>
      <c r="E1842" s="5" t="s">
        <v>188</v>
      </c>
      <c r="F1842" s="9">
        <v>68</v>
      </c>
      <c r="G1842" s="9">
        <v>723</v>
      </c>
      <c r="H1842" s="5" t="s">
        <v>20</v>
      </c>
      <c r="I1842" s="5" t="s">
        <v>4612</v>
      </c>
      <c r="J1842" s="12" t="str">
        <f>HYPERLINK("https://www.boe.es/gazeta/dias/1805/08/23/pdfs/GMD-1805-68.pdf#page=3","Abrir facsímil")</f>
        <v>Abrir facsímil</v>
      </c>
      <c r="K1842" s="15" t="s">
        <v>22</v>
      </c>
    </row>
    <row r="1843" spans="1:11" ht="42" customHeight="1">
      <c r="A1843" s="4" t="s">
        <v>4613</v>
      </c>
      <c r="B1843" s="5" t="s">
        <v>4614</v>
      </c>
      <c r="C1843" s="5" t="s">
        <v>35</v>
      </c>
      <c r="D1843" s="5" t="s">
        <v>36</v>
      </c>
      <c r="E1843" s="5" t="s">
        <v>817</v>
      </c>
      <c r="F1843" s="9">
        <v>92</v>
      </c>
      <c r="G1843" s="9">
        <v>982</v>
      </c>
      <c r="H1843" s="5" t="s">
        <v>20</v>
      </c>
      <c r="I1843" s="5" t="s">
        <v>4615</v>
      </c>
      <c r="J1843" s="12" t="str">
        <f>HYPERLINK("https://www.boe.es/gazeta/dias/1805/11/15/pdfs/GMD-1805-92.pdf#page=2","Abrir facsímil")</f>
        <v>Abrir facsímil</v>
      </c>
      <c r="K1843" s="15" t="s">
        <v>22</v>
      </c>
    </row>
    <row r="1844" spans="1:11" ht="42" customHeight="1">
      <c r="A1844" s="4" t="s">
        <v>4616</v>
      </c>
      <c r="B1844" s="5" t="s">
        <v>4617</v>
      </c>
      <c r="C1844" s="5" t="s">
        <v>80</v>
      </c>
      <c r="D1844" s="5" t="s">
        <v>81</v>
      </c>
      <c r="E1844" s="5" t="s">
        <v>787</v>
      </c>
      <c r="F1844" s="9">
        <v>95</v>
      </c>
      <c r="G1844" s="9">
        <v>1015</v>
      </c>
      <c r="H1844" s="5" t="s">
        <v>20</v>
      </c>
      <c r="I1844" s="5" t="s">
        <v>4618</v>
      </c>
      <c r="J1844" s="12" t="str">
        <f>HYPERLINK("https://www.boe.es/gazeta/dias/1805/11/26/pdfs/GMD-1805-95.pdf#page=3","Abrir facsímil")</f>
        <v>Abrir facsímil</v>
      </c>
      <c r="K1844" s="15" t="s">
        <v>22</v>
      </c>
    </row>
    <row r="1845" spans="1:11" ht="42" customHeight="1">
      <c r="A1845" s="4" t="s">
        <v>4619</v>
      </c>
      <c r="B1845" s="5" t="s">
        <v>4619</v>
      </c>
      <c r="C1845" s="5" t="s">
        <v>17</v>
      </c>
      <c r="D1845" s="5" t="s">
        <v>18</v>
      </c>
      <c r="E1845" s="5" t="s">
        <v>112</v>
      </c>
      <c r="F1845" s="9">
        <v>16</v>
      </c>
      <c r="G1845" s="9">
        <v>165</v>
      </c>
      <c r="H1845" s="5" t="s">
        <v>20</v>
      </c>
      <c r="I1845" s="5" t="s">
        <v>4620</v>
      </c>
      <c r="J1845" s="12" t="str">
        <f>HYPERLINK("https://www.boe.es/gazeta/dias/1805/02/22/pdfs/GMD-1805-16.pdf#page=5","Abrir facsímil")</f>
        <v>Abrir facsímil</v>
      </c>
      <c r="K1845" s="15" t="s">
        <v>22</v>
      </c>
    </row>
    <row r="1846" spans="1:11" ht="42" customHeight="1">
      <c r="A1846" s="4" t="s">
        <v>4621</v>
      </c>
      <c r="B1846" s="5" t="s">
        <v>4621</v>
      </c>
      <c r="C1846" s="5" t="s">
        <v>52</v>
      </c>
      <c r="D1846" s="5" t="s">
        <v>53</v>
      </c>
      <c r="E1846" s="5" t="s">
        <v>144</v>
      </c>
      <c r="F1846" s="9">
        <v>85</v>
      </c>
      <c r="G1846" s="9" t="s">
        <v>55</v>
      </c>
      <c r="H1846" s="5" t="s">
        <v>20</v>
      </c>
      <c r="I1846" s="5" t="s">
        <v>4622</v>
      </c>
      <c r="J1846" s="12" t="str">
        <f>HYPERLINK("https://www.boe.es/gazeta/dias/1805/10/22/pdfs/GMD-C-1805-85.pdf#page=4","Abrir facsímil")</f>
        <v>Abrir facsímil</v>
      </c>
      <c r="K1846" s="15" t="s">
        <v>22</v>
      </c>
    </row>
    <row r="1847" spans="1:11" ht="42" customHeight="1">
      <c r="A1847" s="4" t="s">
        <v>4623</v>
      </c>
      <c r="B1847" s="5" t="s">
        <v>4624</v>
      </c>
      <c r="C1847" s="5" t="s">
        <v>35</v>
      </c>
      <c r="D1847" s="5" t="s">
        <v>36</v>
      </c>
      <c r="E1847" s="5" t="s">
        <v>864</v>
      </c>
      <c r="F1847" s="9">
        <v>88</v>
      </c>
      <c r="G1847" s="9">
        <v>938</v>
      </c>
      <c r="H1847" s="5" t="s">
        <v>20</v>
      </c>
      <c r="I1847" s="5" t="s">
        <v>4625</v>
      </c>
      <c r="J1847" s="12" t="str">
        <f>HYPERLINK("https://www.boe.es/gazeta/dias/1805/11/01/pdfs/GMD-1805-88.pdf#page=10","Abrir facsímil")</f>
        <v>Abrir facsímil</v>
      </c>
      <c r="K1847" s="15" t="s">
        <v>22</v>
      </c>
    </row>
    <row r="1848" spans="1:11" ht="42" customHeight="1">
      <c r="A1848" s="4" t="s">
        <v>4626</v>
      </c>
      <c r="B1848" s="5" t="s">
        <v>4627</v>
      </c>
      <c r="C1848" s="5" t="s">
        <v>35</v>
      </c>
      <c r="D1848" s="5" t="s">
        <v>36</v>
      </c>
      <c r="E1848" s="5" t="s">
        <v>1445</v>
      </c>
      <c r="F1848" s="9">
        <v>6</v>
      </c>
      <c r="G1848" s="9">
        <v>66</v>
      </c>
      <c r="H1848" s="5" t="s">
        <v>20</v>
      </c>
      <c r="I1848" s="5" t="s">
        <v>4628</v>
      </c>
      <c r="J1848" s="12" t="str">
        <f>HYPERLINK("https://www.boe.es/gazeta/dias/1805/01/18/pdfs/GMD-1805-6.pdf#page=10","Abrir facsímil")</f>
        <v>Abrir facsímil</v>
      </c>
      <c r="K1848" s="15" t="s">
        <v>22</v>
      </c>
    </row>
    <row r="1849" spans="1:11" ht="42" customHeight="1">
      <c r="A1849" s="4" t="s">
        <v>4629</v>
      </c>
      <c r="B1849" s="5" t="s">
        <v>4630</v>
      </c>
      <c r="C1849" s="5" t="s">
        <v>80</v>
      </c>
      <c r="D1849" s="5" t="s">
        <v>81</v>
      </c>
      <c r="E1849" s="5" t="s">
        <v>552</v>
      </c>
      <c r="F1849" s="9">
        <v>94</v>
      </c>
      <c r="G1849" s="9">
        <v>1003</v>
      </c>
      <c r="H1849" s="5" t="s">
        <v>20</v>
      </c>
      <c r="I1849" s="5" t="s">
        <v>4631</v>
      </c>
      <c r="J1849" s="12" t="str">
        <f>HYPERLINK("https://www.boe.es/gazeta/dias/1805/11/22/pdfs/GMD-1805-94.pdf#page=3","Abrir facsímil")</f>
        <v>Abrir facsímil</v>
      </c>
      <c r="K1849" s="15" t="s">
        <v>22</v>
      </c>
    </row>
    <row r="1850" spans="1:11" ht="42" customHeight="1">
      <c r="A1850" s="4" t="s">
        <v>4629</v>
      </c>
      <c r="B1850" s="5" t="s">
        <v>4630</v>
      </c>
      <c r="C1850" s="5" t="s">
        <v>35</v>
      </c>
      <c r="D1850" s="5" t="s">
        <v>36</v>
      </c>
      <c r="E1850" s="5" t="s">
        <v>217</v>
      </c>
      <c r="F1850" s="9">
        <v>96</v>
      </c>
      <c r="G1850" s="9">
        <v>1026</v>
      </c>
      <c r="H1850" s="5" t="s">
        <v>20</v>
      </c>
      <c r="I1850" s="5" t="s">
        <v>4632</v>
      </c>
      <c r="J1850" s="12" t="str">
        <f>HYPERLINK("https://www.boe.es/gazeta/dias/1805/11/29/pdfs/GMD-1805-96.pdf#page=2","Abrir facsímil")</f>
        <v>Abrir facsímil</v>
      </c>
      <c r="K1850" s="15" t="s">
        <v>22</v>
      </c>
    </row>
    <row r="1851" spans="1:11" ht="42" customHeight="1">
      <c r="A1851" s="4" t="s">
        <v>4629</v>
      </c>
      <c r="B1851" s="5" t="s">
        <v>4630</v>
      </c>
      <c r="C1851" s="5" t="s">
        <v>80</v>
      </c>
      <c r="D1851" s="5" t="s">
        <v>81</v>
      </c>
      <c r="E1851" s="5" t="s">
        <v>138</v>
      </c>
      <c r="F1851" s="9">
        <v>102</v>
      </c>
      <c r="G1851" s="9">
        <v>1098</v>
      </c>
      <c r="H1851" s="5" t="s">
        <v>20</v>
      </c>
      <c r="I1851" s="5" t="s">
        <v>4633</v>
      </c>
      <c r="J1851" s="12" t="str">
        <f>HYPERLINK("https://www.boe.es/gazeta/dias/1805/12/20/pdfs/GMD-1805-102.pdf#page=2","Abrir facsímil")</f>
        <v>Abrir facsímil</v>
      </c>
      <c r="K1851" s="15" t="s">
        <v>22</v>
      </c>
    </row>
    <row r="1852" spans="1:11" ht="42" customHeight="1">
      <c r="A1852" s="4" t="s">
        <v>4634</v>
      </c>
      <c r="B1852" s="5" t="s">
        <v>4635</v>
      </c>
      <c r="C1852" s="5" t="s">
        <v>17</v>
      </c>
      <c r="D1852" s="5" t="s">
        <v>18</v>
      </c>
      <c r="E1852" s="5" t="s">
        <v>276</v>
      </c>
      <c r="F1852" s="9">
        <v>51</v>
      </c>
      <c r="G1852" s="9">
        <v>550</v>
      </c>
      <c r="H1852" s="5" t="s">
        <v>20</v>
      </c>
      <c r="I1852" s="5" t="s">
        <v>4636</v>
      </c>
      <c r="J1852" s="12" t="str">
        <f>HYPERLINK("https://www.boe.es/gazeta/dias/1805/06/25/pdfs/GMD-1805-51.pdf#page=6","Abrir facsímil")</f>
        <v>Abrir facsímil</v>
      </c>
      <c r="K1852" s="15" t="s">
        <v>22</v>
      </c>
    </row>
    <row r="1853" spans="1:11" ht="42" customHeight="1">
      <c r="A1853" s="4" t="s">
        <v>4637</v>
      </c>
      <c r="B1853" s="5" t="s">
        <v>4638</v>
      </c>
      <c r="C1853" s="5" t="s">
        <v>35</v>
      </c>
      <c r="D1853" s="5" t="s">
        <v>36</v>
      </c>
      <c r="E1853" s="5" t="s">
        <v>200</v>
      </c>
      <c r="F1853" s="9">
        <v>91</v>
      </c>
      <c r="G1853" s="9">
        <v>977</v>
      </c>
      <c r="H1853" s="5" t="s">
        <v>20</v>
      </c>
      <c r="I1853" s="5" t="s">
        <v>4639</v>
      </c>
      <c r="J1853" s="12" t="str">
        <f>HYPERLINK("https://www.boe.es/gazeta/dias/1805/11/12/pdfs/GMD-1805-91.pdf#page=9","Abrir facsímil")</f>
        <v>Abrir facsímil</v>
      </c>
      <c r="K1853" s="15" t="s">
        <v>22</v>
      </c>
    </row>
    <row r="1854" spans="1:11" ht="42" customHeight="1">
      <c r="A1854" s="4" t="s">
        <v>4640</v>
      </c>
      <c r="B1854" s="5" t="s">
        <v>4641</v>
      </c>
      <c r="C1854" s="5" t="s">
        <v>52</v>
      </c>
      <c r="D1854" s="5" t="s">
        <v>53</v>
      </c>
      <c r="E1854" s="5" t="s">
        <v>144</v>
      </c>
      <c r="F1854" s="9">
        <v>85</v>
      </c>
      <c r="G1854" s="9" t="s">
        <v>55</v>
      </c>
      <c r="H1854" s="5" t="s">
        <v>20</v>
      </c>
      <c r="I1854" s="5" t="s">
        <v>4642</v>
      </c>
      <c r="J1854" s="12" t="str">
        <f>HYPERLINK("https://www.boe.es/gazeta/dias/1805/10/22/pdfs/GMD-C-1805-85.pdf#page=4","Abrir facsímil")</f>
        <v>Abrir facsímil</v>
      </c>
      <c r="K1854" s="15" t="s">
        <v>22</v>
      </c>
    </row>
    <row r="1855" spans="1:11" ht="42" customHeight="1">
      <c r="A1855" s="4" t="s">
        <v>4643</v>
      </c>
      <c r="B1855" s="5" t="s">
        <v>4643</v>
      </c>
      <c r="C1855" s="5" t="s">
        <v>85</v>
      </c>
      <c r="D1855" s="5" t="s">
        <v>86</v>
      </c>
      <c r="E1855" s="5" t="s">
        <v>286</v>
      </c>
      <c r="F1855" s="9">
        <v>48</v>
      </c>
      <c r="G1855" s="9">
        <v>522</v>
      </c>
      <c r="H1855" s="5" t="s">
        <v>20</v>
      </c>
      <c r="I1855" s="5" t="s">
        <v>4644</v>
      </c>
      <c r="J1855" s="12" t="str">
        <f>HYPERLINK("https://www.boe.es/gazeta/dias/1805/06/14/pdfs/GMD-1805-48.pdf#page=10","Abrir facsímil")</f>
        <v>Abrir facsímil</v>
      </c>
      <c r="K1855" s="15" t="s">
        <v>22</v>
      </c>
    </row>
    <row r="1856" spans="1:11" ht="42" customHeight="1">
      <c r="A1856" s="4" t="s">
        <v>4645</v>
      </c>
      <c r="B1856" s="5" t="s">
        <v>4646</v>
      </c>
      <c r="C1856" s="5" t="s">
        <v>80</v>
      </c>
      <c r="D1856" s="5" t="s">
        <v>81</v>
      </c>
      <c r="E1856" s="5" t="s">
        <v>48</v>
      </c>
      <c r="F1856" s="9">
        <v>35</v>
      </c>
      <c r="G1856" s="9">
        <v>373</v>
      </c>
      <c r="H1856" s="5" t="s">
        <v>20</v>
      </c>
      <c r="I1856" s="5" t="s">
        <v>4647</v>
      </c>
      <c r="J1856" s="12" t="str">
        <f>HYPERLINK("https://www.boe.es/gazeta/dias/1805/04/30/pdfs/GMD-1805-35.pdf#page=5","Abrir facsímil")</f>
        <v>Abrir facsímil</v>
      </c>
      <c r="K1856" s="15" t="s">
        <v>22</v>
      </c>
    </row>
    <row r="1857" spans="1:11" ht="42" customHeight="1">
      <c r="A1857" s="4" t="s">
        <v>4645</v>
      </c>
      <c r="B1857" s="5" t="s">
        <v>4646</v>
      </c>
      <c r="C1857" s="5" t="s">
        <v>80</v>
      </c>
      <c r="D1857" s="5" t="s">
        <v>81</v>
      </c>
      <c r="E1857" s="5" t="s">
        <v>335</v>
      </c>
      <c r="F1857" s="9">
        <v>79</v>
      </c>
      <c r="G1857" s="9">
        <v>832</v>
      </c>
      <c r="H1857" s="5" t="s">
        <v>20</v>
      </c>
      <c r="I1857" s="5" t="s">
        <v>4648</v>
      </c>
      <c r="J1857" s="12" t="str">
        <f>HYPERLINK("https://www.boe.es/gazeta/dias/1805/10/01/pdfs/GMD-1805-79.pdf#page=4","Abrir facsímil")</f>
        <v>Abrir facsímil</v>
      </c>
      <c r="K1857" s="15" t="s">
        <v>22</v>
      </c>
    </row>
    <row r="1858" spans="1:11" ht="42" customHeight="1">
      <c r="A1858" s="4" t="s">
        <v>4649</v>
      </c>
      <c r="B1858" s="5" t="s">
        <v>4649</v>
      </c>
      <c r="C1858" s="5" t="s">
        <v>17</v>
      </c>
      <c r="D1858" s="5" t="s">
        <v>18</v>
      </c>
      <c r="E1858" s="5" t="s">
        <v>114</v>
      </c>
      <c r="F1858" s="9">
        <v>17</v>
      </c>
      <c r="G1858" s="9">
        <v>176</v>
      </c>
      <c r="H1858" s="5" t="s">
        <v>20</v>
      </c>
      <c r="I1858" s="5" t="s">
        <v>4650</v>
      </c>
      <c r="J1858" s="12" t="str">
        <f>HYPERLINK("https://www.boe.es/gazeta/dias/1805/02/26/pdfs/GMD-1805-17.pdf#page=8","Abrir facsímil")</f>
        <v>Abrir facsímil</v>
      </c>
      <c r="K1858" s="15" t="s">
        <v>22</v>
      </c>
    </row>
    <row r="1859" spans="1:11" ht="42" customHeight="1">
      <c r="A1859" s="4" t="s">
        <v>4651</v>
      </c>
      <c r="B1859" s="5" t="s">
        <v>4652</v>
      </c>
      <c r="C1859" s="5" t="s">
        <v>29</v>
      </c>
      <c r="D1859" s="5" t="s">
        <v>30</v>
      </c>
      <c r="E1859" s="5" t="s">
        <v>1494</v>
      </c>
      <c r="F1859" s="9">
        <v>31</v>
      </c>
      <c r="G1859" s="9">
        <v>336</v>
      </c>
      <c r="H1859" s="5" t="s">
        <v>20</v>
      </c>
      <c r="I1859" s="5" t="s">
        <v>4653</v>
      </c>
      <c r="J1859" s="12" t="str">
        <f>HYPERLINK("https://www.boe.es/gazeta/dias/1805/04/16/pdfs/GMD-1805-31.pdf#page=12","Abrir facsímil")</f>
        <v>Abrir facsímil</v>
      </c>
      <c r="K1859" s="15" t="s">
        <v>22</v>
      </c>
    </row>
    <row r="1860" spans="1:11" ht="42" customHeight="1">
      <c r="A1860" s="4" t="s">
        <v>4654</v>
      </c>
      <c r="B1860" s="5" t="s">
        <v>4655</v>
      </c>
      <c r="C1860" s="5" t="s">
        <v>80</v>
      </c>
      <c r="D1860" s="5" t="s">
        <v>81</v>
      </c>
      <c r="E1860" s="5" t="s">
        <v>789</v>
      </c>
      <c r="F1860" s="9">
        <v>104</v>
      </c>
      <c r="G1860" s="9">
        <v>1120</v>
      </c>
      <c r="H1860" s="5" t="s">
        <v>20</v>
      </c>
      <c r="I1860" s="5" t="s">
        <v>4656</v>
      </c>
      <c r="J1860" s="12" t="str">
        <f>HYPERLINK("https://www.boe.es/gazeta/dias/1805/12/27/pdfs/GMD-1805-104.pdf#page=4","Abrir facsímil")</f>
        <v>Abrir facsímil</v>
      </c>
      <c r="K1860" s="15" t="s">
        <v>22</v>
      </c>
    </row>
    <row r="1861" spans="1:11" ht="42" customHeight="1">
      <c r="A1861" s="4" t="s">
        <v>4657</v>
      </c>
      <c r="B1861" s="5" t="s">
        <v>4658</v>
      </c>
      <c r="C1861" s="5" t="s">
        <v>29</v>
      </c>
      <c r="D1861" s="5" t="s">
        <v>30</v>
      </c>
      <c r="E1861" s="5" t="s">
        <v>300</v>
      </c>
      <c r="F1861" s="9">
        <v>81</v>
      </c>
      <c r="G1861" s="9">
        <v>857</v>
      </c>
      <c r="H1861" s="5" t="s">
        <v>20</v>
      </c>
      <c r="I1861" s="5" t="s">
        <v>4659</v>
      </c>
      <c r="J1861" s="12" t="str">
        <f>HYPERLINK("https://www.boe.es/gazeta/dias/1805/10/08/pdfs/GMD-1805-81.pdf#page=5","Abrir facsímil")</f>
        <v>Abrir facsímil</v>
      </c>
      <c r="K1861" s="15" t="s">
        <v>22</v>
      </c>
    </row>
    <row r="1862" spans="1:11" ht="42" customHeight="1">
      <c r="A1862" s="4" t="s">
        <v>4660</v>
      </c>
      <c r="B1862" s="5" t="s">
        <v>4661</v>
      </c>
      <c r="C1862" s="5" t="s">
        <v>85</v>
      </c>
      <c r="D1862" s="5" t="s">
        <v>86</v>
      </c>
      <c r="E1862" s="5" t="s">
        <v>290</v>
      </c>
      <c r="F1862" s="9">
        <v>36</v>
      </c>
      <c r="G1862" s="9">
        <v>388</v>
      </c>
      <c r="H1862" s="5" t="s">
        <v>20</v>
      </c>
      <c r="I1862" s="5" t="s">
        <v>4662</v>
      </c>
      <c r="J1862" s="12" t="str">
        <f>HYPERLINK("https://www.boe.es/gazeta/dias/1805/05/03/pdfs/GMD-1805-36.pdf#page=8","Abrir facsímil")</f>
        <v>Abrir facsímil</v>
      </c>
      <c r="K1862" s="15" t="s">
        <v>22</v>
      </c>
    </row>
    <row r="1863" spans="1:11" ht="42" customHeight="1">
      <c r="A1863" s="4" t="s">
        <v>4663</v>
      </c>
      <c r="B1863" s="5" t="s">
        <v>4664</v>
      </c>
      <c r="C1863" s="5" t="s">
        <v>80</v>
      </c>
      <c r="D1863" s="5" t="s">
        <v>81</v>
      </c>
      <c r="E1863" s="5" t="s">
        <v>393</v>
      </c>
      <c r="F1863" s="9">
        <v>44</v>
      </c>
      <c r="G1863" s="9">
        <v>467</v>
      </c>
      <c r="H1863" s="5" t="s">
        <v>20</v>
      </c>
      <c r="I1863" s="5" t="s">
        <v>4665</v>
      </c>
      <c r="J1863" s="12" t="str">
        <f>HYPERLINK("https://www.boe.es/gazeta/dias/1805/05/31/pdfs/GMD-1805-44.pdf#page=3","Abrir facsímil")</f>
        <v>Abrir facsímil</v>
      </c>
      <c r="K1863" s="15" t="s">
        <v>22</v>
      </c>
    </row>
    <row r="1864" spans="1:11" ht="42" customHeight="1">
      <c r="A1864" s="4" t="s">
        <v>4666</v>
      </c>
      <c r="B1864" s="5" t="s">
        <v>4667</v>
      </c>
      <c r="C1864" s="5" t="s">
        <v>35</v>
      </c>
      <c r="D1864" s="5" t="s">
        <v>36</v>
      </c>
      <c r="E1864" s="5" t="s">
        <v>296</v>
      </c>
      <c r="F1864" s="9">
        <v>26</v>
      </c>
      <c r="G1864" s="9">
        <v>277</v>
      </c>
      <c r="H1864" s="5" t="s">
        <v>20</v>
      </c>
      <c r="I1864" s="5" t="s">
        <v>4668</v>
      </c>
      <c r="J1864" s="12" t="str">
        <f>HYPERLINK("https://www.boe.es/gazeta/dias/1805/03/29/pdfs/GMD-1805-26.pdf#page=9","Abrir facsímil")</f>
        <v>Abrir facsímil</v>
      </c>
      <c r="K1864" s="15" t="s">
        <v>22</v>
      </c>
    </row>
    <row r="1865" spans="1:11" ht="42" customHeight="1">
      <c r="A1865" s="4" t="s">
        <v>4669</v>
      </c>
      <c r="B1865" s="5" t="s">
        <v>4670</v>
      </c>
      <c r="C1865" s="5" t="s">
        <v>35</v>
      </c>
      <c r="D1865" s="5" t="s">
        <v>36</v>
      </c>
      <c r="E1865" s="5" t="s">
        <v>352</v>
      </c>
      <c r="F1865" s="9">
        <v>60</v>
      </c>
      <c r="G1865" s="9">
        <v>643</v>
      </c>
      <c r="H1865" s="5" t="s">
        <v>20</v>
      </c>
      <c r="I1865" s="5" t="s">
        <v>4671</v>
      </c>
      <c r="J1865" s="12" t="str">
        <f>HYPERLINK("https://www.boe.es/gazeta/dias/1805/07/26/pdfs/GMD-1805-60.pdf#page=7","Abrir facsímil")</f>
        <v>Abrir facsímil</v>
      </c>
      <c r="K1865" s="15" t="s">
        <v>22</v>
      </c>
    </row>
    <row r="1866" spans="1:11" ht="42" customHeight="1">
      <c r="A1866" s="4" t="s">
        <v>4672</v>
      </c>
      <c r="B1866" s="5" t="s">
        <v>4672</v>
      </c>
      <c r="C1866" s="5" t="s">
        <v>29</v>
      </c>
      <c r="D1866" s="5" t="s">
        <v>30</v>
      </c>
      <c r="E1866" s="5" t="s">
        <v>196</v>
      </c>
      <c r="F1866" s="9">
        <v>67</v>
      </c>
      <c r="G1866" s="9">
        <v>720</v>
      </c>
      <c r="H1866" s="5" t="s">
        <v>20</v>
      </c>
      <c r="I1866" s="5" t="s">
        <v>4673</v>
      </c>
      <c r="J1866" s="12" t="str">
        <f>HYPERLINK("https://www.boe.es/gazeta/dias/1805/08/20/pdfs/GMD-1805-67.pdf#page=8","Abrir facsímil")</f>
        <v>Abrir facsímil</v>
      </c>
      <c r="K1866" s="15" t="s">
        <v>22</v>
      </c>
    </row>
    <row r="1867" spans="1:11" ht="42" customHeight="1">
      <c r="A1867" s="4" t="s">
        <v>4674</v>
      </c>
      <c r="B1867" s="5" t="s">
        <v>4674</v>
      </c>
      <c r="C1867" s="5" t="s">
        <v>17</v>
      </c>
      <c r="D1867" s="5" t="s">
        <v>18</v>
      </c>
      <c r="E1867" s="5" t="s">
        <v>303</v>
      </c>
      <c r="F1867" s="9">
        <v>57</v>
      </c>
      <c r="G1867" s="9">
        <v>616</v>
      </c>
      <c r="H1867" s="5" t="s">
        <v>20</v>
      </c>
      <c r="I1867" s="5" t="s">
        <v>4675</v>
      </c>
      <c r="J1867" s="12" t="str">
        <f>HYPERLINK("https://www.boe.es/gazeta/dias/1805/07/16/pdfs/GMD-1805-57.pdf#page=12","Abrir facsímil")</f>
        <v>Abrir facsímil</v>
      </c>
      <c r="K1867" s="15" t="s">
        <v>22</v>
      </c>
    </row>
    <row r="1868" spans="1:11" ht="42" customHeight="1">
      <c r="A1868" s="4" t="s">
        <v>4676</v>
      </c>
      <c r="B1868" s="5" t="s">
        <v>4676</v>
      </c>
      <c r="C1868" s="5" t="s">
        <v>17</v>
      </c>
      <c r="D1868" s="5" t="s">
        <v>18</v>
      </c>
      <c r="E1868" s="5" t="s">
        <v>303</v>
      </c>
      <c r="F1868" s="9">
        <v>57</v>
      </c>
      <c r="G1868" s="9">
        <v>616</v>
      </c>
      <c r="H1868" s="5" t="s">
        <v>20</v>
      </c>
      <c r="I1868" s="5" t="s">
        <v>4677</v>
      </c>
      <c r="J1868" s="12" t="str">
        <f>HYPERLINK("https://www.boe.es/gazeta/dias/1805/07/16/pdfs/GMD-1805-57.pdf#page=12","Abrir facsímil")</f>
        <v>Abrir facsímil</v>
      </c>
      <c r="K1868" s="15" t="s">
        <v>22</v>
      </c>
    </row>
    <row r="1869" spans="1:11" ht="42" customHeight="1">
      <c r="A1869" s="4" t="s">
        <v>4678</v>
      </c>
      <c r="B1869" s="5" t="s">
        <v>4679</v>
      </c>
      <c r="C1869" s="5" t="s">
        <v>35</v>
      </c>
      <c r="D1869" s="5" t="s">
        <v>36</v>
      </c>
      <c r="E1869" s="5" t="s">
        <v>363</v>
      </c>
      <c r="F1869" s="9">
        <v>1</v>
      </c>
      <c r="G1869" s="9">
        <v>5</v>
      </c>
      <c r="H1869" s="5" t="s">
        <v>20</v>
      </c>
      <c r="I1869" s="5" t="s">
        <v>4680</v>
      </c>
      <c r="J1869" s="12" t="str">
        <f>HYPERLINK("https://www.boe.es/gazeta/dias/1805/01/01/pdfs/GMD-1805-1.pdf#page=5","Abrir facsímil")</f>
        <v>Abrir facsímil</v>
      </c>
      <c r="K1869" s="15" t="s">
        <v>22</v>
      </c>
    </row>
    <row r="1870" spans="1:11" ht="42" customHeight="1">
      <c r="A1870" s="4" t="s">
        <v>4681</v>
      </c>
      <c r="B1870" s="5" t="s">
        <v>4682</v>
      </c>
      <c r="C1870" s="5" t="s">
        <v>80</v>
      </c>
      <c r="D1870" s="5" t="s">
        <v>81</v>
      </c>
      <c r="E1870" s="5" t="s">
        <v>552</v>
      </c>
      <c r="F1870" s="9">
        <v>94</v>
      </c>
      <c r="G1870" s="9">
        <v>1007</v>
      </c>
      <c r="H1870" s="5" t="s">
        <v>20</v>
      </c>
      <c r="I1870" s="5" t="s">
        <v>4683</v>
      </c>
      <c r="J1870" s="12" t="str">
        <f>HYPERLINK("https://www.boe.es/gazeta/dias/1805/11/22/pdfs/GMD-1805-94.pdf#page=7","Abrir facsímil")</f>
        <v>Abrir facsímil</v>
      </c>
      <c r="K1870" s="15" t="s">
        <v>22</v>
      </c>
    </row>
    <row r="1871" spans="1:11" ht="42" customHeight="1">
      <c r="A1871" s="4" t="s">
        <v>4681</v>
      </c>
      <c r="B1871" s="5" t="s">
        <v>4682</v>
      </c>
      <c r="C1871" s="5" t="s">
        <v>184</v>
      </c>
      <c r="D1871" s="5" t="s">
        <v>86</v>
      </c>
      <c r="E1871" s="5" t="s">
        <v>539</v>
      </c>
      <c r="F1871" s="9">
        <v>97</v>
      </c>
      <c r="G1871" s="9">
        <v>1042</v>
      </c>
      <c r="H1871" s="5" t="s">
        <v>20</v>
      </c>
      <c r="I1871" s="5" t="s">
        <v>4684</v>
      </c>
      <c r="J1871" s="12" t="str">
        <f>HYPERLINK("https://www.boe.es/gazeta/dias/1805/12/03/pdfs/GMD-1805-97.pdf#page=6","Abrir facsímil")</f>
        <v>Abrir facsímil</v>
      </c>
      <c r="K1871" s="15" t="s">
        <v>22</v>
      </c>
    </row>
    <row r="1872" spans="1:11" ht="42" customHeight="1">
      <c r="A1872" s="4" t="s">
        <v>4685</v>
      </c>
      <c r="B1872" s="5" t="s">
        <v>4686</v>
      </c>
      <c r="C1872" s="5" t="s">
        <v>35</v>
      </c>
      <c r="D1872" s="5" t="s">
        <v>36</v>
      </c>
      <c r="E1872" s="5" t="s">
        <v>854</v>
      </c>
      <c r="F1872" s="9">
        <v>46</v>
      </c>
      <c r="G1872" s="9">
        <v>490</v>
      </c>
      <c r="H1872" s="5" t="s">
        <v>20</v>
      </c>
      <c r="I1872" s="5" t="s">
        <v>4687</v>
      </c>
      <c r="J1872" s="12" t="str">
        <f>HYPERLINK("https://www.boe.es/gazeta/dias/1805/06/07/pdfs/GMD-1805-46.pdf#page=2","Abrir facsímil")</f>
        <v>Abrir facsímil</v>
      </c>
      <c r="K1872" s="15" t="s">
        <v>22</v>
      </c>
    </row>
    <row r="1873" spans="1:11" ht="42" customHeight="1">
      <c r="A1873" s="4" t="s">
        <v>4688</v>
      </c>
      <c r="B1873" s="5" t="s">
        <v>4689</v>
      </c>
      <c r="C1873" s="5" t="s">
        <v>17</v>
      </c>
      <c r="D1873" s="5" t="s">
        <v>18</v>
      </c>
      <c r="E1873" s="5" t="s">
        <v>91</v>
      </c>
      <c r="F1873" s="9">
        <v>28</v>
      </c>
      <c r="G1873" s="9">
        <v>304</v>
      </c>
      <c r="H1873" s="5" t="s">
        <v>20</v>
      </c>
      <c r="I1873" s="5" t="s">
        <v>4690</v>
      </c>
      <c r="J1873" s="12" t="str">
        <f>HYPERLINK("https://www.boe.es/gazeta/dias/1805/04/05/pdfs/GMD-1805-28.pdf#page=12","Abrir facsímil")</f>
        <v>Abrir facsímil</v>
      </c>
      <c r="K1873" s="15" t="s">
        <v>22</v>
      </c>
    </row>
    <row r="1874" spans="1:11" ht="42" customHeight="1">
      <c r="A1874" s="4" t="s">
        <v>4691</v>
      </c>
      <c r="B1874" s="5" t="s">
        <v>4692</v>
      </c>
      <c r="C1874" s="5" t="s">
        <v>35</v>
      </c>
      <c r="D1874" s="5" t="s">
        <v>36</v>
      </c>
      <c r="E1874" s="5" t="s">
        <v>48</v>
      </c>
      <c r="F1874" s="9">
        <v>35</v>
      </c>
      <c r="G1874" s="9">
        <v>374</v>
      </c>
      <c r="H1874" s="5" t="s">
        <v>20</v>
      </c>
      <c r="I1874" s="5" t="s">
        <v>4693</v>
      </c>
      <c r="J1874" s="12" t="str">
        <f>HYPERLINK("https://www.boe.es/gazeta/dias/1805/04/30/pdfs/GMD-1805-35.pdf#page=6","Abrir facsímil")</f>
        <v>Abrir facsímil</v>
      </c>
      <c r="K1874" s="15" t="s">
        <v>22</v>
      </c>
    </row>
    <row r="1875" spans="1:11" ht="42" customHeight="1">
      <c r="A1875" s="4" t="s">
        <v>4694</v>
      </c>
      <c r="B1875" s="5" t="s">
        <v>4694</v>
      </c>
      <c r="C1875" s="5" t="s">
        <v>17</v>
      </c>
      <c r="D1875" s="5" t="s">
        <v>18</v>
      </c>
      <c r="E1875" s="5" t="s">
        <v>850</v>
      </c>
      <c r="F1875" s="9">
        <v>42</v>
      </c>
      <c r="G1875" s="9">
        <v>448</v>
      </c>
      <c r="H1875" s="5" t="s">
        <v>20</v>
      </c>
      <c r="I1875" s="5" t="s">
        <v>4695</v>
      </c>
      <c r="J1875" s="12" t="str">
        <f>HYPERLINK("https://www.boe.es/gazeta/dias/1805/05/24/pdfs/GMD-1805-42.pdf#page=4","Abrir facsímil")</f>
        <v>Abrir facsímil</v>
      </c>
      <c r="K1875" s="15" t="s">
        <v>22</v>
      </c>
    </row>
    <row r="1876" spans="1:11" ht="42" customHeight="1">
      <c r="A1876" s="4" t="s">
        <v>4696</v>
      </c>
      <c r="B1876" s="5" t="s">
        <v>4697</v>
      </c>
      <c r="C1876" s="5" t="s">
        <v>17</v>
      </c>
      <c r="D1876" s="5" t="s">
        <v>18</v>
      </c>
      <c r="E1876" s="5" t="s">
        <v>117</v>
      </c>
      <c r="F1876" s="9">
        <v>20</v>
      </c>
      <c r="G1876" s="9">
        <v>205</v>
      </c>
      <c r="H1876" s="5" t="s">
        <v>20</v>
      </c>
      <c r="I1876" s="5" t="s">
        <v>4698</v>
      </c>
      <c r="J1876" s="12" t="str">
        <f>HYPERLINK("https://www.boe.es/gazeta/dias/1805/03/08/pdfs/GMD-1805-20.pdf#page=5","Abrir facsímil")</f>
        <v>Abrir facsímil</v>
      </c>
      <c r="K1876" s="15" t="s">
        <v>22</v>
      </c>
    </row>
    <row r="1877" spans="1:11" ht="42" customHeight="1">
      <c r="A1877" s="4" t="s">
        <v>4699</v>
      </c>
      <c r="B1877" s="5" t="s">
        <v>4700</v>
      </c>
      <c r="C1877" s="5" t="s">
        <v>80</v>
      </c>
      <c r="D1877" s="5" t="s">
        <v>81</v>
      </c>
      <c r="E1877" s="5" t="s">
        <v>512</v>
      </c>
      <c r="F1877" s="9">
        <v>100</v>
      </c>
      <c r="G1877" s="9">
        <v>1077</v>
      </c>
      <c r="H1877" s="5" t="s">
        <v>20</v>
      </c>
      <c r="I1877" s="5" t="s">
        <v>4701</v>
      </c>
      <c r="J1877" s="12" t="str">
        <f>HYPERLINK("https://www.boe.es/gazeta/dias/1805/12/13/pdfs/GMD-1805-100.pdf#page=5","Abrir facsímil")</f>
        <v>Abrir facsímil</v>
      </c>
      <c r="K1877" s="15" t="s">
        <v>22</v>
      </c>
    </row>
    <row r="1878" spans="1:11" ht="42" customHeight="1">
      <c r="A1878" s="4" t="s">
        <v>4702</v>
      </c>
      <c r="B1878" s="5" t="s">
        <v>4703</v>
      </c>
      <c r="C1878" s="5" t="s">
        <v>80</v>
      </c>
      <c r="D1878" s="5" t="s">
        <v>81</v>
      </c>
      <c r="E1878" s="5" t="s">
        <v>217</v>
      </c>
      <c r="F1878" s="9">
        <v>96</v>
      </c>
      <c r="G1878" s="9">
        <v>1026</v>
      </c>
      <c r="H1878" s="5" t="s">
        <v>20</v>
      </c>
      <c r="I1878" s="5" t="s">
        <v>4704</v>
      </c>
      <c r="J1878" s="12" t="str">
        <f>HYPERLINK("https://www.boe.es/gazeta/dias/1805/11/29/pdfs/GMD-1805-96.pdf#page=2","Abrir facsímil")</f>
        <v>Abrir facsímil</v>
      </c>
      <c r="K1878" s="15" t="s">
        <v>22</v>
      </c>
    </row>
    <row r="1879" spans="1:11" ht="42" customHeight="1">
      <c r="A1879" s="4" t="s">
        <v>4705</v>
      </c>
      <c r="B1879" s="5" t="s">
        <v>4706</v>
      </c>
      <c r="C1879" s="5" t="s">
        <v>35</v>
      </c>
      <c r="D1879" s="5" t="s">
        <v>36</v>
      </c>
      <c r="E1879" s="5" t="s">
        <v>1292</v>
      </c>
      <c r="F1879" s="9">
        <v>43</v>
      </c>
      <c r="G1879" s="9">
        <v>457</v>
      </c>
      <c r="H1879" s="5" t="s">
        <v>20</v>
      </c>
      <c r="I1879" s="5" t="s">
        <v>4707</v>
      </c>
      <c r="J1879" s="12" t="str">
        <f>HYPERLINK("https://www.boe.es/gazeta/dias/1805/05/28/pdfs/GMD-1805-43.pdf#page=1","Abrir facsímil")</f>
        <v>Abrir facsímil</v>
      </c>
      <c r="K1879" s="15" t="s">
        <v>22</v>
      </c>
    </row>
    <row r="1880" spans="1:11" ht="42" customHeight="1">
      <c r="A1880" s="4" t="s">
        <v>4708</v>
      </c>
      <c r="B1880" s="5" t="s">
        <v>4709</v>
      </c>
      <c r="C1880" s="5" t="s">
        <v>184</v>
      </c>
      <c r="D1880" s="5" t="s">
        <v>86</v>
      </c>
      <c r="E1880" s="5" t="s">
        <v>399</v>
      </c>
      <c r="F1880" s="9">
        <v>39</v>
      </c>
      <c r="G1880" s="9">
        <v>424</v>
      </c>
      <c r="H1880" s="5" t="s">
        <v>20</v>
      </c>
      <c r="I1880" s="5" t="s">
        <v>4710</v>
      </c>
      <c r="J1880" s="12" t="str">
        <f>HYPERLINK("https://www.boe.es/gazeta/dias/1805/05/14/pdfs/GMD-1805-39.pdf#page=12","Abrir facsímil")</f>
        <v>Abrir facsímil</v>
      </c>
      <c r="K1880" s="15" t="s">
        <v>22</v>
      </c>
    </row>
    <row r="1881" spans="1:11" ht="42" customHeight="1">
      <c r="A1881" s="4" t="s">
        <v>4708</v>
      </c>
      <c r="B1881" s="5" t="s">
        <v>4709</v>
      </c>
      <c r="C1881" s="5" t="s">
        <v>184</v>
      </c>
      <c r="D1881" s="5" t="s">
        <v>86</v>
      </c>
      <c r="E1881" s="5" t="s">
        <v>40</v>
      </c>
      <c r="F1881" s="9">
        <v>59</v>
      </c>
      <c r="G1881" s="9">
        <v>634</v>
      </c>
      <c r="H1881" s="5" t="s">
        <v>20</v>
      </c>
      <c r="I1881" s="5" t="s">
        <v>4711</v>
      </c>
      <c r="J1881" s="12" t="str">
        <f>HYPERLINK("https://www.boe.es/gazeta/dias/1805/07/23/pdfs/GMD-1805-59.pdf#page=10","Abrir facsímil")</f>
        <v>Abrir facsímil</v>
      </c>
      <c r="K1881" s="15" t="s">
        <v>22</v>
      </c>
    </row>
    <row r="1882" spans="1:11" ht="42" customHeight="1">
      <c r="A1882" s="4" t="s">
        <v>4712</v>
      </c>
      <c r="B1882" s="5" t="s">
        <v>4713</v>
      </c>
      <c r="C1882" s="5" t="s">
        <v>35</v>
      </c>
      <c r="D1882" s="5" t="s">
        <v>36</v>
      </c>
      <c r="E1882" s="5" t="s">
        <v>904</v>
      </c>
      <c r="F1882" s="9">
        <v>47</v>
      </c>
      <c r="G1882" s="9">
        <v>509</v>
      </c>
      <c r="H1882" s="5" t="s">
        <v>20</v>
      </c>
      <c r="I1882" s="5" t="s">
        <v>4714</v>
      </c>
      <c r="J1882" s="12" t="str">
        <f>HYPERLINK("https://www.boe.es/gazeta/dias/1805/06/11/pdfs/GMD-1805-47.pdf#page=9","Abrir facsímil")</f>
        <v>Abrir facsímil</v>
      </c>
      <c r="K1882" s="15" t="s">
        <v>22</v>
      </c>
    </row>
    <row r="1883" spans="1:11" ht="42" customHeight="1">
      <c r="A1883" s="4" t="s">
        <v>4712</v>
      </c>
      <c r="B1883" s="5" t="s">
        <v>4713</v>
      </c>
      <c r="C1883" s="5" t="s">
        <v>35</v>
      </c>
      <c r="D1883" s="5" t="s">
        <v>36</v>
      </c>
      <c r="E1883" s="5" t="s">
        <v>276</v>
      </c>
      <c r="F1883" s="9">
        <v>51</v>
      </c>
      <c r="G1883" s="9">
        <v>551</v>
      </c>
      <c r="H1883" s="5" t="s">
        <v>20</v>
      </c>
      <c r="I1883" s="5" t="s">
        <v>4715</v>
      </c>
      <c r="J1883" s="12" t="str">
        <f>HYPERLINK("https://www.boe.es/gazeta/dias/1805/06/25/pdfs/GMD-1805-51.pdf#page=7","Abrir facsímil")</f>
        <v>Abrir facsímil</v>
      </c>
      <c r="K1883" s="15" t="s">
        <v>22</v>
      </c>
    </row>
    <row r="1884" spans="1:11" ht="42" customHeight="1">
      <c r="A1884" s="4" t="s">
        <v>4716</v>
      </c>
      <c r="B1884" s="5" t="s">
        <v>4716</v>
      </c>
      <c r="C1884" s="5" t="s">
        <v>80</v>
      </c>
      <c r="D1884" s="5" t="s">
        <v>81</v>
      </c>
      <c r="E1884" s="5" t="s">
        <v>48</v>
      </c>
      <c r="F1884" s="9">
        <v>35</v>
      </c>
      <c r="G1884" s="9">
        <v>376</v>
      </c>
      <c r="H1884" s="5" t="s">
        <v>20</v>
      </c>
      <c r="I1884" s="5" t="s">
        <v>4717</v>
      </c>
      <c r="J1884" s="12" t="str">
        <f>HYPERLINK("https://www.boe.es/gazeta/dias/1805/04/30/pdfs/GMD-1805-35.pdf#page=8","Abrir facsímil")</f>
        <v>Abrir facsímil</v>
      </c>
      <c r="K1884" s="15" t="s">
        <v>22</v>
      </c>
    </row>
    <row r="1885" spans="1:11" ht="42" customHeight="1">
      <c r="A1885" s="4" t="s">
        <v>4718</v>
      </c>
      <c r="B1885" s="5" t="s">
        <v>4719</v>
      </c>
      <c r="C1885" s="5" t="s">
        <v>184</v>
      </c>
      <c r="D1885" s="5" t="s">
        <v>86</v>
      </c>
      <c r="E1885" s="5" t="s">
        <v>120</v>
      </c>
      <c r="F1885" s="9">
        <v>24</v>
      </c>
      <c r="G1885" s="9">
        <v>258</v>
      </c>
      <c r="H1885" s="5" t="s">
        <v>20</v>
      </c>
      <c r="I1885" s="5" t="s">
        <v>4720</v>
      </c>
      <c r="J1885" s="12" t="str">
        <f>HYPERLINK("https://www.boe.es/gazeta/dias/1805/03/22/pdfs/GMD-1805-24.pdf#page=10","Abrir facsímil")</f>
        <v>Abrir facsímil</v>
      </c>
      <c r="K1885" s="15" t="s">
        <v>22</v>
      </c>
    </row>
    <row r="1886" spans="1:11" ht="42" customHeight="1">
      <c r="A1886" s="4" t="s">
        <v>4718</v>
      </c>
      <c r="B1886" s="5" t="s">
        <v>4719</v>
      </c>
      <c r="C1886" s="5" t="s">
        <v>184</v>
      </c>
      <c r="D1886" s="5" t="s">
        <v>86</v>
      </c>
      <c r="E1886" s="5" t="s">
        <v>958</v>
      </c>
      <c r="F1886" s="9">
        <v>58</v>
      </c>
      <c r="G1886" s="9">
        <v>622</v>
      </c>
      <c r="H1886" s="5" t="s">
        <v>20</v>
      </c>
      <c r="I1886" s="5" t="s">
        <v>4721</v>
      </c>
      <c r="J1886" s="12" t="str">
        <f>HYPERLINK("https://www.boe.es/gazeta/dias/1805/07/19/pdfs/GMD-1805-58.pdf#page=6","Abrir facsímil")</f>
        <v>Abrir facsímil</v>
      </c>
      <c r="K1886" s="15" t="s">
        <v>22</v>
      </c>
    </row>
    <row r="1887" spans="1:11" ht="42" customHeight="1">
      <c r="A1887" s="4" t="s">
        <v>4722</v>
      </c>
      <c r="B1887" s="5" t="s">
        <v>4723</v>
      </c>
      <c r="C1887" s="5" t="s">
        <v>184</v>
      </c>
      <c r="D1887" s="5" t="s">
        <v>86</v>
      </c>
      <c r="E1887" s="5" t="s">
        <v>886</v>
      </c>
      <c r="F1887" s="9">
        <v>93</v>
      </c>
      <c r="G1887" s="9">
        <v>1000</v>
      </c>
      <c r="H1887" s="5" t="s">
        <v>20</v>
      </c>
      <c r="I1887" s="5" t="s">
        <v>4724</v>
      </c>
      <c r="J1887" s="12" t="str">
        <f>HYPERLINK("https://www.boe.es/gazeta/dias/1805/11/19/pdfs/GMD-1805-93.pdf#page=12","Abrir facsímil")</f>
        <v>Abrir facsímil</v>
      </c>
      <c r="K1887" s="15" t="s">
        <v>22</v>
      </c>
    </row>
    <row r="1888" spans="1:11" ht="42" customHeight="1">
      <c r="A1888" s="4" t="s">
        <v>4725</v>
      </c>
      <c r="B1888" s="5" t="s">
        <v>4726</v>
      </c>
      <c r="C1888" s="5" t="s">
        <v>35</v>
      </c>
      <c r="D1888" s="5" t="s">
        <v>36</v>
      </c>
      <c r="E1888" s="5" t="s">
        <v>67</v>
      </c>
      <c r="F1888" s="9">
        <v>98</v>
      </c>
      <c r="G1888" s="9">
        <v>1059</v>
      </c>
      <c r="H1888" s="5" t="s">
        <v>20</v>
      </c>
      <c r="I1888" s="5" t="s">
        <v>4727</v>
      </c>
      <c r="J1888" s="12" t="str">
        <f>HYPERLINK("https://www.boe.es/gazeta/dias/1805/12/06/pdfs/GMD-1805-98.pdf#page=11","Abrir facsímil")</f>
        <v>Abrir facsímil</v>
      </c>
      <c r="K1888" s="15" t="s">
        <v>22</v>
      </c>
    </row>
    <row r="1889" spans="1:11" ht="42" customHeight="1">
      <c r="A1889" s="4" t="s">
        <v>4728</v>
      </c>
      <c r="B1889" s="5" t="s">
        <v>4729</v>
      </c>
      <c r="C1889" s="5" t="s">
        <v>35</v>
      </c>
      <c r="D1889" s="5" t="s">
        <v>36</v>
      </c>
      <c r="E1889" s="5" t="s">
        <v>54</v>
      </c>
      <c r="F1889" s="9">
        <v>99</v>
      </c>
      <c r="G1889" s="9">
        <v>1062</v>
      </c>
      <c r="H1889" s="5" t="s">
        <v>20</v>
      </c>
      <c r="I1889" s="5" t="s">
        <v>4730</v>
      </c>
      <c r="J1889" s="12" t="str">
        <f>HYPERLINK("https://www.boe.es/gazeta/dias/1805/12/10/pdfs/GMD-1805-99.pdf#page=2","Abrir facsímil")</f>
        <v>Abrir facsímil</v>
      </c>
      <c r="K1889" s="15" t="s">
        <v>22</v>
      </c>
    </row>
    <row r="1890" spans="1:11" ht="42" customHeight="1">
      <c r="A1890" s="4" t="s">
        <v>4731</v>
      </c>
      <c r="B1890" s="5" t="s">
        <v>4732</v>
      </c>
      <c r="C1890" s="5" t="s">
        <v>80</v>
      </c>
      <c r="D1890" s="5" t="s">
        <v>81</v>
      </c>
      <c r="E1890" s="5" t="s">
        <v>63</v>
      </c>
      <c r="F1890" s="9">
        <v>101</v>
      </c>
      <c r="G1890" s="9">
        <v>1085</v>
      </c>
      <c r="H1890" s="5" t="s">
        <v>20</v>
      </c>
      <c r="I1890" s="5" t="s">
        <v>4733</v>
      </c>
      <c r="J1890" s="12" t="str">
        <f>HYPERLINK("https://www.boe.es/gazeta/dias/1805/12/17/pdfs/GMD-1805-101.pdf#page=1","Abrir facsímil")</f>
        <v>Abrir facsímil</v>
      </c>
      <c r="K1890" s="15" t="s">
        <v>22</v>
      </c>
    </row>
    <row r="1891" spans="1:11" ht="42" customHeight="1">
      <c r="A1891" s="4" t="s">
        <v>4734</v>
      </c>
      <c r="B1891" s="5" t="s">
        <v>4735</v>
      </c>
      <c r="C1891" s="5" t="s">
        <v>85</v>
      </c>
      <c r="D1891" s="5" t="s">
        <v>86</v>
      </c>
      <c r="E1891" s="5" t="s">
        <v>63</v>
      </c>
      <c r="F1891" s="9">
        <v>101</v>
      </c>
      <c r="G1891" s="9">
        <v>1091</v>
      </c>
      <c r="H1891" s="5" t="s">
        <v>20</v>
      </c>
      <c r="I1891" s="5" t="s">
        <v>4736</v>
      </c>
      <c r="J1891" s="12" t="str">
        <f>HYPERLINK("https://www.boe.es/gazeta/dias/1805/12/17/pdfs/GMD-1805-101.pdf#page=7","Abrir facsímil")</f>
        <v>Abrir facsímil</v>
      </c>
      <c r="K1891" s="15" t="s">
        <v>22</v>
      </c>
    </row>
    <row r="1892" spans="1:11" ht="42" customHeight="1">
      <c r="A1892" s="4" t="s">
        <v>4737</v>
      </c>
      <c r="B1892" s="5" t="s">
        <v>4737</v>
      </c>
      <c r="C1892" s="5" t="s">
        <v>80</v>
      </c>
      <c r="D1892" s="5" t="s">
        <v>81</v>
      </c>
      <c r="E1892" s="5" t="s">
        <v>95</v>
      </c>
      <c r="F1892" s="9">
        <v>13</v>
      </c>
      <c r="G1892" s="9">
        <v>134</v>
      </c>
      <c r="H1892" s="5" t="s">
        <v>20</v>
      </c>
      <c r="I1892" s="5" t="s">
        <v>4738</v>
      </c>
      <c r="J1892" s="12" t="str">
        <f>HYPERLINK("https://www.boe.es/gazeta/dias/1805/02/12/pdfs/GMD-1805-13.pdf#page=2","Abrir facsímil")</f>
        <v>Abrir facsímil</v>
      </c>
      <c r="K1892" s="15" t="s">
        <v>22</v>
      </c>
    </row>
    <row r="1893" spans="1:11" ht="42" customHeight="1">
      <c r="A1893" s="4" t="s">
        <v>4739</v>
      </c>
      <c r="B1893" s="5" t="s">
        <v>4739</v>
      </c>
      <c r="C1893" s="5" t="s">
        <v>184</v>
      </c>
      <c r="D1893" s="5" t="s">
        <v>86</v>
      </c>
      <c r="E1893" s="5" t="s">
        <v>787</v>
      </c>
      <c r="F1893" s="9">
        <v>95</v>
      </c>
      <c r="G1893" s="9">
        <v>1014</v>
      </c>
      <c r="H1893" s="5" t="s">
        <v>20</v>
      </c>
      <c r="I1893" s="5" t="s">
        <v>4740</v>
      </c>
      <c r="J1893" s="12" t="str">
        <f>HYPERLINK("https://www.boe.es/gazeta/dias/1805/11/26/pdfs/GMD-1805-95.pdf#page=2","Abrir facsímil")</f>
        <v>Abrir facsímil</v>
      </c>
      <c r="K1893" s="15" t="s">
        <v>22</v>
      </c>
    </row>
    <row r="1894" spans="1:11" ht="42" customHeight="1">
      <c r="A1894" s="4" t="s">
        <v>4741</v>
      </c>
      <c r="B1894" s="5" t="s">
        <v>4742</v>
      </c>
      <c r="C1894" s="5" t="s">
        <v>35</v>
      </c>
      <c r="D1894" s="5" t="s">
        <v>36</v>
      </c>
      <c r="E1894" s="5" t="s">
        <v>552</v>
      </c>
      <c r="F1894" s="9">
        <v>94</v>
      </c>
      <c r="G1894" s="9">
        <v>1001</v>
      </c>
      <c r="H1894" s="5" t="s">
        <v>20</v>
      </c>
      <c r="I1894" s="5" t="s">
        <v>4743</v>
      </c>
      <c r="J1894" s="12" t="str">
        <f>HYPERLINK("https://www.boe.es/gazeta/dias/1805/11/22/pdfs/GMD-1805-94.pdf#page=1","Abrir facsímil")</f>
        <v>Abrir facsímil</v>
      </c>
      <c r="K1894" s="15" t="s">
        <v>22</v>
      </c>
    </row>
    <row r="1895" spans="1:11" ht="42" customHeight="1">
      <c r="A1895" s="4" t="s">
        <v>4744</v>
      </c>
      <c r="B1895" s="5" t="s">
        <v>4745</v>
      </c>
      <c r="C1895" s="5" t="s">
        <v>17</v>
      </c>
      <c r="D1895" s="5" t="s">
        <v>18</v>
      </c>
      <c r="E1895" s="5" t="s">
        <v>286</v>
      </c>
      <c r="F1895" s="9">
        <v>48</v>
      </c>
      <c r="G1895" s="9">
        <v>520</v>
      </c>
      <c r="H1895" s="5" t="s">
        <v>20</v>
      </c>
      <c r="I1895" s="5" t="s">
        <v>4746</v>
      </c>
      <c r="J1895" s="12" t="str">
        <f>HYPERLINK("https://www.boe.es/gazeta/dias/1805/06/14/pdfs/GMD-1805-48.pdf#page=8","Abrir facsímil")</f>
        <v>Abrir facsímil</v>
      </c>
      <c r="K1895" s="15" t="s">
        <v>22</v>
      </c>
    </row>
    <row r="1896" spans="1:11" ht="42" customHeight="1">
      <c r="A1896" s="4" t="s">
        <v>4744</v>
      </c>
      <c r="B1896" s="5" t="s">
        <v>4745</v>
      </c>
      <c r="C1896" s="5" t="s">
        <v>29</v>
      </c>
      <c r="D1896" s="5" t="s">
        <v>30</v>
      </c>
      <c r="E1896" s="5" t="s">
        <v>148</v>
      </c>
      <c r="F1896" s="9">
        <v>50</v>
      </c>
      <c r="G1896" s="9">
        <v>538</v>
      </c>
      <c r="H1896" s="5" t="s">
        <v>20</v>
      </c>
      <c r="I1896" s="5" t="s">
        <v>4747</v>
      </c>
      <c r="J1896" s="12" t="str">
        <f>HYPERLINK("https://www.boe.es/gazeta/dias/1805/06/21/pdfs/GMD-1805-50.pdf#page=6","Abrir facsímil")</f>
        <v>Abrir facsímil</v>
      </c>
      <c r="K1896" s="15" t="s">
        <v>22</v>
      </c>
    </row>
    <row r="1897" spans="1:11" ht="42" customHeight="1">
      <c r="A1897" s="4" t="s">
        <v>4744</v>
      </c>
      <c r="B1897" s="5" t="s">
        <v>4745</v>
      </c>
      <c r="C1897" s="5" t="s">
        <v>80</v>
      </c>
      <c r="D1897" s="5" t="s">
        <v>81</v>
      </c>
      <c r="E1897" s="5" t="s">
        <v>300</v>
      </c>
      <c r="F1897" s="9">
        <v>81</v>
      </c>
      <c r="G1897" s="9">
        <v>855</v>
      </c>
      <c r="H1897" s="5" t="s">
        <v>20</v>
      </c>
      <c r="I1897" s="5" t="s">
        <v>4748</v>
      </c>
      <c r="J1897" s="12" t="str">
        <f>HYPERLINK("https://www.boe.es/gazeta/dias/1805/10/08/pdfs/GMD-1805-81.pdf#page=3","Abrir facsímil")</f>
        <v>Abrir facsímil</v>
      </c>
      <c r="K1897" s="15" t="s">
        <v>22</v>
      </c>
    </row>
    <row r="1898" spans="1:11" ht="42" customHeight="1">
      <c r="A1898" s="4" t="s">
        <v>4744</v>
      </c>
      <c r="B1898" s="5" t="s">
        <v>4745</v>
      </c>
      <c r="C1898" s="5" t="s">
        <v>184</v>
      </c>
      <c r="D1898" s="5" t="s">
        <v>86</v>
      </c>
      <c r="E1898" s="5" t="s">
        <v>864</v>
      </c>
      <c r="F1898" s="9">
        <v>88</v>
      </c>
      <c r="G1898" s="9">
        <v>929</v>
      </c>
      <c r="H1898" s="5" t="s">
        <v>20</v>
      </c>
      <c r="I1898" s="5" t="s">
        <v>4749</v>
      </c>
      <c r="J1898" s="12" t="str">
        <f>HYPERLINK("https://www.boe.es/gazeta/dias/1805/11/01/pdfs/GMD-1805-88.pdf#page=1","Abrir facsímil")</f>
        <v>Abrir facsímil</v>
      </c>
      <c r="K1898" s="15" t="s">
        <v>22</v>
      </c>
    </row>
    <row r="1899" spans="1:11" ht="42" customHeight="1">
      <c r="A1899" s="4" t="s">
        <v>4744</v>
      </c>
      <c r="B1899" s="5" t="s">
        <v>4745</v>
      </c>
      <c r="C1899" s="5" t="s">
        <v>35</v>
      </c>
      <c r="D1899" s="5" t="s">
        <v>36</v>
      </c>
      <c r="E1899" s="5" t="s">
        <v>512</v>
      </c>
      <c r="F1899" s="9">
        <v>100</v>
      </c>
      <c r="G1899" s="9">
        <v>1078</v>
      </c>
      <c r="H1899" s="5" t="s">
        <v>20</v>
      </c>
      <c r="I1899" s="5" t="s">
        <v>4750</v>
      </c>
      <c r="J1899" s="12" t="str">
        <f>HYPERLINK("https://www.boe.es/gazeta/dias/1805/12/13/pdfs/GMD-1805-100.pdf#page=6","Abrir facsímil")</f>
        <v>Abrir facsímil</v>
      </c>
      <c r="K1899" s="15" t="s">
        <v>22</v>
      </c>
    </row>
    <row r="1900" spans="1:11" ht="42" customHeight="1">
      <c r="A1900" s="4" t="s">
        <v>4751</v>
      </c>
      <c r="B1900" s="5" t="s">
        <v>4752</v>
      </c>
      <c r="C1900" s="5" t="s">
        <v>80</v>
      </c>
      <c r="D1900" s="5" t="s">
        <v>81</v>
      </c>
      <c r="E1900" s="5" t="s">
        <v>539</v>
      </c>
      <c r="F1900" s="9">
        <v>97</v>
      </c>
      <c r="G1900" s="9">
        <v>1037</v>
      </c>
      <c r="H1900" s="5" t="s">
        <v>20</v>
      </c>
      <c r="I1900" s="5" t="s">
        <v>4753</v>
      </c>
      <c r="J1900" s="12" t="str">
        <f>HYPERLINK("https://www.boe.es/gazeta/dias/1805/12/03/pdfs/GMD-1805-97.pdf#page=1","Abrir facsímil")</f>
        <v>Abrir facsímil</v>
      </c>
      <c r="K1900" s="15" t="s">
        <v>22</v>
      </c>
    </row>
    <row r="1901" spans="1:11" ht="42" customHeight="1">
      <c r="A1901" s="4" t="s">
        <v>4754</v>
      </c>
      <c r="B1901" s="5" t="s">
        <v>4754</v>
      </c>
      <c r="C1901" s="5" t="s">
        <v>17</v>
      </c>
      <c r="D1901" s="5" t="s">
        <v>18</v>
      </c>
      <c r="E1901" s="5" t="s">
        <v>107</v>
      </c>
      <c r="F1901" s="9">
        <v>19</v>
      </c>
      <c r="G1901" s="9">
        <v>195</v>
      </c>
      <c r="H1901" s="5" t="s">
        <v>20</v>
      </c>
      <c r="I1901" s="5" t="s">
        <v>4755</v>
      </c>
      <c r="J1901" s="12" t="str">
        <f>HYPERLINK("https://www.boe.es/gazeta/dias/1805/03/05/pdfs/GMD-1805-19.pdf#page=7","Abrir facsímil")</f>
        <v>Abrir facsímil</v>
      </c>
      <c r="K1901" s="15" t="s">
        <v>22</v>
      </c>
    </row>
    <row r="1902" spans="1:11" ht="42" customHeight="1">
      <c r="A1902" s="4" t="s">
        <v>4756</v>
      </c>
      <c r="B1902" s="5" t="s">
        <v>4757</v>
      </c>
      <c r="C1902" s="5" t="s">
        <v>80</v>
      </c>
      <c r="D1902" s="5" t="s">
        <v>81</v>
      </c>
      <c r="E1902" s="5" t="s">
        <v>209</v>
      </c>
      <c r="F1902" s="9">
        <v>89</v>
      </c>
      <c r="G1902" s="9">
        <v>946</v>
      </c>
      <c r="H1902" s="5" t="s">
        <v>20</v>
      </c>
      <c r="I1902" s="5" t="s">
        <v>4758</v>
      </c>
      <c r="J1902" s="12" t="str">
        <f>HYPERLINK("https://www.boe.es/gazeta/dias/1805/11/05/pdfs/GMD-1805-89.pdf#page=6","Abrir facsímil")</f>
        <v>Abrir facsímil</v>
      </c>
      <c r="K1902" s="15" t="s">
        <v>22</v>
      </c>
    </row>
    <row r="1903" spans="1:11" ht="42" customHeight="1">
      <c r="A1903" s="4" t="s">
        <v>4759</v>
      </c>
      <c r="B1903" s="5" t="s">
        <v>4759</v>
      </c>
      <c r="C1903" s="5" t="s">
        <v>35</v>
      </c>
      <c r="D1903" s="5" t="s">
        <v>36</v>
      </c>
      <c r="E1903" s="5" t="s">
        <v>711</v>
      </c>
      <c r="F1903" s="9">
        <v>63</v>
      </c>
      <c r="G1903" s="9">
        <v>671</v>
      </c>
      <c r="H1903" s="5" t="s">
        <v>20</v>
      </c>
      <c r="I1903" s="5" t="s">
        <v>4760</v>
      </c>
      <c r="J1903" s="12" t="str">
        <f>HYPERLINK("https://www.boe.es/gazeta/dias/1805/08/06/pdfs/GMD-1805-63.pdf#page=7","Abrir facsímil")</f>
        <v>Abrir facsímil</v>
      </c>
      <c r="K1903" s="15" t="s">
        <v>22</v>
      </c>
    </row>
    <row r="1904" spans="1:11" ht="42" customHeight="1">
      <c r="A1904" s="4" t="s">
        <v>4761</v>
      </c>
      <c r="B1904" s="5" t="s">
        <v>4762</v>
      </c>
      <c r="C1904" s="5" t="s">
        <v>80</v>
      </c>
      <c r="D1904" s="5" t="s">
        <v>81</v>
      </c>
      <c r="E1904" s="5" t="s">
        <v>200</v>
      </c>
      <c r="F1904" s="9">
        <v>91</v>
      </c>
      <c r="G1904" s="9">
        <v>970</v>
      </c>
      <c r="H1904" s="5" t="s">
        <v>20</v>
      </c>
      <c r="I1904" s="5" t="s">
        <v>4763</v>
      </c>
      <c r="J1904" s="12" t="str">
        <f>HYPERLINK("https://www.boe.es/gazeta/dias/1805/11/12/pdfs/GMD-1805-91.pdf#page=2","Abrir facsímil")</f>
        <v>Abrir facsímil</v>
      </c>
      <c r="K1904" s="15" t="s">
        <v>22</v>
      </c>
    </row>
    <row r="1905" spans="1:11" ht="42" customHeight="1">
      <c r="A1905" s="4" t="s">
        <v>4764</v>
      </c>
      <c r="B1905" s="5" t="s">
        <v>4765</v>
      </c>
      <c r="C1905" s="5" t="s">
        <v>35</v>
      </c>
      <c r="D1905" s="5" t="s">
        <v>36</v>
      </c>
      <c r="E1905" s="5" t="s">
        <v>365</v>
      </c>
      <c r="F1905" s="9">
        <v>3</v>
      </c>
      <c r="G1905" s="9">
        <v>29</v>
      </c>
      <c r="H1905" s="5" t="s">
        <v>20</v>
      </c>
      <c r="I1905" s="5" t="s">
        <v>4766</v>
      </c>
      <c r="J1905" s="12" t="str">
        <f>HYPERLINK("https://www.boe.es/gazeta/dias/1805/01/08/pdfs/GMD-1805-3.pdf#page=5","Abrir facsímil")</f>
        <v>Abrir facsímil</v>
      </c>
      <c r="K1905" s="15" t="s">
        <v>22</v>
      </c>
    </row>
    <row r="1906" spans="1:11" ht="42" customHeight="1">
      <c r="A1906" s="4" t="s">
        <v>4767</v>
      </c>
      <c r="B1906" s="5" t="s">
        <v>4768</v>
      </c>
      <c r="C1906" s="5" t="s">
        <v>17</v>
      </c>
      <c r="D1906" s="5" t="s">
        <v>18</v>
      </c>
      <c r="E1906" s="5" t="s">
        <v>200</v>
      </c>
      <c r="F1906" s="9">
        <v>91</v>
      </c>
      <c r="G1906" s="9">
        <v>977</v>
      </c>
      <c r="H1906" s="5" t="s">
        <v>20</v>
      </c>
      <c r="I1906" s="5" t="s">
        <v>4769</v>
      </c>
      <c r="J1906" s="12" t="str">
        <f>HYPERLINK("https://www.boe.es/gazeta/dias/1805/11/12/pdfs/GMD-1805-91.pdf#page=9","Abrir facsímil")</f>
        <v>Abrir facsímil</v>
      </c>
      <c r="K1906" s="15" t="s">
        <v>22</v>
      </c>
    </row>
    <row r="1907" spans="1:11" ht="42" customHeight="1">
      <c r="A1907" s="4" t="s">
        <v>4770</v>
      </c>
      <c r="B1907" s="5" t="s">
        <v>4770</v>
      </c>
      <c r="C1907" s="5" t="s">
        <v>35</v>
      </c>
      <c r="D1907" s="5" t="s">
        <v>36</v>
      </c>
      <c r="E1907" s="5" t="s">
        <v>1221</v>
      </c>
      <c r="F1907" s="9">
        <v>41</v>
      </c>
      <c r="G1907" s="9">
        <v>442</v>
      </c>
      <c r="H1907" s="5" t="s">
        <v>20</v>
      </c>
      <c r="I1907" s="5" t="s">
        <v>4771</v>
      </c>
      <c r="J1907" s="12" t="str">
        <f>HYPERLINK("https://www.boe.es/gazeta/dias/1805/05/21/pdfs/GMD-1805-41.pdf#page=10","Abrir facsímil")</f>
        <v>Abrir facsímil</v>
      </c>
      <c r="K1907" s="15" t="s">
        <v>22</v>
      </c>
    </row>
    <row r="1908" spans="1:11" ht="42" customHeight="1">
      <c r="A1908" s="4" t="s">
        <v>4772</v>
      </c>
      <c r="B1908" s="5" t="s">
        <v>4773</v>
      </c>
      <c r="C1908" s="5" t="s">
        <v>35</v>
      </c>
      <c r="D1908" s="5" t="s">
        <v>36</v>
      </c>
      <c r="E1908" s="5" t="s">
        <v>273</v>
      </c>
      <c r="F1908" s="9">
        <v>8</v>
      </c>
      <c r="G1908" s="9">
        <v>89</v>
      </c>
      <c r="H1908" s="5" t="s">
        <v>20</v>
      </c>
      <c r="I1908" s="5" t="s">
        <v>4774</v>
      </c>
      <c r="J1908" s="12" t="str">
        <f>HYPERLINK("https://www.boe.es/gazeta/dias/1805/01/25/pdfs/GMD-1805-8.pdf#page=9","Abrir facsímil")</f>
        <v>Abrir facsímil</v>
      </c>
      <c r="K1908" s="15" t="s">
        <v>22</v>
      </c>
    </row>
    <row r="1909" spans="1:11" ht="42" customHeight="1">
      <c r="A1909" s="4" t="s">
        <v>4775</v>
      </c>
      <c r="B1909" s="5" t="s">
        <v>4776</v>
      </c>
      <c r="C1909" s="5" t="s">
        <v>35</v>
      </c>
      <c r="D1909" s="5" t="s">
        <v>36</v>
      </c>
      <c r="E1909" s="5" t="s">
        <v>103</v>
      </c>
      <c r="F1909" s="9">
        <v>30</v>
      </c>
      <c r="G1909" s="9">
        <v>323</v>
      </c>
      <c r="H1909" s="5" t="s">
        <v>20</v>
      </c>
      <c r="I1909" s="5" t="s">
        <v>4777</v>
      </c>
      <c r="J1909" s="12" t="str">
        <f>HYPERLINK("https://www.boe.es/gazeta/dias/1805/04/12/pdfs/GMD-1805-30.pdf#page=7","Abrir facsímil")</f>
        <v>Abrir facsímil</v>
      </c>
      <c r="K1909" s="15" t="s">
        <v>22</v>
      </c>
    </row>
    <row r="1910" spans="1:11" ht="42" customHeight="1">
      <c r="A1910" s="4" t="s">
        <v>4778</v>
      </c>
      <c r="B1910" s="5" t="s">
        <v>4778</v>
      </c>
      <c r="C1910" s="5" t="s">
        <v>80</v>
      </c>
      <c r="D1910" s="5" t="s">
        <v>81</v>
      </c>
      <c r="E1910" s="5" t="s">
        <v>91</v>
      </c>
      <c r="F1910" s="9">
        <v>28</v>
      </c>
      <c r="G1910" s="9">
        <v>296</v>
      </c>
      <c r="H1910" s="5" t="s">
        <v>20</v>
      </c>
      <c r="I1910" s="5" t="s">
        <v>4779</v>
      </c>
      <c r="J1910" s="12" t="str">
        <f>HYPERLINK("https://www.boe.es/gazeta/dias/1805/04/05/pdfs/GMD-1805-28.pdf#page=4","Abrir facsímil")</f>
        <v>Abrir facsímil</v>
      </c>
      <c r="K1910" s="15" t="s">
        <v>22</v>
      </c>
    </row>
    <row r="1911" spans="1:11" ht="42" customHeight="1">
      <c r="A1911" s="4" t="s">
        <v>4780</v>
      </c>
      <c r="B1911" s="5" t="s">
        <v>4780</v>
      </c>
      <c r="C1911" s="5" t="s">
        <v>80</v>
      </c>
      <c r="D1911" s="5" t="s">
        <v>81</v>
      </c>
      <c r="E1911" s="5" t="s">
        <v>673</v>
      </c>
      <c r="F1911" s="9">
        <v>32</v>
      </c>
      <c r="G1911" s="9">
        <v>339</v>
      </c>
      <c r="H1911" s="5" t="s">
        <v>20</v>
      </c>
      <c r="I1911" s="5" t="s">
        <v>4781</v>
      </c>
      <c r="J1911" s="12" t="str">
        <f>HYPERLINK("https://www.boe.es/gazeta/dias/1805/04/19/pdfs/GMD-1805-32.pdf#page=3","Abrir facsímil")</f>
        <v>Abrir facsímil</v>
      </c>
      <c r="K1911" s="15" t="s">
        <v>22</v>
      </c>
    </row>
    <row r="1912" spans="1:11" ht="42" customHeight="1">
      <c r="A1912" s="4" t="s">
        <v>4780</v>
      </c>
      <c r="B1912" s="5" t="s">
        <v>4780</v>
      </c>
      <c r="C1912" s="5" t="s">
        <v>184</v>
      </c>
      <c r="D1912" s="5" t="s">
        <v>86</v>
      </c>
      <c r="E1912" s="5" t="s">
        <v>495</v>
      </c>
      <c r="F1912" s="9">
        <v>103</v>
      </c>
      <c r="G1912" s="9">
        <v>1110</v>
      </c>
      <c r="H1912" s="5" t="s">
        <v>20</v>
      </c>
      <c r="I1912" s="5" t="s">
        <v>4782</v>
      </c>
      <c r="J1912" s="12" t="str">
        <f>HYPERLINK("https://www.boe.es/gazeta/dias/1805/12/24/pdfs/GMD-1805-103.pdf#page=2","Abrir facsímil")</f>
        <v>Abrir facsímil</v>
      </c>
      <c r="K1912" s="15" t="s">
        <v>22</v>
      </c>
    </row>
    <row r="1913" spans="1:11" ht="42" customHeight="1">
      <c r="A1913" s="4" t="s">
        <v>4783</v>
      </c>
      <c r="B1913" s="5" t="s">
        <v>4783</v>
      </c>
      <c r="C1913" s="5" t="s">
        <v>35</v>
      </c>
      <c r="D1913" s="5" t="s">
        <v>36</v>
      </c>
      <c r="E1913" s="5" t="s">
        <v>40</v>
      </c>
      <c r="F1913" s="9">
        <v>59</v>
      </c>
      <c r="G1913" s="9">
        <v>631</v>
      </c>
      <c r="H1913" s="5" t="s">
        <v>20</v>
      </c>
      <c r="I1913" s="5" t="s">
        <v>4784</v>
      </c>
      <c r="J1913" s="12" t="str">
        <f>HYPERLINK("https://www.boe.es/gazeta/dias/1805/07/23/pdfs/GMD-1805-59.pdf#page=7","Abrir facsímil")</f>
        <v>Abrir facsímil</v>
      </c>
      <c r="K1913" s="15" t="s">
        <v>22</v>
      </c>
    </row>
    <row r="1914" spans="1:11" ht="42" customHeight="1">
      <c r="A1914" s="4" t="s">
        <v>4785</v>
      </c>
      <c r="B1914" s="5" t="s">
        <v>4786</v>
      </c>
      <c r="C1914" s="5" t="s">
        <v>35</v>
      </c>
      <c r="D1914" s="5" t="s">
        <v>36</v>
      </c>
      <c r="E1914" s="5" t="s">
        <v>192</v>
      </c>
      <c r="F1914" s="9">
        <v>105</v>
      </c>
      <c r="G1914" s="9">
        <v>1139</v>
      </c>
      <c r="H1914" s="5" t="s">
        <v>20</v>
      </c>
      <c r="I1914" s="5" t="s">
        <v>4787</v>
      </c>
      <c r="J1914" s="12" t="str">
        <f>HYPERLINK("https://www.boe.es/gazeta/dias/1805/12/31/pdfs/GMD-1805-105.pdf#page=11","Abrir facsímil")</f>
        <v>Abrir facsímil</v>
      </c>
      <c r="K1914" s="15" t="s">
        <v>22</v>
      </c>
    </row>
    <row r="1915" spans="1:11" ht="42" customHeight="1">
      <c r="A1915" s="4" t="s">
        <v>4788</v>
      </c>
      <c r="B1915" s="5" t="s">
        <v>4789</v>
      </c>
      <c r="C1915" s="5" t="s">
        <v>29</v>
      </c>
      <c r="D1915" s="5" t="s">
        <v>30</v>
      </c>
      <c r="E1915" s="5" t="s">
        <v>399</v>
      </c>
      <c r="F1915" s="9">
        <v>39</v>
      </c>
      <c r="G1915" s="9">
        <v>424</v>
      </c>
      <c r="H1915" s="5" t="s">
        <v>20</v>
      </c>
      <c r="I1915" s="5" t="s">
        <v>4790</v>
      </c>
      <c r="J1915" s="12" t="str">
        <f>HYPERLINK("https://www.boe.es/gazeta/dias/1805/05/14/pdfs/GMD-1805-39.pdf#page=12","Abrir facsímil")</f>
        <v>Abrir facsímil</v>
      </c>
      <c r="K1915" s="15" t="s">
        <v>22</v>
      </c>
    </row>
    <row r="1916" spans="1:11" ht="42" customHeight="1">
      <c r="A1916" s="4" t="s">
        <v>4791</v>
      </c>
      <c r="B1916" s="5" t="s">
        <v>4792</v>
      </c>
      <c r="C1916" s="5" t="s">
        <v>35</v>
      </c>
      <c r="D1916" s="5" t="s">
        <v>36</v>
      </c>
      <c r="E1916" s="5" t="s">
        <v>854</v>
      </c>
      <c r="F1916" s="9">
        <v>46</v>
      </c>
      <c r="G1916" s="9">
        <v>498</v>
      </c>
      <c r="H1916" s="5" t="s">
        <v>20</v>
      </c>
      <c r="I1916" s="5" t="s">
        <v>4793</v>
      </c>
      <c r="J1916" s="12" t="str">
        <f>HYPERLINK("https://www.boe.es/gazeta/dias/1805/06/07/pdfs/GMD-1805-46.pdf#page=10","Abrir facsímil")</f>
        <v>Abrir facsímil</v>
      </c>
      <c r="K1916" s="15" t="s">
        <v>22</v>
      </c>
    </row>
    <row r="1917" spans="1:11" ht="42" customHeight="1">
      <c r="A1917" s="4" t="s">
        <v>4794</v>
      </c>
      <c r="B1917" s="5" t="s">
        <v>4794</v>
      </c>
      <c r="C1917" s="5" t="s">
        <v>29</v>
      </c>
      <c r="D1917" s="5" t="s">
        <v>30</v>
      </c>
      <c r="E1917" s="5" t="s">
        <v>207</v>
      </c>
      <c r="F1917" s="9">
        <v>76</v>
      </c>
      <c r="G1917" s="9">
        <v>807</v>
      </c>
      <c r="H1917" s="5" t="s">
        <v>20</v>
      </c>
      <c r="I1917" s="5" t="s">
        <v>4795</v>
      </c>
      <c r="J1917" s="12" t="str">
        <f>HYPERLINK("https://www.boe.es/gazeta/dias/1805/09/20/pdfs/GMD-1805-76.pdf#page=7","Abrir facsímil")</f>
        <v>Abrir facsímil</v>
      </c>
      <c r="K1917" s="15" t="s">
        <v>22</v>
      </c>
    </row>
    <row r="1918" spans="1:11" ht="42" customHeight="1">
      <c r="A1918" s="4" t="s">
        <v>4796</v>
      </c>
      <c r="B1918" s="5" t="s">
        <v>4797</v>
      </c>
      <c r="C1918" s="5" t="s">
        <v>35</v>
      </c>
      <c r="D1918" s="5" t="s">
        <v>36</v>
      </c>
      <c r="E1918" s="5" t="s">
        <v>141</v>
      </c>
      <c r="F1918" s="9">
        <v>82</v>
      </c>
      <c r="G1918" s="9">
        <v>870</v>
      </c>
      <c r="H1918" s="5" t="s">
        <v>20</v>
      </c>
      <c r="I1918" s="5" t="s">
        <v>4798</v>
      </c>
      <c r="J1918" s="12" t="str">
        <f>HYPERLINK("https://www.boe.es/gazeta/dias/1805/10/11/pdfs/GMD-1805-82.pdf#page=10","Abrir facsímil")</f>
        <v>Abrir facsímil</v>
      </c>
      <c r="K1918" s="15" t="s">
        <v>22</v>
      </c>
    </row>
    <row r="1919" spans="1:11" ht="42" customHeight="1">
      <c r="A1919" s="4" t="s">
        <v>4799</v>
      </c>
      <c r="B1919" s="5" t="s">
        <v>4800</v>
      </c>
      <c r="C1919" s="5" t="s">
        <v>17</v>
      </c>
      <c r="D1919" s="5" t="s">
        <v>18</v>
      </c>
      <c r="E1919" s="5" t="s">
        <v>59</v>
      </c>
      <c r="F1919" s="9">
        <v>21</v>
      </c>
      <c r="G1919" s="9">
        <v>216</v>
      </c>
      <c r="H1919" s="5" t="s">
        <v>20</v>
      </c>
      <c r="I1919" s="5" t="s">
        <v>4801</v>
      </c>
      <c r="J1919" s="12" t="str">
        <f>HYPERLINK("https://www.boe.es/gazeta/dias/1805/03/12/pdfs/GMD-1805-21.pdf#page=4","Abrir facsímil")</f>
        <v>Abrir facsímil</v>
      </c>
      <c r="K1919" s="15" t="s">
        <v>22</v>
      </c>
    </row>
    <row r="1920" spans="1:11" ht="42" customHeight="1">
      <c r="A1920" s="4" t="s">
        <v>4802</v>
      </c>
      <c r="B1920" s="5" t="s">
        <v>4802</v>
      </c>
      <c r="C1920" s="5" t="s">
        <v>80</v>
      </c>
      <c r="D1920" s="5" t="s">
        <v>81</v>
      </c>
      <c r="E1920" s="5" t="s">
        <v>132</v>
      </c>
      <c r="F1920" s="9">
        <v>2</v>
      </c>
      <c r="G1920" s="9">
        <v>17</v>
      </c>
      <c r="H1920" s="5" t="s">
        <v>20</v>
      </c>
      <c r="I1920" s="5" t="s">
        <v>4803</v>
      </c>
      <c r="J1920" s="12" t="str">
        <f>HYPERLINK("https://www.boe.es/gazeta/dias/1805/01/04/pdfs/GMD-1805-2.pdf#page=5","Abrir facsímil")</f>
        <v>Abrir facsímil</v>
      </c>
      <c r="K1920" s="15" t="s">
        <v>22</v>
      </c>
    </row>
    <row r="1921" spans="1:11" ht="42" customHeight="1">
      <c r="A1921" s="4" t="s">
        <v>4804</v>
      </c>
      <c r="B1921" s="5" t="s">
        <v>4804</v>
      </c>
      <c r="C1921" s="5" t="s">
        <v>80</v>
      </c>
      <c r="D1921" s="5" t="s">
        <v>81</v>
      </c>
      <c r="E1921" s="5" t="s">
        <v>215</v>
      </c>
      <c r="F1921" s="9">
        <v>87</v>
      </c>
      <c r="G1921" s="9">
        <v>921</v>
      </c>
      <c r="H1921" s="5" t="s">
        <v>20</v>
      </c>
      <c r="I1921" s="5" t="s">
        <v>4805</v>
      </c>
      <c r="J1921" s="12" t="str">
        <f>HYPERLINK("https://www.boe.es/gazeta/dias/1805/10/29/pdfs/GMD-1805-87.pdf#page=5","Abrir facsímil")</f>
        <v>Abrir facsímil</v>
      </c>
      <c r="K1921" s="15" t="s">
        <v>22</v>
      </c>
    </row>
    <row r="1922" spans="1:11" ht="42" customHeight="1">
      <c r="A1922" s="4" t="s">
        <v>4806</v>
      </c>
      <c r="B1922" s="5" t="s">
        <v>4806</v>
      </c>
      <c r="C1922" s="5" t="s">
        <v>29</v>
      </c>
      <c r="D1922" s="5" t="s">
        <v>30</v>
      </c>
      <c r="E1922" s="5" t="s">
        <v>290</v>
      </c>
      <c r="F1922" s="9">
        <v>36</v>
      </c>
      <c r="G1922" s="9">
        <v>383</v>
      </c>
      <c r="H1922" s="5" t="s">
        <v>20</v>
      </c>
      <c r="I1922" s="5" t="s">
        <v>4807</v>
      </c>
      <c r="J1922" s="12" t="str">
        <f>HYPERLINK("https://www.boe.es/gazeta/dias/1805/05/03/pdfs/GMD-1805-36.pdf#page=3","Abrir facsímil")</f>
        <v>Abrir facsímil</v>
      </c>
      <c r="K1922" s="15" t="s">
        <v>22</v>
      </c>
    </row>
    <row r="1923" spans="1:11" ht="42" customHeight="1">
      <c r="A1923" s="4" t="s">
        <v>4808</v>
      </c>
      <c r="B1923" s="5" t="s">
        <v>4808</v>
      </c>
      <c r="C1923" s="5" t="s">
        <v>80</v>
      </c>
      <c r="D1923" s="5" t="s">
        <v>81</v>
      </c>
      <c r="E1923" s="5" t="s">
        <v>356</v>
      </c>
      <c r="F1923" s="9">
        <v>12</v>
      </c>
      <c r="G1923" s="9">
        <v>128</v>
      </c>
      <c r="H1923" s="5" t="s">
        <v>20</v>
      </c>
      <c r="I1923" s="5" t="s">
        <v>4809</v>
      </c>
      <c r="J1923" s="12" t="str">
        <f>HYPERLINK("https://www.boe.es/gazeta/dias/1805/02/08/pdfs/GMD-1805-12.pdf#page=4","Abrir facsímil")</f>
        <v>Abrir facsímil</v>
      </c>
      <c r="K1923" s="15" t="s">
        <v>22</v>
      </c>
    </row>
    <row r="1924" spans="1:11" ht="42" customHeight="1">
      <c r="A1924" s="4" t="s">
        <v>4810</v>
      </c>
      <c r="B1924" s="5" t="s">
        <v>4810</v>
      </c>
      <c r="C1924" s="5" t="s">
        <v>17</v>
      </c>
      <c r="D1924" s="5" t="s">
        <v>18</v>
      </c>
      <c r="E1924" s="5" t="s">
        <v>787</v>
      </c>
      <c r="F1924" s="9">
        <v>95</v>
      </c>
      <c r="G1924" s="9">
        <v>1016</v>
      </c>
      <c r="H1924" s="5" t="s">
        <v>20</v>
      </c>
      <c r="I1924" s="5" t="s">
        <v>4811</v>
      </c>
      <c r="J1924" s="12" t="str">
        <f>HYPERLINK("https://www.boe.es/gazeta/dias/1805/11/26/pdfs/GMD-1805-95.pdf#page=4","Abrir facsímil")</f>
        <v>Abrir facsímil</v>
      </c>
      <c r="K1924" s="15" t="s">
        <v>22</v>
      </c>
    </row>
    <row r="1925" spans="1:11" ht="42" customHeight="1">
      <c r="A1925" s="4" t="s">
        <v>4812</v>
      </c>
      <c r="B1925" s="5" t="s">
        <v>4812</v>
      </c>
      <c r="C1925" s="5" t="s">
        <v>17</v>
      </c>
      <c r="D1925" s="5" t="s">
        <v>18</v>
      </c>
      <c r="E1925" s="5" t="s">
        <v>1432</v>
      </c>
      <c r="F1925" s="9">
        <v>53</v>
      </c>
      <c r="G1925" s="9">
        <v>565</v>
      </c>
      <c r="H1925" s="5" t="s">
        <v>20</v>
      </c>
      <c r="I1925" s="5" t="s">
        <v>4813</v>
      </c>
      <c r="J1925" s="12" t="str">
        <f>HYPERLINK("https://www.boe.es/gazeta/dias/1805/07/02/pdfs/GMD-1805-53.pdf#page=1","Abrir facsímil")</f>
        <v>Abrir facsímil</v>
      </c>
      <c r="K1925" s="15" t="s">
        <v>22</v>
      </c>
    </row>
    <row r="1926" spans="1:11" ht="42" customHeight="1">
      <c r="A1926" s="4" t="s">
        <v>4814</v>
      </c>
      <c r="B1926" s="5" t="s">
        <v>4814</v>
      </c>
      <c r="C1926" s="5" t="s">
        <v>17</v>
      </c>
      <c r="D1926" s="5" t="s">
        <v>18</v>
      </c>
      <c r="E1926" s="5" t="s">
        <v>112</v>
      </c>
      <c r="F1926" s="9">
        <v>16</v>
      </c>
      <c r="G1926" s="9">
        <v>164</v>
      </c>
      <c r="H1926" s="5" t="s">
        <v>20</v>
      </c>
      <c r="I1926" s="5" t="s">
        <v>4815</v>
      </c>
      <c r="J1926" s="12" t="str">
        <f>HYPERLINK("https://www.boe.es/gazeta/dias/1805/02/22/pdfs/GMD-1805-16.pdf#page=4","Abrir facsímil")</f>
        <v>Abrir facsímil</v>
      </c>
      <c r="K1926" s="15" t="s">
        <v>22</v>
      </c>
    </row>
    <row r="1927" spans="1:11" ht="42" customHeight="1">
      <c r="A1927" s="4" t="s">
        <v>4816</v>
      </c>
      <c r="B1927" s="5" t="s">
        <v>4816</v>
      </c>
      <c r="C1927" s="5" t="s">
        <v>35</v>
      </c>
      <c r="D1927" s="5" t="s">
        <v>36</v>
      </c>
      <c r="E1927" s="5" t="s">
        <v>87</v>
      </c>
      <c r="F1927" s="9">
        <v>14</v>
      </c>
      <c r="G1927" s="9">
        <v>143</v>
      </c>
      <c r="H1927" s="5" t="s">
        <v>20</v>
      </c>
      <c r="I1927" s="5" t="s">
        <v>4817</v>
      </c>
      <c r="J1927" s="12" t="str">
        <f>HYPERLINK("https://www.boe.es/gazeta/dias/1805/02/15/pdfs/GMD-1805-14.pdf#page=3","Abrir facsímil")</f>
        <v>Abrir facsímil</v>
      </c>
      <c r="K1927" s="15" t="s">
        <v>22</v>
      </c>
    </row>
    <row r="1928" spans="1:11" ht="42" customHeight="1">
      <c r="A1928" s="4" t="s">
        <v>4818</v>
      </c>
      <c r="B1928" s="5" t="s">
        <v>4818</v>
      </c>
      <c r="C1928" s="5" t="s">
        <v>80</v>
      </c>
      <c r="D1928" s="5" t="s">
        <v>81</v>
      </c>
      <c r="E1928" s="5" t="s">
        <v>393</v>
      </c>
      <c r="F1928" s="9">
        <v>44</v>
      </c>
      <c r="G1928" s="9">
        <v>465</v>
      </c>
      <c r="H1928" s="5" t="s">
        <v>20</v>
      </c>
      <c r="I1928" s="5" t="s">
        <v>4819</v>
      </c>
      <c r="J1928" s="12" t="str">
        <f>HYPERLINK("https://www.boe.es/gazeta/dias/1805/05/31/pdfs/GMD-1805-44.pdf#page=1","Abrir facsímil")</f>
        <v>Abrir facsímil</v>
      </c>
      <c r="K1928" s="15" t="s">
        <v>22</v>
      </c>
    </row>
    <row r="1929" spans="1:11" ht="42" customHeight="1">
      <c r="A1929" s="4" t="s">
        <v>4820</v>
      </c>
      <c r="B1929" s="5" t="s">
        <v>4820</v>
      </c>
      <c r="C1929" s="5" t="s">
        <v>80</v>
      </c>
      <c r="D1929" s="5" t="s">
        <v>81</v>
      </c>
      <c r="E1929" s="5" t="s">
        <v>886</v>
      </c>
      <c r="F1929" s="9">
        <v>93</v>
      </c>
      <c r="G1929" s="9">
        <v>995</v>
      </c>
      <c r="H1929" s="5" t="s">
        <v>20</v>
      </c>
      <c r="I1929" s="5" t="s">
        <v>4821</v>
      </c>
      <c r="J1929" s="12" t="str">
        <f>HYPERLINK("https://www.boe.es/gazeta/dias/1805/11/19/pdfs/GMD-1805-93.pdf#page=7","Abrir facsímil")</f>
        <v>Abrir facsímil</v>
      </c>
      <c r="K1929" s="15" t="s">
        <v>22</v>
      </c>
    </row>
    <row r="1930" spans="1:11" ht="42" customHeight="1">
      <c r="A1930" s="4" t="s">
        <v>4822</v>
      </c>
      <c r="B1930" s="5" t="s">
        <v>4822</v>
      </c>
      <c r="C1930" s="5" t="s">
        <v>80</v>
      </c>
      <c r="D1930" s="5" t="s">
        <v>81</v>
      </c>
      <c r="E1930" s="5" t="s">
        <v>135</v>
      </c>
      <c r="F1930" s="9">
        <v>71</v>
      </c>
      <c r="G1930" s="9">
        <v>750</v>
      </c>
      <c r="H1930" s="5" t="s">
        <v>20</v>
      </c>
      <c r="I1930" s="5" t="s">
        <v>4823</v>
      </c>
      <c r="J1930" s="12" t="str">
        <f>HYPERLINK("https://www.boe.es/gazeta/dias/1805/09/03/pdfs/GMD-1805-71.pdf#page=2","Abrir facsímil")</f>
        <v>Abrir facsímil</v>
      </c>
      <c r="K1930" s="15" t="s">
        <v>22</v>
      </c>
    </row>
    <row r="1931" spans="1:11" ht="42" customHeight="1">
      <c r="A1931" s="4" t="s">
        <v>4824</v>
      </c>
      <c r="B1931" s="5" t="s">
        <v>4824</v>
      </c>
      <c r="C1931" s="5" t="s">
        <v>80</v>
      </c>
      <c r="D1931" s="5" t="s">
        <v>81</v>
      </c>
      <c r="E1931" s="5" t="s">
        <v>290</v>
      </c>
      <c r="F1931" s="9">
        <v>36</v>
      </c>
      <c r="G1931" s="9">
        <v>381</v>
      </c>
      <c r="H1931" s="5" t="s">
        <v>20</v>
      </c>
      <c r="I1931" s="5" t="s">
        <v>4825</v>
      </c>
      <c r="J1931" s="12" t="str">
        <f>HYPERLINK("https://www.boe.es/gazeta/dias/1805/05/03/pdfs/GMD-1805-36.pdf#page=1","Abrir facsímil")</f>
        <v>Abrir facsímil</v>
      </c>
      <c r="K1931" s="15" t="s">
        <v>22</v>
      </c>
    </row>
    <row r="1932" spans="1:11" ht="42" customHeight="1">
      <c r="A1932" s="4" t="s">
        <v>4826</v>
      </c>
      <c r="B1932" s="5" t="s">
        <v>4826</v>
      </c>
      <c r="C1932" s="5" t="s">
        <v>35</v>
      </c>
      <c r="D1932" s="5" t="s">
        <v>36</v>
      </c>
      <c r="E1932" s="5" t="s">
        <v>261</v>
      </c>
      <c r="F1932" s="9">
        <v>18</v>
      </c>
      <c r="G1932" s="9">
        <v>185</v>
      </c>
      <c r="H1932" s="5" t="s">
        <v>20</v>
      </c>
      <c r="I1932" s="5" t="s">
        <v>4827</v>
      </c>
      <c r="J1932" s="12" t="str">
        <f>HYPERLINK("https://www.boe.es/gazeta/dias/1805/03/01/pdfs/GMD-1805-18.pdf#page=5","Abrir facsímil")</f>
        <v>Abrir facsímil</v>
      </c>
      <c r="K1932" s="15" t="s">
        <v>22</v>
      </c>
    </row>
    <row r="1933" spans="1:11" ht="42" customHeight="1">
      <c r="A1933" s="4" t="s">
        <v>4828</v>
      </c>
      <c r="B1933" s="5" t="s">
        <v>4828</v>
      </c>
      <c r="C1933" s="5" t="s">
        <v>35</v>
      </c>
      <c r="D1933" s="5" t="s">
        <v>36</v>
      </c>
      <c r="E1933" s="5" t="s">
        <v>729</v>
      </c>
      <c r="F1933" s="9">
        <v>61</v>
      </c>
      <c r="G1933" s="9">
        <v>654</v>
      </c>
      <c r="H1933" s="5" t="s">
        <v>20</v>
      </c>
      <c r="I1933" s="5" t="s">
        <v>4829</v>
      </c>
      <c r="J1933" s="12" t="str">
        <f>HYPERLINK("https://www.boe.es/gazeta/dias/1805/07/30/pdfs/GMD-1805-61.pdf#page=6","Abrir facsímil")</f>
        <v>Abrir facsímil</v>
      </c>
      <c r="K1933" s="15" t="s">
        <v>22</v>
      </c>
    </row>
    <row r="1934" spans="1:11" ht="42" customHeight="1">
      <c r="A1934" s="4" t="s">
        <v>4830</v>
      </c>
      <c r="B1934" s="5" t="s">
        <v>4830</v>
      </c>
      <c r="C1934" s="5" t="s">
        <v>35</v>
      </c>
      <c r="D1934" s="5" t="s">
        <v>36</v>
      </c>
      <c r="E1934" s="5" t="s">
        <v>552</v>
      </c>
      <c r="F1934" s="9">
        <v>94</v>
      </c>
      <c r="G1934" s="9">
        <v>1009</v>
      </c>
      <c r="H1934" s="5" t="s">
        <v>20</v>
      </c>
      <c r="I1934" s="5" t="s">
        <v>4831</v>
      </c>
      <c r="J1934" s="12" t="str">
        <f>HYPERLINK("https://www.boe.es/gazeta/dias/1805/11/22/pdfs/GMD-1805-94.pdf#page=9","Abrir facsímil")</f>
        <v>Abrir facsímil</v>
      </c>
      <c r="K1934" s="15" t="s">
        <v>22</v>
      </c>
    </row>
    <row r="1935" spans="1:11" ht="42" customHeight="1">
      <c r="A1935" s="4" t="s">
        <v>4832</v>
      </c>
      <c r="B1935" s="5" t="s">
        <v>4832</v>
      </c>
      <c r="C1935" s="5" t="s">
        <v>35</v>
      </c>
      <c r="D1935" s="5" t="s">
        <v>36</v>
      </c>
      <c r="E1935" s="5" t="s">
        <v>63</v>
      </c>
      <c r="F1935" s="9">
        <v>101</v>
      </c>
      <c r="G1935" s="9">
        <v>1092</v>
      </c>
      <c r="H1935" s="5" t="s">
        <v>20</v>
      </c>
      <c r="I1935" s="5" t="s">
        <v>4833</v>
      </c>
      <c r="J1935" s="12" t="str">
        <f>HYPERLINK("https://www.boe.es/gazeta/dias/1805/12/17/pdfs/GMD-1805-101.pdf#page=8","Abrir facsímil")</f>
        <v>Abrir facsímil</v>
      </c>
      <c r="K1935" s="15" t="s">
        <v>22</v>
      </c>
    </row>
    <row r="1936" spans="1:11" ht="42" customHeight="1">
      <c r="A1936" s="4" t="s">
        <v>4834</v>
      </c>
      <c r="B1936" s="5" t="s">
        <v>4834</v>
      </c>
      <c r="C1936" s="5" t="s">
        <v>80</v>
      </c>
      <c r="D1936" s="5" t="s">
        <v>81</v>
      </c>
      <c r="E1936" s="5" t="s">
        <v>1221</v>
      </c>
      <c r="F1936" s="9">
        <v>41</v>
      </c>
      <c r="G1936" s="9">
        <v>435</v>
      </c>
      <c r="H1936" s="5" t="s">
        <v>20</v>
      </c>
      <c r="I1936" s="5" t="s">
        <v>4835</v>
      </c>
      <c r="J1936" s="12" t="str">
        <f>HYPERLINK("https://www.boe.es/gazeta/dias/1805/05/21/pdfs/GMD-1805-41.pdf#page=3","Abrir facsímil")</f>
        <v>Abrir facsímil</v>
      </c>
      <c r="K1936" s="15" t="s">
        <v>22</v>
      </c>
    </row>
    <row r="1937" spans="1:11" ht="42" customHeight="1">
      <c r="A1937" s="4" t="s">
        <v>4836</v>
      </c>
      <c r="B1937" s="5" t="s">
        <v>4837</v>
      </c>
      <c r="C1937" s="5" t="s">
        <v>35</v>
      </c>
      <c r="D1937" s="5" t="s">
        <v>36</v>
      </c>
      <c r="E1937" s="5" t="s">
        <v>31</v>
      </c>
      <c r="F1937" s="9">
        <v>65</v>
      </c>
      <c r="G1937" s="9">
        <v>693</v>
      </c>
      <c r="H1937" s="5" t="s">
        <v>20</v>
      </c>
      <c r="I1937" s="5" t="s">
        <v>4838</v>
      </c>
      <c r="J1937" s="12" t="str">
        <f>HYPERLINK("https://www.boe.es/gazeta/dias/1805/08/13/pdfs/GMD-1805-65.pdf#page=5","Abrir facsímil")</f>
        <v>Abrir facsímil</v>
      </c>
      <c r="K1937" s="15" t="s">
        <v>22</v>
      </c>
    </row>
    <row r="1938" spans="1:11" ht="42" customHeight="1">
      <c r="A1938" s="4" t="s">
        <v>4839</v>
      </c>
      <c r="B1938" s="5" t="s">
        <v>4840</v>
      </c>
      <c r="C1938" s="5" t="s">
        <v>17</v>
      </c>
      <c r="D1938" s="5" t="s">
        <v>18</v>
      </c>
      <c r="E1938" s="5" t="s">
        <v>112</v>
      </c>
      <c r="F1938" s="9">
        <v>16</v>
      </c>
      <c r="G1938" s="9">
        <v>164</v>
      </c>
      <c r="H1938" s="5" t="s">
        <v>20</v>
      </c>
      <c r="I1938" s="5" t="s">
        <v>4841</v>
      </c>
      <c r="J1938" s="12" t="str">
        <f>HYPERLINK("https://www.boe.es/gazeta/dias/1805/02/22/pdfs/GMD-1805-16.pdf#page=4","Abrir facsímil")</f>
        <v>Abrir facsímil</v>
      </c>
      <c r="K1938" s="15" t="s">
        <v>22</v>
      </c>
    </row>
    <row r="1939" spans="1:11" ht="42" customHeight="1">
      <c r="A1939" s="4" t="s">
        <v>4842</v>
      </c>
      <c r="B1939" s="5" t="s">
        <v>4843</v>
      </c>
      <c r="C1939" s="5" t="s">
        <v>80</v>
      </c>
      <c r="D1939" s="5" t="s">
        <v>81</v>
      </c>
      <c r="E1939" s="5" t="s">
        <v>293</v>
      </c>
      <c r="F1939" s="9">
        <v>5</v>
      </c>
      <c r="G1939" s="9">
        <v>51</v>
      </c>
      <c r="H1939" s="5" t="s">
        <v>20</v>
      </c>
      <c r="I1939" s="5" t="s">
        <v>4844</v>
      </c>
      <c r="J1939" s="12" t="str">
        <f>HYPERLINK("https://www.boe.es/gazeta/dias/1805/01/15/pdfs/GMD-1805-5.pdf#page=7","Abrir facsímil")</f>
        <v>Abrir facsímil</v>
      </c>
      <c r="K1939" s="15" t="s">
        <v>22</v>
      </c>
    </row>
    <row r="1940" spans="1:11" ht="42" customHeight="1">
      <c r="A1940" s="4" t="s">
        <v>4845</v>
      </c>
      <c r="B1940" s="5" t="s">
        <v>4846</v>
      </c>
      <c r="C1940" s="5" t="s">
        <v>80</v>
      </c>
      <c r="D1940" s="5" t="s">
        <v>81</v>
      </c>
      <c r="E1940" s="5" t="s">
        <v>552</v>
      </c>
      <c r="F1940" s="9">
        <v>94</v>
      </c>
      <c r="G1940" s="9">
        <v>1004</v>
      </c>
      <c r="H1940" s="5" t="s">
        <v>20</v>
      </c>
      <c r="I1940" s="5" t="s">
        <v>4847</v>
      </c>
      <c r="J1940" s="12" t="str">
        <f>HYPERLINK("https://www.boe.es/gazeta/dias/1805/11/22/pdfs/GMD-1805-94.pdf#page=4","Abrir facsímil")</f>
        <v>Abrir facsímil</v>
      </c>
      <c r="K1940" s="15" t="s">
        <v>22</v>
      </c>
    </row>
    <row r="1941" spans="1:11" ht="42" customHeight="1">
      <c r="A1941" s="4" t="s">
        <v>4848</v>
      </c>
      <c r="B1941" s="5" t="s">
        <v>4849</v>
      </c>
      <c r="C1941" s="5" t="s">
        <v>80</v>
      </c>
      <c r="D1941" s="5" t="s">
        <v>81</v>
      </c>
      <c r="E1941" s="5" t="s">
        <v>213</v>
      </c>
      <c r="F1941" s="9">
        <v>56</v>
      </c>
      <c r="G1941" s="9">
        <v>594</v>
      </c>
      <c r="H1941" s="5" t="s">
        <v>20</v>
      </c>
      <c r="I1941" s="5" t="s">
        <v>4850</v>
      </c>
      <c r="J1941" s="12" t="str">
        <f>HYPERLINK("https://www.boe.es/gazeta/dias/1805/07/12/pdfs/GMD-1805-56.pdf#page=2","Abrir facsímil")</f>
        <v>Abrir facsímil</v>
      </c>
      <c r="K1941" s="15" t="s">
        <v>22</v>
      </c>
    </row>
    <row r="1942" spans="1:11" ht="42" customHeight="1">
      <c r="A1942" s="4" t="s">
        <v>4851</v>
      </c>
      <c r="B1942" s="5" t="s">
        <v>4852</v>
      </c>
      <c r="C1942" s="5" t="s">
        <v>80</v>
      </c>
      <c r="D1942" s="5" t="s">
        <v>81</v>
      </c>
      <c r="E1942" s="5" t="s">
        <v>19</v>
      </c>
      <c r="F1942" s="9">
        <v>86</v>
      </c>
      <c r="G1942" s="9">
        <v>911</v>
      </c>
      <c r="H1942" s="5" t="s">
        <v>20</v>
      </c>
      <c r="I1942" s="5" t="s">
        <v>4853</v>
      </c>
      <c r="J1942" s="12" t="str">
        <f>HYPERLINK("https://www.boe.es/gazeta/dias/1805/10/25/pdfs/GMD-1805-86.pdf#page=7","Abrir facsímil")</f>
        <v>Abrir facsímil</v>
      </c>
      <c r="K1942" s="15" t="s">
        <v>22</v>
      </c>
    </row>
    <row r="1943" spans="1:11" ht="42" customHeight="1">
      <c r="A1943" s="4" t="s">
        <v>4851</v>
      </c>
      <c r="B1943" s="5" t="s">
        <v>4852</v>
      </c>
      <c r="C1943" s="5" t="s">
        <v>35</v>
      </c>
      <c r="D1943" s="5" t="s">
        <v>36</v>
      </c>
      <c r="E1943" s="5" t="s">
        <v>539</v>
      </c>
      <c r="F1943" s="9">
        <v>97</v>
      </c>
      <c r="G1943" s="9">
        <v>1040</v>
      </c>
      <c r="H1943" s="5" t="s">
        <v>20</v>
      </c>
      <c r="I1943" s="5" t="s">
        <v>4854</v>
      </c>
      <c r="J1943" s="12" t="str">
        <f>HYPERLINK("https://www.boe.es/gazeta/dias/1805/12/03/pdfs/GMD-1805-97.pdf#page=4","Abrir facsímil")</f>
        <v>Abrir facsímil</v>
      </c>
      <c r="K1943" s="15" t="s">
        <v>22</v>
      </c>
    </row>
    <row r="1944" spans="1:11" ht="42" customHeight="1">
      <c r="A1944" s="4" t="s">
        <v>4855</v>
      </c>
      <c r="B1944" s="5" t="s">
        <v>4856</v>
      </c>
      <c r="C1944" s="5" t="s">
        <v>17</v>
      </c>
      <c r="D1944" s="5" t="s">
        <v>18</v>
      </c>
      <c r="E1944" s="5" t="s">
        <v>59</v>
      </c>
      <c r="F1944" s="9">
        <v>21</v>
      </c>
      <c r="G1944" s="9">
        <v>215</v>
      </c>
      <c r="H1944" s="5" t="s">
        <v>20</v>
      </c>
      <c r="I1944" s="5" t="s">
        <v>4857</v>
      </c>
      <c r="J1944" s="12" t="str">
        <f>HYPERLINK("https://www.boe.es/gazeta/dias/1805/03/12/pdfs/GMD-1805-21.pdf#page=3","Abrir facsímil")</f>
        <v>Abrir facsímil</v>
      </c>
      <c r="K1944" s="15" t="s">
        <v>22</v>
      </c>
    </row>
    <row r="1945" spans="1:11" ht="42" customHeight="1">
      <c r="A1945" s="4" t="s">
        <v>4858</v>
      </c>
      <c r="B1945" s="5" t="s">
        <v>4859</v>
      </c>
      <c r="C1945" s="5" t="s">
        <v>80</v>
      </c>
      <c r="D1945" s="5" t="s">
        <v>81</v>
      </c>
      <c r="E1945" s="5" t="s">
        <v>44</v>
      </c>
      <c r="F1945" s="9">
        <v>29</v>
      </c>
      <c r="G1945" s="9">
        <v>309</v>
      </c>
      <c r="H1945" s="5" t="s">
        <v>20</v>
      </c>
      <c r="I1945" s="5" t="s">
        <v>4860</v>
      </c>
      <c r="J1945" s="12" t="str">
        <f>HYPERLINK("https://www.boe.es/gazeta/dias/1805/04/09/pdfs/GMD-1805-29.pdf#page=5","Abrir facsímil")</f>
        <v>Abrir facsímil</v>
      </c>
      <c r="K1945" s="15" t="s">
        <v>22</v>
      </c>
    </row>
    <row r="1946" spans="1:11" ht="42" customHeight="1">
      <c r="A1946" s="4" t="s">
        <v>4858</v>
      </c>
      <c r="B1946" s="5" t="s">
        <v>4859</v>
      </c>
      <c r="C1946" s="5" t="s">
        <v>80</v>
      </c>
      <c r="D1946" s="5" t="s">
        <v>81</v>
      </c>
      <c r="E1946" s="5" t="s">
        <v>44</v>
      </c>
      <c r="F1946" s="9">
        <v>29</v>
      </c>
      <c r="G1946" s="9">
        <v>310</v>
      </c>
      <c r="H1946" s="5" t="s">
        <v>20</v>
      </c>
      <c r="I1946" s="5" t="s">
        <v>4861</v>
      </c>
      <c r="J1946" s="12" t="str">
        <f>HYPERLINK("https://www.boe.es/gazeta/dias/1805/04/09/pdfs/GMD-1805-29.pdf#page=6","Abrir facsímil")</f>
        <v>Abrir facsímil</v>
      </c>
      <c r="K1946" s="15" t="s">
        <v>22</v>
      </c>
    </row>
    <row r="1947" spans="1:11" ht="42" customHeight="1">
      <c r="A1947" s="4" t="s">
        <v>4858</v>
      </c>
      <c r="B1947" s="5" t="s">
        <v>4859</v>
      </c>
      <c r="C1947" s="5" t="s">
        <v>29</v>
      </c>
      <c r="D1947" s="5" t="s">
        <v>30</v>
      </c>
      <c r="E1947" s="5" t="s">
        <v>148</v>
      </c>
      <c r="F1947" s="9">
        <v>50</v>
      </c>
      <c r="G1947" s="9">
        <v>538</v>
      </c>
      <c r="H1947" s="5" t="s">
        <v>20</v>
      </c>
      <c r="I1947" s="5" t="s">
        <v>4862</v>
      </c>
      <c r="J1947" s="12" t="str">
        <f>HYPERLINK("https://www.boe.es/gazeta/dias/1805/06/21/pdfs/GMD-1805-50.pdf#page=6","Abrir facsímil")</f>
        <v>Abrir facsímil</v>
      </c>
      <c r="K1947" s="15" t="s">
        <v>22</v>
      </c>
    </row>
    <row r="1948" spans="1:11" ht="42" customHeight="1">
      <c r="A1948" s="4" t="s">
        <v>4858</v>
      </c>
      <c r="B1948" s="5" t="s">
        <v>4859</v>
      </c>
      <c r="C1948" s="5" t="s">
        <v>17</v>
      </c>
      <c r="D1948" s="5" t="s">
        <v>18</v>
      </c>
      <c r="E1948" s="5" t="s">
        <v>37</v>
      </c>
      <c r="F1948" s="9">
        <v>54</v>
      </c>
      <c r="G1948" s="9">
        <v>577</v>
      </c>
      <c r="H1948" s="5" t="s">
        <v>20</v>
      </c>
      <c r="I1948" s="5" t="s">
        <v>4863</v>
      </c>
      <c r="J1948" s="12" t="str">
        <f>HYPERLINK("https://www.boe.es/gazeta/dias/1805/07/05/pdfs/GMD-1805-54.pdf#page=5","Abrir facsímil")</f>
        <v>Abrir facsímil</v>
      </c>
      <c r="K1948" s="15" t="s">
        <v>22</v>
      </c>
    </row>
    <row r="1949" spans="1:11" ht="42" customHeight="1">
      <c r="A1949" s="4" t="s">
        <v>4858</v>
      </c>
      <c r="B1949" s="5" t="s">
        <v>4859</v>
      </c>
      <c r="C1949" s="5" t="s">
        <v>85</v>
      </c>
      <c r="D1949" s="5" t="s">
        <v>86</v>
      </c>
      <c r="E1949" s="5" t="s">
        <v>352</v>
      </c>
      <c r="F1949" s="9">
        <v>60</v>
      </c>
      <c r="G1949" s="9">
        <v>643</v>
      </c>
      <c r="H1949" s="5" t="s">
        <v>20</v>
      </c>
      <c r="I1949" s="5" t="s">
        <v>4864</v>
      </c>
      <c r="J1949" s="12" t="str">
        <f>HYPERLINK("https://www.boe.es/gazeta/dias/1805/07/26/pdfs/GMD-1805-60.pdf#page=7","Abrir facsímil")</f>
        <v>Abrir facsímil</v>
      </c>
      <c r="K1949" s="15" t="s">
        <v>22</v>
      </c>
    </row>
    <row r="1950" spans="1:11" ht="42" customHeight="1">
      <c r="A1950" s="4" t="s">
        <v>4865</v>
      </c>
      <c r="B1950" s="5" t="s">
        <v>4866</v>
      </c>
      <c r="C1950" s="5" t="s">
        <v>17</v>
      </c>
      <c r="D1950" s="5" t="s">
        <v>18</v>
      </c>
      <c r="E1950" s="5" t="s">
        <v>120</v>
      </c>
      <c r="F1950" s="9">
        <v>24</v>
      </c>
      <c r="G1950" s="9">
        <v>258</v>
      </c>
      <c r="H1950" s="5" t="s">
        <v>20</v>
      </c>
      <c r="I1950" s="5" t="s">
        <v>4867</v>
      </c>
      <c r="J1950" s="12" t="str">
        <f>HYPERLINK("https://www.boe.es/gazeta/dias/1805/03/22/pdfs/GMD-1805-24.pdf#page=10","Abrir facsímil")</f>
        <v>Abrir facsímil</v>
      </c>
      <c r="K1950" s="15" t="s">
        <v>22</v>
      </c>
    </row>
    <row r="1951" spans="1:11" ht="42" customHeight="1">
      <c r="A1951" s="4" t="s">
        <v>4868</v>
      </c>
      <c r="B1951" s="5" t="s">
        <v>4869</v>
      </c>
      <c r="C1951" s="5" t="s">
        <v>17</v>
      </c>
      <c r="D1951" s="5" t="s">
        <v>18</v>
      </c>
      <c r="E1951" s="5" t="s">
        <v>59</v>
      </c>
      <c r="F1951" s="9">
        <v>21</v>
      </c>
      <c r="G1951" s="9">
        <v>217</v>
      </c>
      <c r="H1951" s="5" t="s">
        <v>20</v>
      </c>
      <c r="I1951" s="5" t="s">
        <v>4870</v>
      </c>
      <c r="J1951" s="12" t="str">
        <f>HYPERLINK("https://www.boe.es/gazeta/dias/1805/03/12/pdfs/GMD-1805-21.pdf#page=5","Abrir facsímil")</f>
        <v>Abrir facsímil</v>
      </c>
      <c r="K1951" s="15" t="s">
        <v>22</v>
      </c>
    </row>
    <row r="1952" spans="1:11" ht="42" customHeight="1">
      <c r="A1952" s="4" t="s">
        <v>4871</v>
      </c>
      <c r="B1952" s="5" t="s">
        <v>4871</v>
      </c>
      <c r="C1952" s="5" t="s">
        <v>17</v>
      </c>
      <c r="D1952" s="5" t="s">
        <v>18</v>
      </c>
      <c r="E1952" s="5" t="s">
        <v>170</v>
      </c>
      <c r="F1952" s="9">
        <v>9</v>
      </c>
      <c r="G1952" s="9">
        <v>103</v>
      </c>
      <c r="H1952" s="5" t="s">
        <v>20</v>
      </c>
      <c r="I1952" s="5" t="s">
        <v>4872</v>
      </c>
      <c r="J1952" s="12" t="str">
        <f>HYPERLINK("https://www.boe.es/gazeta/dias/1805/01/29/pdfs/GMD-1805-9.pdf#page=11","Abrir facsímil")</f>
        <v>Abrir facsímil</v>
      </c>
      <c r="K1952" s="15" t="s">
        <v>22</v>
      </c>
    </row>
    <row r="1953" spans="1:11" ht="42" customHeight="1">
      <c r="A1953" s="4" t="s">
        <v>4873</v>
      </c>
      <c r="B1953" s="5" t="s">
        <v>4874</v>
      </c>
      <c r="C1953" s="5" t="s">
        <v>17</v>
      </c>
      <c r="D1953" s="5" t="s">
        <v>18</v>
      </c>
      <c r="E1953" s="5" t="s">
        <v>886</v>
      </c>
      <c r="F1953" s="9">
        <v>93</v>
      </c>
      <c r="G1953" s="9">
        <v>1000</v>
      </c>
      <c r="H1953" s="5" t="s">
        <v>20</v>
      </c>
      <c r="I1953" s="5" t="s">
        <v>4875</v>
      </c>
      <c r="J1953" s="12" t="str">
        <f>HYPERLINK("https://www.boe.es/gazeta/dias/1805/11/19/pdfs/GMD-1805-93.pdf#page=12","Abrir facsímil")</f>
        <v>Abrir facsímil</v>
      </c>
      <c r="K1953" s="15" t="s">
        <v>22</v>
      </c>
    </row>
    <row r="1954" spans="1:11" ht="42" customHeight="1">
      <c r="A1954" s="4" t="s">
        <v>4876</v>
      </c>
      <c r="B1954" s="5" t="s">
        <v>4877</v>
      </c>
      <c r="C1954" s="5" t="s">
        <v>17</v>
      </c>
      <c r="D1954" s="5" t="s">
        <v>18</v>
      </c>
      <c r="E1954" s="5" t="s">
        <v>120</v>
      </c>
      <c r="F1954" s="9">
        <v>24</v>
      </c>
      <c r="G1954" s="9">
        <v>258</v>
      </c>
      <c r="H1954" s="5" t="s">
        <v>20</v>
      </c>
      <c r="I1954" s="5" t="s">
        <v>4878</v>
      </c>
      <c r="J1954" s="12" t="str">
        <f>HYPERLINK("https://www.boe.es/gazeta/dias/1805/03/22/pdfs/GMD-1805-24.pdf#page=10","Abrir facsímil")</f>
        <v>Abrir facsímil</v>
      </c>
      <c r="K1954" s="15" t="s">
        <v>22</v>
      </c>
    </row>
    <row r="1955" spans="1:11" ht="42" customHeight="1">
      <c r="A1955" s="4" t="s">
        <v>4879</v>
      </c>
      <c r="B1955" s="5" t="s">
        <v>4879</v>
      </c>
      <c r="C1955" s="5" t="s">
        <v>35</v>
      </c>
      <c r="D1955" s="5" t="s">
        <v>36</v>
      </c>
      <c r="E1955" s="5" t="s">
        <v>1292</v>
      </c>
      <c r="F1955" s="9">
        <v>43</v>
      </c>
      <c r="G1955" s="9">
        <v>457</v>
      </c>
      <c r="H1955" s="5" t="s">
        <v>20</v>
      </c>
      <c r="I1955" s="5" t="s">
        <v>4880</v>
      </c>
      <c r="J1955" s="12" t="str">
        <f>HYPERLINK("https://www.boe.es/gazeta/dias/1805/05/28/pdfs/GMD-1805-43.pdf#page=1","Abrir facsímil")</f>
        <v>Abrir facsímil</v>
      </c>
      <c r="K1955" s="15" t="s">
        <v>22</v>
      </c>
    </row>
    <row r="1956" spans="1:11" ht="42" customHeight="1">
      <c r="A1956" s="4" t="s">
        <v>4881</v>
      </c>
      <c r="B1956" s="5" t="s">
        <v>4881</v>
      </c>
      <c r="C1956" s="5" t="s">
        <v>17</v>
      </c>
      <c r="D1956" s="5" t="s">
        <v>18</v>
      </c>
      <c r="E1956" s="5" t="s">
        <v>71</v>
      </c>
      <c r="F1956" s="9">
        <v>33</v>
      </c>
      <c r="G1956" s="9">
        <v>350</v>
      </c>
      <c r="H1956" s="5" t="s">
        <v>20</v>
      </c>
      <c r="I1956" s="5" t="s">
        <v>4882</v>
      </c>
      <c r="J1956" s="12" t="str">
        <f>HYPERLINK("https://www.boe.es/gazeta/dias/1805/04/23/pdfs/GMD-1805-33.pdf#page=6","Abrir facsímil")</f>
        <v>Abrir facsímil</v>
      </c>
      <c r="K1956" s="15" t="s">
        <v>22</v>
      </c>
    </row>
    <row r="1957" spans="1:11" ht="42" customHeight="1">
      <c r="A1957" s="4" t="s">
        <v>4881</v>
      </c>
      <c r="B1957" s="5" t="s">
        <v>4881</v>
      </c>
      <c r="C1957" s="5" t="s">
        <v>35</v>
      </c>
      <c r="D1957" s="5" t="s">
        <v>36</v>
      </c>
      <c r="E1957" s="5" t="s">
        <v>99</v>
      </c>
      <c r="F1957" s="9">
        <v>83</v>
      </c>
      <c r="G1957" s="9">
        <v>874</v>
      </c>
      <c r="H1957" s="5" t="s">
        <v>20</v>
      </c>
      <c r="I1957" s="5" t="s">
        <v>4883</v>
      </c>
      <c r="J1957" s="12" t="str">
        <f>HYPERLINK("https://www.boe.es/gazeta/dias/1805/10/15/pdfs/GMD-1805-83.pdf#page=2","Abrir facsímil")</f>
        <v>Abrir facsímil</v>
      </c>
      <c r="K1957" s="15" t="s">
        <v>22</v>
      </c>
    </row>
    <row r="1958" spans="1:11" ht="42" customHeight="1">
      <c r="A1958" s="4" t="s">
        <v>4884</v>
      </c>
      <c r="B1958" s="5" t="s">
        <v>4884</v>
      </c>
      <c r="C1958" s="5" t="s">
        <v>80</v>
      </c>
      <c r="D1958" s="5" t="s">
        <v>81</v>
      </c>
      <c r="E1958" s="5" t="s">
        <v>1221</v>
      </c>
      <c r="F1958" s="9">
        <v>41</v>
      </c>
      <c r="G1958" s="9">
        <v>439</v>
      </c>
      <c r="H1958" s="5" t="s">
        <v>20</v>
      </c>
      <c r="I1958" s="5" t="s">
        <v>4885</v>
      </c>
      <c r="J1958" s="12" t="str">
        <f>HYPERLINK("https://www.boe.es/gazeta/dias/1805/05/21/pdfs/GMD-1805-41.pdf#page=7","Abrir facsímil")</f>
        <v>Abrir facsímil</v>
      </c>
      <c r="K1958" s="15" t="s">
        <v>22</v>
      </c>
    </row>
    <row r="1959" spans="1:11" ht="42" customHeight="1">
      <c r="A1959" s="4" t="s">
        <v>4884</v>
      </c>
      <c r="B1959" s="5" t="s">
        <v>4884</v>
      </c>
      <c r="C1959" s="5" t="s">
        <v>80</v>
      </c>
      <c r="D1959" s="5" t="s">
        <v>81</v>
      </c>
      <c r="E1959" s="5" t="s">
        <v>1022</v>
      </c>
      <c r="F1959" s="9">
        <v>52</v>
      </c>
      <c r="G1959" s="9">
        <v>557</v>
      </c>
      <c r="H1959" s="5" t="s">
        <v>20</v>
      </c>
      <c r="I1959" s="5" t="s">
        <v>4886</v>
      </c>
      <c r="J1959" s="12" t="str">
        <f>HYPERLINK("https://www.boe.es/gazeta/dias/1805/06/28/pdfs/GMD-1805-52.pdf#page=5","Abrir facsímil")</f>
        <v>Abrir facsímil</v>
      </c>
      <c r="K1959" s="15" t="s">
        <v>22</v>
      </c>
    </row>
    <row r="1960" spans="1:11" ht="42" customHeight="1">
      <c r="A1960" s="4" t="s">
        <v>4884</v>
      </c>
      <c r="B1960" s="5" t="s">
        <v>4884</v>
      </c>
      <c r="C1960" s="5" t="s">
        <v>17</v>
      </c>
      <c r="D1960" s="5" t="s">
        <v>18</v>
      </c>
      <c r="E1960" s="5" t="s">
        <v>37</v>
      </c>
      <c r="F1960" s="9">
        <v>54</v>
      </c>
      <c r="G1960" s="9">
        <v>578</v>
      </c>
      <c r="H1960" s="5" t="s">
        <v>20</v>
      </c>
      <c r="I1960" s="5" t="s">
        <v>4887</v>
      </c>
      <c r="J1960" s="12" t="str">
        <f>HYPERLINK("https://www.boe.es/gazeta/dias/1805/07/05/pdfs/GMD-1805-54.pdf#page=6","Abrir facsímil")</f>
        <v>Abrir facsímil</v>
      </c>
      <c r="K1960" s="15" t="s">
        <v>22</v>
      </c>
    </row>
    <row r="1961" spans="1:11" ht="42" customHeight="1">
      <c r="A1961" s="4" t="s">
        <v>4888</v>
      </c>
      <c r="B1961" s="5" t="s">
        <v>4888</v>
      </c>
      <c r="C1961" s="5" t="s">
        <v>80</v>
      </c>
      <c r="D1961" s="5" t="s">
        <v>81</v>
      </c>
      <c r="E1961" s="5" t="s">
        <v>48</v>
      </c>
      <c r="F1961" s="9">
        <v>35</v>
      </c>
      <c r="G1961" s="9">
        <v>371</v>
      </c>
      <c r="H1961" s="5" t="s">
        <v>20</v>
      </c>
      <c r="I1961" s="5" t="s">
        <v>4889</v>
      </c>
      <c r="J1961" s="12" t="str">
        <f>HYPERLINK("https://www.boe.es/gazeta/dias/1805/04/30/pdfs/GMD-1805-35.pdf#page=3","Abrir facsímil")</f>
        <v>Abrir facsímil</v>
      </c>
      <c r="K1961" s="15" t="s">
        <v>22</v>
      </c>
    </row>
    <row r="1962" spans="1:11" ht="42" customHeight="1">
      <c r="A1962" s="4" t="s">
        <v>4888</v>
      </c>
      <c r="B1962" s="5" t="s">
        <v>4888</v>
      </c>
      <c r="C1962" s="5" t="s">
        <v>35</v>
      </c>
      <c r="D1962" s="5" t="s">
        <v>36</v>
      </c>
      <c r="E1962" s="5" t="s">
        <v>290</v>
      </c>
      <c r="F1962" s="9">
        <v>36</v>
      </c>
      <c r="G1962" s="9">
        <v>384</v>
      </c>
      <c r="H1962" s="5" t="s">
        <v>20</v>
      </c>
      <c r="I1962" s="5" t="s">
        <v>4890</v>
      </c>
      <c r="J1962" s="12" t="str">
        <f>HYPERLINK("https://www.boe.es/gazeta/dias/1805/05/03/pdfs/GMD-1805-36.pdf#page=4","Abrir facsímil")</f>
        <v>Abrir facsímil</v>
      </c>
      <c r="K1962" s="15" t="s">
        <v>22</v>
      </c>
    </row>
    <row r="1963" spans="1:11" ht="42" customHeight="1">
      <c r="A1963" s="4" t="s">
        <v>4888</v>
      </c>
      <c r="B1963" s="5" t="s">
        <v>4888</v>
      </c>
      <c r="C1963" s="5" t="s">
        <v>184</v>
      </c>
      <c r="D1963" s="5" t="s">
        <v>86</v>
      </c>
      <c r="E1963" s="5" t="s">
        <v>148</v>
      </c>
      <c r="F1963" s="9">
        <v>50</v>
      </c>
      <c r="G1963" s="9">
        <v>535</v>
      </c>
      <c r="H1963" s="5" t="s">
        <v>20</v>
      </c>
      <c r="I1963" s="5" t="s">
        <v>4891</v>
      </c>
      <c r="J1963" s="12" t="str">
        <f>HYPERLINK("https://www.boe.es/gazeta/dias/1805/06/21/pdfs/GMD-1805-50.pdf#page=3","Abrir facsímil")</f>
        <v>Abrir facsímil</v>
      </c>
      <c r="K1963" s="15" t="s">
        <v>22</v>
      </c>
    </row>
    <row r="1964" spans="1:11" ht="42" customHeight="1">
      <c r="A1964" s="4" t="s">
        <v>4888</v>
      </c>
      <c r="B1964" s="5" t="s">
        <v>4888</v>
      </c>
      <c r="C1964" s="5" t="s">
        <v>80</v>
      </c>
      <c r="D1964" s="5" t="s">
        <v>81</v>
      </c>
      <c r="E1964" s="5" t="s">
        <v>63</v>
      </c>
      <c r="F1964" s="9">
        <v>101</v>
      </c>
      <c r="G1964" s="9">
        <v>1088</v>
      </c>
      <c r="H1964" s="5" t="s">
        <v>20</v>
      </c>
      <c r="I1964" s="5" t="s">
        <v>4892</v>
      </c>
      <c r="J1964" s="12" t="str">
        <f>HYPERLINK("https://www.boe.es/gazeta/dias/1805/12/17/pdfs/GMD-1805-101.pdf#page=4","Abrir facsímil")</f>
        <v>Abrir facsímil</v>
      </c>
      <c r="K1964" s="15" t="s">
        <v>22</v>
      </c>
    </row>
    <row r="1965" spans="1:11" ht="42" customHeight="1">
      <c r="A1965" s="4" t="s">
        <v>4893</v>
      </c>
      <c r="B1965" s="5" t="s">
        <v>4893</v>
      </c>
      <c r="C1965" s="5" t="s">
        <v>80</v>
      </c>
      <c r="D1965" s="5" t="s">
        <v>81</v>
      </c>
      <c r="E1965" s="5" t="s">
        <v>99</v>
      </c>
      <c r="F1965" s="9">
        <v>83</v>
      </c>
      <c r="G1965" s="9">
        <v>881</v>
      </c>
      <c r="H1965" s="5" t="s">
        <v>20</v>
      </c>
      <c r="I1965" s="5" t="s">
        <v>4894</v>
      </c>
      <c r="J1965" s="12" t="str">
        <f>HYPERLINK("https://www.boe.es/gazeta/dias/1805/10/15/pdfs/GMD-1805-83.pdf#page=9","Abrir facsímil")</f>
        <v>Abrir facsímil</v>
      </c>
      <c r="K1965" s="15" t="s">
        <v>22</v>
      </c>
    </row>
    <row r="1966" spans="1:11" ht="42" customHeight="1">
      <c r="A1966" s="4" t="s">
        <v>4895</v>
      </c>
      <c r="B1966" s="5" t="s">
        <v>4895</v>
      </c>
      <c r="C1966" s="5" t="s">
        <v>80</v>
      </c>
      <c r="D1966" s="5" t="s">
        <v>81</v>
      </c>
      <c r="E1966" s="5" t="s">
        <v>99</v>
      </c>
      <c r="F1966" s="9">
        <v>83</v>
      </c>
      <c r="G1966" s="9">
        <v>880</v>
      </c>
      <c r="H1966" s="5" t="s">
        <v>20</v>
      </c>
      <c r="I1966" s="5" t="s">
        <v>4896</v>
      </c>
      <c r="J1966" s="12" t="str">
        <f>HYPERLINK("https://www.boe.es/gazeta/dias/1805/10/15/pdfs/GMD-1805-83.pdf#page=8","Abrir facsímil")</f>
        <v>Abrir facsímil</v>
      </c>
      <c r="K1966" s="15" t="s">
        <v>22</v>
      </c>
    </row>
    <row r="1967" spans="1:11" ht="42" customHeight="1">
      <c r="A1967" s="4" t="s">
        <v>4897</v>
      </c>
      <c r="B1967" s="5" t="s">
        <v>4897</v>
      </c>
      <c r="C1967" s="5" t="s">
        <v>184</v>
      </c>
      <c r="D1967" s="5" t="s">
        <v>86</v>
      </c>
      <c r="E1967" s="5" t="s">
        <v>1471</v>
      </c>
      <c r="F1967" s="9">
        <v>34</v>
      </c>
      <c r="G1967" s="9">
        <v>358</v>
      </c>
      <c r="H1967" s="5" t="s">
        <v>20</v>
      </c>
      <c r="I1967" s="5" t="s">
        <v>4898</v>
      </c>
      <c r="J1967" s="12" t="str">
        <f>HYPERLINK("https://www.boe.es/gazeta/dias/1805/04/26/pdfs/GMD-1805-34.pdf#page=2","Abrir facsímil")</f>
        <v>Abrir facsímil</v>
      </c>
      <c r="K1967" s="15" t="s">
        <v>22</v>
      </c>
    </row>
    <row r="1968" spans="1:11" ht="42" customHeight="1">
      <c r="A1968" s="4" t="s">
        <v>4897</v>
      </c>
      <c r="B1968" s="5" t="s">
        <v>4897</v>
      </c>
      <c r="C1968" s="5" t="s">
        <v>35</v>
      </c>
      <c r="D1968" s="5" t="s">
        <v>36</v>
      </c>
      <c r="E1968" s="5" t="s">
        <v>99</v>
      </c>
      <c r="F1968" s="9">
        <v>83</v>
      </c>
      <c r="G1968" s="9">
        <v>874</v>
      </c>
      <c r="H1968" s="5" t="s">
        <v>20</v>
      </c>
      <c r="I1968" s="5" t="s">
        <v>4899</v>
      </c>
      <c r="J1968" s="12" t="str">
        <f>HYPERLINK("https://www.boe.es/gazeta/dias/1805/10/15/pdfs/GMD-1805-83.pdf#page=2","Abrir facsímil")</f>
        <v>Abrir facsímil</v>
      </c>
      <c r="K1968" s="15" t="s">
        <v>22</v>
      </c>
    </row>
    <row r="1969" spans="1:11" ht="42" customHeight="1">
      <c r="A1969" s="4" t="s">
        <v>4900</v>
      </c>
      <c r="B1969" s="5" t="s">
        <v>4900</v>
      </c>
      <c r="C1969" s="5" t="s">
        <v>35</v>
      </c>
      <c r="D1969" s="5" t="s">
        <v>36</v>
      </c>
      <c r="E1969" s="5" t="s">
        <v>132</v>
      </c>
      <c r="F1969" s="9">
        <v>2</v>
      </c>
      <c r="G1969" s="9">
        <v>13</v>
      </c>
      <c r="H1969" s="5" t="s">
        <v>20</v>
      </c>
      <c r="I1969" s="5" t="s">
        <v>4901</v>
      </c>
      <c r="J1969" s="12" t="str">
        <f>HYPERLINK("https://www.boe.es/gazeta/dias/1805/01/04/pdfs/GMD-1805-2.pdf#page=1","Abrir facsímil")</f>
        <v>Abrir facsímil</v>
      </c>
      <c r="K1969" s="15" t="s">
        <v>22</v>
      </c>
    </row>
    <row r="1970" spans="1:11" ht="42" customHeight="1">
      <c r="A1970" s="4" t="s">
        <v>4900</v>
      </c>
      <c r="B1970" s="5" t="s">
        <v>4900</v>
      </c>
      <c r="C1970" s="5" t="s">
        <v>80</v>
      </c>
      <c r="D1970" s="5" t="s">
        <v>81</v>
      </c>
      <c r="E1970" s="5" t="s">
        <v>132</v>
      </c>
      <c r="F1970" s="9">
        <v>2</v>
      </c>
      <c r="G1970" s="9">
        <v>17</v>
      </c>
      <c r="H1970" s="5" t="s">
        <v>20</v>
      </c>
      <c r="I1970" s="5" t="s">
        <v>4902</v>
      </c>
      <c r="J1970" s="12" t="str">
        <f>HYPERLINK("https://www.boe.es/gazeta/dias/1805/01/04/pdfs/GMD-1805-2.pdf#page=5","Abrir facsímil")</f>
        <v>Abrir facsímil</v>
      </c>
      <c r="K1970" s="15" t="s">
        <v>22</v>
      </c>
    </row>
    <row r="1971" spans="1:11" ht="42" customHeight="1">
      <c r="A1971" s="4" t="s">
        <v>4900</v>
      </c>
      <c r="B1971" s="5" t="s">
        <v>4900</v>
      </c>
      <c r="C1971" s="5" t="s">
        <v>17</v>
      </c>
      <c r="D1971" s="5" t="s">
        <v>18</v>
      </c>
      <c r="E1971" s="5" t="s">
        <v>1445</v>
      </c>
      <c r="F1971" s="9">
        <v>6</v>
      </c>
      <c r="G1971" s="9">
        <v>61</v>
      </c>
      <c r="H1971" s="5" t="s">
        <v>20</v>
      </c>
      <c r="I1971" s="5" t="s">
        <v>4903</v>
      </c>
      <c r="J1971" s="12" t="str">
        <f>HYPERLINK("https://www.boe.es/gazeta/dias/1805/01/18/pdfs/GMD-1805-6.pdf#page=5","Abrir facsímil")</f>
        <v>Abrir facsímil</v>
      </c>
      <c r="K1971" s="15" t="s">
        <v>22</v>
      </c>
    </row>
    <row r="1972" spans="1:11" ht="42" customHeight="1">
      <c r="A1972" s="4" t="s">
        <v>4900</v>
      </c>
      <c r="B1972" s="5" t="s">
        <v>4900</v>
      </c>
      <c r="C1972" s="5" t="s">
        <v>17</v>
      </c>
      <c r="D1972" s="5" t="s">
        <v>18</v>
      </c>
      <c r="E1972" s="5" t="s">
        <v>107</v>
      </c>
      <c r="F1972" s="9">
        <v>19</v>
      </c>
      <c r="G1972" s="9">
        <v>191</v>
      </c>
      <c r="H1972" s="5" t="s">
        <v>20</v>
      </c>
      <c r="I1972" s="5" t="s">
        <v>4904</v>
      </c>
      <c r="J1972" s="12" t="str">
        <f>HYPERLINK("https://www.boe.es/gazeta/dias/1805/03/05/pdfs/GMD-1805-19.pdf#page=3","Abrir facsímil")</f>
        <v>Abrir facsímil</v>
      </c>
      <c r="K1972" s="15" t="s">
        <v>22</v>
      </c>
    </row>
    <row r="1973" spans="1:11" ht="42" customHeight="1">
      <c r="A1973" s="4" t="s">
        <v>4900</v>
      </c>
      <c r="B1973" s="5" t="s">
        <v>4900</v>
      </c>
      <c r="C1973" s="5" t="s">
        <v>35</v>
      </c>
      <c r="D1973" s="5" t="s">
        <v>36</v>
      </c>
      <c r="E1973" s="5" t="s">
        <v>120</v>
      </c>
      <c r="F1973" s="9">
        <v>24</v>
      </c>
      <c r="G1973" s="9">
        <v>249</v>
      </c>
      <c r="H1973" s="5" t="s">
        <v>20</v>
      </c>
      <c r="I1973" s="5" t="s">
        <v>4905</v>
      </c>
      <c r="J1973" s="12" t="str">
        <f>HYPERLINK("https://www.boe.es/gazeta/dias/1805/03/22/pdfs/GMD-1805-24.pdf#page=1","Abrir facsímil")</f>
        <v>Abrir facsímil</v>
      </c>
      <c r="K1973" s="15" t="s">
        <v>22</v>
      </c>
    </row>
    <row r="1974" spans="1:11" ht="42" customHeight="1">
      <c r="A1974" s="4" t="s">
        <v>4900</v>
      </c>
      <c r="B1974" s="5" t="s">
        <v>4900</v>
      </c>
      <c r="C1974" s="5" t="s">
        <v>80</v>
      </c>
      <c r="D1974" s="5" t="s">
        <v>81</v>
      </c>
      <c r="E1974" s="5" t="s">
        <v>226</v>
      </c>
      <c r="F1974" s="9">
        <v>73</v>
      </c>
      <c r="G1974" s="9">
        <v>771</v>
      </c>
      <c r="H1974" s="5" t="s">
        <v>20</v>
      </c>
      <c r="I1974" s="5" t="s">
        <v>4906</v>
      </c>
      <c r="J1974" s="12" t="str">
        <f>HYPERLINK("https://www.boe.es/gazeta/dias/1805/09/10/pdfs/GMD-1805-73.pdf#page=3","Abrir facsímil")</f>
        <v>Abrir facsímil</v>
      </c>
      <c r="K1974" s="15" t="s">
        <v>22</v>
      </c>
    </row>
    <row r="1975" spans="1:11" ht="42" customHeight="1">
      <c r="A1975" s="4" t="s">
        <v>4900</v>
      </c>
      <c r="B1975" s="5" t="s">
        <v>4900</v>
      </c>
      <c r="C1975" s="5" t="s">
        <v>80</v>
      </c>
      <c r="D1975" s="5" t="s">
        <v>81</v>
      </c>
      <c r="E1975" s="5" t="s">
        <v>207</v>
      </c>
      <c r="F1975" s="9">
        <v>76</v>
      </c>
      <c r="G1975" s="9">
        <v>804</v>
      </c>
      <c r="H1975" s="5" t="s">
        <v>20</v>
      </c>
      <c r="I1975" s="5" t="s">
        <v>4907</v>
      </c>
      <c r="J1975" s="12" t="str">
        <f>HYPERLINK("https://www.boe.es/gazeta/dias/1805/09/20/pdfs/GMD-1805-76.pdf#page=4","Abrir facsímil")</f>
        <v>Abrir facsímil</v>
      </c>
      <c r="K1975" s="15" t="s">
        <v>22</v>
      </c>
    </row>
    <row r="1976" spans="1:11" ht="42" customHeight="1">
      <c r="A1976" s="4" t="s">
        <v>4900</v>
      </c>
      <c r="B1976" s="5" t="s">
        <v>4900</v>
      </c>
      <c r="C1976" s="5" t="s">
        <v>35</v>
      </c>
      <c r="D1976" s="5" t="s">
        <v>36</v>
      </c>
      <c r="E1976" s="5" t="s">
        <v>1259</v>
      </c>
      <c r="F1976" s="9">
        <v>78</v>
      </c>
      <c r="G1976" s="9">
        <v>824</v>
      </c>
      <c r="H1976" s="5" t="s">
        <v>20</v>
      </c>
      <c r="I1976" s="5" t="s">
        <v>4908</v>
      </c>
      <c r="J1976" s="12" t="str">
        <f>HYPERLINK("https://www.boe.es/gazeta/dias/1805/09/27/pdfs/GMD-1805-78.pdf#page=4","Abrir facsímil")</f>
        <v>Abrir facsímil</v>
      </c>
      <c r="K1976" s="15" t="s">
        <v>22</v>
      </c>
    </row>
    <row r="1977" spans="1:11" ht="42" customHeight="1">
      <c r="A1977" s="4" t="s">
        <v>4900</v>
      </c>
      <c r="B1977" s="5" t="s">
        <v>4900</v>
      </c>
      <c r="C1977" s="5" t="s">
        <v>80</v>
      </c>
      <c r="D1977" s="5" t="s">
        <v>81</v>
      </c>
      <c r="E1977" s="5" t="s">
        <v>144</v>
      </c>
      <c r="F1977" s="9">
        <v>85</v>
      </c>
      <c r="G1977" s="9">
        <v>895</v>
      </c>
      <c r="H1977" s="5" t="s">
        <v>20</v>
      </c>
      <c r="I1977" s="5" t="s">
        <v>4909</v>
      </c>
      <c r="J1977" s="12" t="str">
        <f>HYPERLINK("https://www.boe.es/gazeta/dias/1805/10/22/pdfs/GMD-1805-85.pdf#page=3","Abrir facsímil")</f>
        <v>Abrir facsímil</v>
      </c>
      <c r="K1977" s="15" t="s">
        <v>22</v>
      </c>
    </row>
    <row r="1978" spans="1:11" ht="42" customHeight="1">
      <c r="A1978" s="4" t="s">
        <v>4910</v>
      </c>
      <c r="B1978" s="5" t="s">
        <v>4910</v>
      </c>
      <c r="C1978" s="5" t="s">
        <v>80</v>
      </c>
      <c r="D1978" s="5" t="s">
        <v>81</v>
      </c>
      <c r="E1978" s="5" t="s">
        <v>31</v>
      </c>
      <c r="F1978" s="9">
        <v>65</v>
      </c>
      <c r="G1978" s="9">
        <v>689</v>
      </c>
      <c r="H1978" s="5" t="s">
        <v>20</v>
      </c>
      <c r="I1978" s="5" t="s">
        <v>4911</v>
      </c>
      <c r="J1978" s="12" t="str">
        <f>HYPERLINK("https://www.boe.es/gazeta/dias/1805/08/13/pdfs/GMD-1805-65.pdf#page=1","Abrir facsímil")</f>
        <v>Abrir facsímil</v>
      </c>
      <c r="K1978" s="15" t="s">
        <v>22</v>
      </c>
    </row>
    <row r="1979" spans="1:11" ht="42" customHeight="1">
      <c r="A1979" s="4" t="s">
        <v>4912</v>
      </c>
      <c r="B1979" s="5" t="s">
        <v>4912</v>
      </c>
      <c r="C1979" s="5" t="s">
        <v>35</v>
      </c>
      <c r="D1979" s="5" t="s">
        <v>36</v>
      </c>
      <c r="E1979" s="5" t="s">
        <v>296</v>
      </c>
      <c r="F1979" s="9">
        <v>26</v>
      </c>
      <c r="G1979" s="9">
        <v>275</v>
      </c>
      <c r="H1979" s="5" t="s">
        <v>20</v>
      </c>
      <c r="I1979" s="5" t="s">
        <v>4913</v>
      </c>
      <c r="J1979" s="12" t="str">
        <f>HYPERLINK("https://www.boe.es/gazeta/dias/1805/03/29/pdfs/GMD-1805-26.pdf#page=7","Abrir facsímil")</f>
        <v>Abrir facsímil</v>
      </c>
      <c r="K1979" s="15" t="s">
        <v>22</v>
      </c>
    </row>
    <row r="1980" spans="1:11" ht="42" customHeight="1">
      <c r="A1980" s="4" t="s">
        <v>4914</v>
      </c>
      <c r="B1980" s="5" t="s">
        <v>4914</v>
      </c>
      <c r="C1980" s="5" t="s">
        <v>80</v>
      </c>
      <c r="D1980" s="5" t="s">
        <v>81</v>
      </c>
      <c r="E1980" s="5" t="s">
        <v>904</v>
      </c>
      <c r="F1980" s="9">
        <v>47</v>
      </c>
      <c r="G1980" s="9">
        <v>501</v>
      </c>
      <c r="H1980" s="5" t="s">
        <v>20</v>
      </c>
      <c r="I1980" s="5" t="s">
        <v>4915</v>
      </c>
      <c r="J1980" s="12" t="str">
        <f>HYPERLINK("https://www.boe.es/gazeta/dias/1805/06/11/pdfs/GMD-1805-47.pdf#page=1","Abrir facsímil")</f>
        <v>Abrir facsímil</v>
      </c>
      <c r="K1980" s="15" t="s">
        <v>22</v>
      </c>
    </row>
    <row r="1981" spans="1:11" ht="42" customHeight="1">
      <c r="A1981" s="4" t="s">
        <v>4916</v>
      </c>
      <c r="B1981" s="5" t="s">
        <v>4916</v>
      </c>
      <c r="C1981" s="5" t="s">
        <v>35</v>
      </c>
      <c r="D1981" s="5" t="s">
        <v>36</v>
      </c>
      <c r="E1981" s="5" t="s">
        <v>117</v>
      </c>
      <c r="F1981" s="9">
        <v>20</v>
      </c>
      <c r="G1981" s="9">
        <v>207</v>
      </c>
      <c r="H1981" s="5" t="s">
        <v>20</v>
      </c>
      <c r="I1981" s="5" t="s">
        <v>4917</v>
      </c>
      <c r="J1981" s="12" t="str">
        <f>HYPERLINK("https://www.boe.es/gazeta/dias/1805/03/08/pdfs/GMD-1805-20.pdf#page=7","Abrir facsímil")</f>
        <v>Abrir facsímil</v>
      </c>
      <c r="K1981" s="15" t="s">
        <v>22</v>
      </c>
    </row>
    <row r="1982" spans="1:11" ht="42" customHeight="1">
      <c r="A1982" s="4" t="s">
        <v>4918</v>
      </c>
      <c r="B1982" s="5" t="s">
        <v>4918</v>
      </c>
      <c r="C1982" s="5" t="s">
        <v>80</v>
      </c>
      <c r="D1982" s="5" t="s">
        <v>81</v>
      </c>
      <c r="E1982" s="5" t="s">
        <v>409</v>
      </c>
      <c r="F1982" s="9">
        <v>69</v>
      </c>
      <c r="G1982" s="9">
        <v>734</v>
      </c>
      <c r="H1982" s="5" t="s">
        <v>20</v>
      </c>
      <c r="I1982" s="5" t="s">
        <v>4919</v>
      </c>
      <c r="J1982" s="12" t="str">
        <f>HYPERLINK("https://www.boe.es/gazeta/dias/1805/08/27/pdfs/GMD-1805-69.pdf#page=2","Abrir facsímil")</f>
        <v>Abrir facsímil</v>
      </c>
      <c r="K1982" s="15" t="s">
        <v>22</v>
      </c>
    </row>
    <row r="1983" spans="1:11" ht="42" customHeight="1">
      <c r="A1983" s="4" t="s">
        <v>4920</v>
      </c>
      <c r="B1983" s="5" t="s">
        <v>4920</v>
      </c>
      <c r="C1983" s="5" t="s">
        <v>35</v>
      </c>
      <c r="D1983" s="5" t="s">
        <v>36</v>
      </c>
      <c r="E1983" s="5" t="s">
        <v>854</v>
      </c>
      <c r="F1983" s="9">
        <v>46</v>
      </c>
      <c r="G1983" s="9">
        <v>489</v>
      </c>
      <c r="H1983" s="5" t="s">
        <v>20</v>
      </c>
      <c r="I1983" s="5" t="s">
        <v>4921</v>
      </c>
      <c r="J1983" s="12" t="str">
        <f>HYPERLINK("https://www.boe.es/gazeta/dias/1805/06/07/pdfs/GMD-1805-46.pdf#page=1","Abrir facsímil")</f>
        <v>Abrir facsímil</v>
      </c>
      <c r="K1983" s="15" t="s">
        <v>22</v>
      </c>
    </row>
    <row r="1984" spans="1:11" ht="42" customHeight="1">
      <c r="A1984" s="4" t="s">
        <v>4922</v>
      </c>
      <c r="B1984" s="5" t="s">
        <v>4922</v>
      </c>
      <c r="C1984" s="5" t="s">
        <v>80</v>
      </c>
      <c r="D1984" s="5" t="s">
        <v>81</v>
      </c>
      <c r="E1984" s="5" t="s">
        <v>958</v>
      </c>
      <c r="F1984" s="9">
        <v>58</v>
      </c>
      <c r="G1984" s="9">
        <v>617</v>
      </c>
      <c r="H1984" s="5" t="s">
        <v>20</v>
      </c>
      <c r="I1984" s="5" t="s">
        <v>4923</v>
      </c>
      <c r="J1984" s="12" t="str">
        <f>HYPERLINK("https://www.boe.es/gazeta/dias/1805/07/19/pdfs/GMD-1805-58.pdf#page=1","Abrir facsímil")</f>
        <v>Abrir facsímil</v>
      </c>
      <c r="K1984" s="15" t="s">
        <v>22</v>
      </c>
    </row>
    <row r="1985" spans="1:11" ht="42" customHeight="1">
      <c r="A1985" s="4" t="s">
        <v>4924</v>
      </c>
      <c r="B1985" s="5" t="s">
        <v>4924</v>
      </c>
      <c r="C1985" s="5" t="s">
        <v>35</v>
      </c>
      <c r="D1985" s="5" t="s">
        <v>36</v>
      </c>
      <c r="E1985" s="5" t="s">
        <v>31</v>
      </c>
      <c r="F1985" s="9">
        <v>65</v>
      </c>
      <c r="G1985" s="9">
        <v>689</v>
      </c>
      <c r="H1985" s="5" t="s">
        <v>20</v>
      </c>
      <c r="I1985" s="5" t="s">
        <v>4925</v>
      </c>
      <c r="J1985" s="12" t="str">
        <f>HYPERLINK("https://www.boe.es/gazeta/dias/1805/08/13/pdfs/GMD-1805-65.pdf#page=1","Abrir facsímil")</f>
        <v>Abrir facsímil</v>
      </c>
      <c r="K1985" s="15" t="s">
        <v>22</v>
      </c>
    </row>
    <row r="1986" spans="1:11" ht="42" customHeight="1">
      <c r="A1986" s="4" t="s">
        <v>4924</v>
      </c>
      <c r="B1986" s="5" t="s">
        <v>4924</v>
      </c>
      <c r="C1986" s="5" t="s">
        <v>80</v>
      </c>
      <c r="D1986" s="5" t="s">
        <v>81</v>
      </c>
      <c r="E1986" s="5" t="s">
        <v>1132</v>
      </c>
      <c r="F1986" s="9">
        <v>72</v>
      </c>
      <c r="G1986" s="9">
        <v>762</v>
      </c>
      <c r="H1986" s="5" t="s">
        <v>20</v>
      </c>
      <c r="I1986" s="5" t="s">
        <v>4926</v>
      </c>
      <c r="J1986" s="12" t="str">
        <f>HYPERLINK("https://www.boe.es/gazeta/dias/1805/09/06/pdfs/GMD-1805-72.pdf#page=2","Abrir facsímil")</f>
        <v>Abrir facsímil</v>
      </c>
      <c r="K1986" s="15" t="s">
        <v>22</v>
      </c>
    </row>
    <row r="1987" spans="1:11" ht="42" customHeight="1">
      <c r="A1987" s="4" t="s">
        <v>4924</v>
      </c>
      <c r="B1987" s="5" t="s">
        <v>4924</v>
      </c>
      <c r="C1987" s="5" t="s">
        <v>80</v>
      </c>
      <c r="D1987" s="5" t="s">
        <v>81</v>
      </c>
      <c r="E1987" s="5" t="s">
        <v>335</v>
      </c>
      <c r="F1987" s="9">
        <v>79</v>
      </c>
      <c r="G1987" s="9">
        <v>829</v>
      </c>
      <c r="H1987" s="5" t="s">
        <v>20</v>
      </c>
      <c r="I1987" s="5" t="s">
        <v>4927</v>
      </c>
      <c r="J1987" s="12" t="str">
        <f>HYPERLINK("https://www.boe.es/gazeta/dias/1805/10/01/pdfs/GMD-1805-79.pdf#page=1","Abrir facsímil")</f>
        <v>Abrir facsímil</v>
      </c>
      <c r="K1987" s="15" t="s">
        <v>22</v>
      </c>
    </row>
    <row r="1988" spans="1:11" ht="42" customHeight="1">
      <c r="A1988" s="4" t="s">
        <v>4924</v>
      </c>
      <c r="B1988" s="5" t="s">
        <v>4924</v>
      </c>
      <c r="C1988" s="5" t="s">
        <v>80</v>
      </c>
      <c r="D1988" s="5" t="s">
        <v>81</v>
      </c>
      <c r="E1988" s="5" t="s">
        <v>99</v>
      </c>
      <c r="F1988" s="9">
        <v>83</v>
      </c>
      <c r="G1988" s="9">
        <v>874</v>
      </c>
      <c r="H1988" s="5" t="s">
        <v>20</v>
      </c>
      <c r="I1988" s="5" t="s">
        <v>4928</v>
      </c>
      <c r="J1988" s="12" t="str">
        <f>HYPERLINK("https://www.boe.es/gazeta/dias/1805/10/15/pdfs/GMD-1805-83.pdf#page=2","Abrir facsímil")</f>
        <v>Abrir facsímil</v>
      </c>
      <c r="K1988" s="15" t="s">
        <v>22</v>
      </c>
    </row>
    <row r="1989" spans="1:11" ht="42" customHeight="1">
      <c r="A1989" s="4" t="s">
        <v>4929</v>
      </c>
      <c r="B1989" s="5" t="s">
        <v>4929</v>
      </c>
      <c r="C1989" s="5" t="s">
        <v>80</v>
      </c>
      <c r="D1989" s="5" t="s">
        <v>81</v>
      </c>
      <c r="E1989" s="5" t="s">
        <v>40</v>
      </c>
      <c r="F1989" s="9">
        <v>59</v>
      </c>
      <c r="G1989" s="9">
        <v>626</v>
      </c>
      <c r="H1989" s="5" t="s">
        <v>20</v>
      </c>
      <c r="I1989" s="5" t="s">
        <v>4930</v>
      </c>
      <c r="J1989" s="12" t="str">
        <f>HYPERLINK("https://www.boe.es/gazeta/dias/1805/07/23/pdfs/GMD-1805-59.pdf#page=2","Abrir facsímil")</f>
        <v>Abrir facsímil</v>
      </c>
      <c r="K1989" s="15" t="s">
        <v>22</v>
      </c>
    </row>
    <row r="1990" spans="1:11" ht="42" customHeight="1">
      <c r="A1990" s="4" t="s">
        <v>4931</v>
      </c>
      <c r="B1990" s="5" t="s">
        <v>4931</v>
      </c>
      <c r="C1990" s="5" t="s">
        <v>17</v>
      </c>
      <c r="D1990" s="5" t="s">
        <v>18</v>
      </c>
      <c r="E1990" s="5" t="s">
        <v>296</v>
      </c>
      <c r="F1990" s="9">
        <v>26</v>
      </c>
      <c r="G1990" s="9">
        <v>275</v>
      </c>
      <c r="H1990" s="5" t="s">
        <v>20</v>
      </c>
      <c r="I1990" s="5" t="s">
        <v>4932</v>
      </c>
      <c r="J1990" s="12" t="str">
        <f>HYPERLINK("https://www.boe.es/gazeta/dias/1805/03/29/pdfs/GMD-1805-26.pdf#page=7","Abrir facsímil")</f>
        <v>Abrir facsímil</v>
      </c>
      <c r="K1990" s="15" t="s">
        <v>22</v>
      </c>
    </row>
    <row r="1991" spans="1:11" ht="42" customHeight="1">
      <c r="A1991" s="4" t="s">
        <v>4933</v>
      </c>
      <c r="B1991" s="5" t="s">
        <v>4933</v>
      </c>
      <c r="C1991" s="5" t="s">
        <v>80</v>
      </c>
      <c r="D1991" s="5" t="s">
        <v>81</v>
      </c>
      <c r="E1991" s="5" t="s">
        <v>95</v>
      </c>
      <c r="F1991" s="9">
        <v>13</v>
      </c>
      <c r="G1991" s="9">
        <v>133</v>
      </c>
      <c r="H1991" s="5" t="s">
        <v>20</v>
      </c>
      <c r="I1991" s="5" t="s">
        <v>4934</v>
      </c>
      <c r="J1991" s="12" t="str">
        <f>HYPERLINK("https://www.boe.es/gazeta/dias/1805/02/12/pdfs/GMD-1805-13.pdf#page=1","Abrir facsímil")</f>
        <v>Abrir facsímil</v>
      </c>
      <c r="K1991" s="15" t="s">
        <v>22</v>
      </c>
    </row>
    <row r="1992" spans="1:11" ht="42" customHeight="1">
      <c r="A1992" s="4" t="s">
        <v>4935</v>
      </c>
      <c r="B1992" s="5" t="s">
        <v>4935</v>
      </c>
      <c r="C1992" s="5" t="s">
        <v>35</v>
      </c>
      <c r="D1992" s="5" t="s">
        <v>36</v>
      </c>
      <c r="E1992" s="5" t="s">
        <v>132</v>
      </c>
      <c r="F1992" s="9">
        <v>2</v>
      </c>
      <c r="G1992" s="9">
        <v>13</v>
      </c>
      <c r="H1992" s="5" t="s">
        <v>20</v>
      </c>
      <c r="I1992" s="5" t="s">
        <v>4936</v>
      </c>
      <c r="J1992" s="12" t="str">
        <f>HYPERLINK("https://www.boe.es/gazeta/dias/1805/01/04/pdfs/GMD-1805-2.pdf#page=1","Abrir facsímil")</f>
        <v>Abrir facsímil</v>
      </c>
      <c r="K1992" s="15" t="s">
        <v>22</v>
      </c>
    </row>
    <row r="1993" spans="1:11" ht="42" customHeight="1">
      <c r="A1993" s="4" t="s">
        <v>4937</v>
      </c>
      <c r="B1993" s="5" t="s">
        <v>4938</v>
      </c>
      <c r="C1993" s="5" t="s">
        <v>17</v>
      </c>
      <c r="D1993" s="5" t="s">
        <v>18</v>
      </c>
      <c r="E1993" s="5" t="s">
        <v>59</v>
      </c>
      <c r="F1993" s="9">
        <v>21</v>
      </c>
      <c r="G1993" s="9">
        <v>219</v>
      </c>
      <c r="H1993" s="5" t="s">
        <v>20</v>
      </c>
      <c r="I1993" s="5" t="s">
        <v>4939</v>
      </c>
      <c r="J1993" s="12" t="str">
        <f>HYPERLINK("https://www.boe.es/gazeta/dias/1805/03/12/pdfs/GMD-1805-21.pdf#page=7","Abrir facsímil")</f>
        <v>Abrir facsímil</v>
      </c>
      <c r="K1993" s="15" t="s">
        <v>22</v>
      </c>
    </row>
    <row r="1994" spans="1:11" ht="42" customHeight="1">
      <c r="A1994" s="4" t="s">
        <v>4940</v>
      </c>
      <c r="B1994" s="5" t="s">
        <v>4941</v>
      </c>
      <c r="C1994" s="5" t="s">
        <v>17</v>
      </c>
      <c r="D1994" s="5" t="s">
        <v>18</v>
      </c>
      <c r="E1994" s="5" t="s">
        <v>76</v>
      </c>
      <c r="F1994" s="9">
        <v>66</v>
      </c>
      <c r="G1994" s="9">
        <v>707</v>
      </c>
      <c r="H1994" s="5" t="s">
        <v>20</v>
      </c>
      <c r="I1994" s="5" t="s">
        <v>4942</v>
      </c>
      <c r="J1994" s="12" t="str">
        <f>HYPERLINK("https://www.boe.es/gazeta/dias/1805/08/16/pdfs/GMD-1805-66.pdf#page=7","Abrir facsímil")</f>
        <v>Abrir facsímil</v>
      </c>
      <c r="K1994" s="15" t="s">
        <v>22</v>
      </c>
    </row>
    <row r="1995" spans="1:11" ht="42" customHeight="1">
      <c r="A1995" s="4" t="s">
        <v>4943</v>
      </c>
      <c r="B1995" s="5" t="s">
        <v>4944</v>
      </c>
      <c r="C1995" s="5" t="s">
        <v>85</v>
      </c>
      <c r="D1995" s="5" t="s">
        <v>86</v>
      </c>
      <c r="E1995" s="5" t="s">
        <v>112</v>
      </c>
      <c r="F1995" s="9">
        <v>16</v>
      </c>
      <c r="G1995" s="9">
        <v>166</v>
      </c>
      <c r="H1995" s="5" t="s">
        <v>20</v>
      </c>
      <c r="I1995" s="5" t="s">
        <v>4945</v>
      </c>
      <c r="J1995" s="12" t="str">
        <f>HYPERLINK("https://www.boe.es/gazeta/dias/1805/02/22/pdfs/GMD-1805-16.pdf#page=6","Abrir facsímil")</f>
        <v>Abrir facsímil</v>
      </c>
      <c r="K1995" s="15" t="s">
        <v>22</v>
      </c>
    </row>
    <row r="1996" spans="1:11" ht="42" customHeight="1">
      <c r="A1996" s="4" t="s">
        <v>4946</v>
      </c>
      <c r="B1996" s="5" t="s">
        <v>4947</v>
      </c>
      <c r="C1996" s="5" t="s">
        <v>85</v>
      </c>
      <c r="D1996" s="5" t="s">
        <v>86</v>
      </c>
      <c r="E1996" s="5" t="s">
        <v>273</v>
      </c>
      <c r="F1996" s="9">
        <v>8</v>
      </c>
      <c r="G1996" s="9">
        <v>88</v>
      </c>
      <c r="H1996" s="5" t="s">
        <v>20</v>
      </c>
      <c r="I1996" s="5" t="s">
        <v>4948</v>
      </c>
      <c r="J1996" s="12" t="str">
        <f>HYPERLINK("https://www.boe.es/gazeta/dias/1805/01/25/pdfs/GMD-1805-8.pdf#page=8","Abrir facsímil")</f>
        <v>Abrir facsímil</v>
      </c>
      <c r="K1996" s="15" t="s">
        <v>22</v>
      </c>
    </row>
    <row r="1997" spans="1:11" ht="42" customHeight="1">
      <c r="A1997" s="4" t="s">
        <v>4949</v>
      </c>
      <c r="B1997" s="5" t="s">
        <v>4950</v>
      </c>
      <c r="C1997" s="5" t="s">
        <v>85</v>
      </c>
      <c r="D1997" s="5" t="s">
        <v>86</v>
      </c>
      <c r="E1997" s="5" t="s">
        <v>290</v>
      </c>
      <c r="F1997" s="9">
        <v>36</v>
      </c>
      <c r="G1997" s="9">
        <v>390</v>
      </c>
      <c r="H1997" s="5" t="s">
        <v>20</v>
      </c>
      <c r="I1997" s="5" t="s">
        <v>4951</v>
      </c>
      <c r="J1997" s="12" t="str">
        <f>HYPERLINK("https://www.boe.es/gazeta/dias/1805/05/03/pdfs/GMD-1805-36.pdf#page=10","Abrir facsímil")</f>
        <v>Abrir facsímil</v>
      </c>
      <c r="K1997" s="15" t="s">
        <v>22</v>
      </c>
    </row>
    <row r="1998" spans="1:11" ht="42" customHeight="1">
      <c r="A1998" s="4" t="s">
        <v>4952</v>
      </c>
      <c r="B1998" s="5" t="s">
        <v>4953</v>
      </c>
      <c r="C1998" s="5" t="s">
        <v>52</v>
      </c>
      <c r="D1998" s="5" t="s">
        <v>53</v>
      </c>
      <c r="E1998" s="5" t="s">
        <v>54</v>
      </c>
      <c r="F1998" s="9">
        <v>99</v>
      </c>
      <c r="G1998" s="9" t="s">
        <v>55</v>
      </c>
      <c r="H1998" s="5" t="s">
        <v>20</v>
      </c>
      <c r="I1998" s="5" t="s">
        <v>4954</v>
      </c>
      <c r="J1998" s="12" t="str">
        <f>HYPERLINK("https://www.boe.es/gazeta/dias/1805/12/10/pdfs/GMD-C-1805-99.pdf#page=4","Abrir facsímil")</f>
        <v>Abrir facsímil</v>
      </c>
      <c r="K1998" s="15" t="s">
        <v>22</v>
      </c>
    </row>
    <row r="1999" spans="1:11" ht="42" customHeight="1">
      <c r="A1999" s="4" t="s">
        <v>4955</v>
      </c>
      <c r="B1999" s="5" t="s">
        <v>4955</v>
      </c>
      <c r="C1999" s="5" t="s">
        <v>17</v>
      </c>
      <c r="D1999" s="5" t="s">
        <v>18</v>
      </c>
      <c r="E1999" s="5" t="s">
        <v>196</v>
      </c>
      <c r="F1999" s="9">
        <v>67</v>
      </c>
      <c r="G1999" s="9">
        <v>717</v>
      </c>
      <c r="H1999" s="5" t="s">
        <v>20</v>
      </c>
      <c r="I1999" s="5" t="s">
        <v>4956</v>
      </c>
      <c r="J1999" s="12" t="str">
        <f>HYPERLINK("https://www.boe.es/gazeta/dias/1805/08/20/pdfs/GMD-1805-67.pdf#page=5","Abrir facsímil")</f>
        <v>Abrir facsímil</v>
      </c>
      <c r="K1999" s="15" t="s">
        <v>22</v>
      </c>
    </row>
    <row r="2000" spans="1:11" ht="42" customHeight="1">
      <c r="A2000" s="4" t="s">
        <v>4957</v>
      </c>
      <c r="B2000" s="5" t="s">
        <v>4957</v>
      </c>
      <c r="C2000" s="5" t="s">
        <v>35</v>
      </c>
      <c r="D2000" s="5" t="s">
        <v>36</v>
      </c>
      <c r="E2000" s="5" t="s">
        <v>99</v>
      </c>
      <c r="F2000" s="9">
        <v>83</v>
      </c>
      <c r="G2000" s="9">
        <v>882</v>
      </c>
      <c r="H2000" s="5" t="s">
        <v>20</v>
      </c>
      <c r="I2000" s="5" t="s">
        <v>4958</v>
      </c>
      <c r="J2000" s="12" t="str">
        <f>HYPERLINK("https://www.boe.es/gazeta/dias/1805/10/15/pdfs/GMD-1805-83.pdf#page=10","Abrir facsímil")</f>
        <v>Abrir facsímil</v>
      </c>
      <c r="K2000" s="15" t="s">
        <v>22</v>
      </c>
    </row>
    <row r="2001" spans="1:11" ht="42" customHeight="1">
      <c r="A2001" s="4" t="s">
        <v>4959</v>
      </c>
      <c r="B2001" s="5" t="s">
        <v>4960</v>
      </c>
      <c r="C2001" s="5" t="s">
        <v>184</v>
      </c>
      <c r="D2001" s="5" t="s">
        <v>86</v>
      </c>
      <c r="E2001" s="5" t="s">
        <v>293</v>
      </c>
      <c r="F2001" s="9">
        <v>5</v>
      </c>
      <c r="G2001" s="9">
        <v>53</v>
      </c>
      <c r="H2001" s="5" t="s">
        <v>20</v>
      </c>
      <c r="I2001" s="5" t="s">
        <v>4961</v>
      </c>
      <c r="J2001" s="12" t="str">
        <f>HYPERLINK("https://www.boe.es/gazeta/dias/1805/01/15/pdfs/GMD-1805-5.pdf#page=9","Abrir facsímil")</f>
        <v>Abrir facsímil</v>
      </c>
      <c r="K2001" s="15" t="s">
        <v>22</v>
      </c>
    </row>
    <row r="2002" spans="1:11" ht="42" customHeight="1">
      <c r="A2002" s="4" t="s">
        <v>4962</v>
      </c>
      <c r="B2002" s="5" t="s">
        <v>4963</v>
      </c>
      <c r="C2002" s="5" t="s">
        <v>35</v>
      </c>
      <c r="D2002" s="5" t="s">
        <v>36</v>
      </c>
      <c r="E2002" s="5" t="s">
        <v>44</v>
      </c>
      <c r="F2002" s="9">
        <v>29</v>
      </c>
      <c r="G2002" s="9">
        <v>312</v>
      </c>
      <c r="H2002" s="5" t="s">
        <v>20</v>
      </c>
      <c r="I2002" s="5" t="s">
        <v>4964</v>
      </c>
      <c r="J2002" s="12" t="str">
        <f>HYPERLINK("https://www.boe.es/gazeta/dias/1805/04/09/pdfs/GMD-1805-29.pdf#page=8","Abrir facsímil")</f>
        <v>Abrir facsímil</v>
      </c>
      <c r="K2002" s="15" t="s">
        <v>22</v>
      </c>
    </row>
    <row r="2003" spans="1:11" ht="42" customHeight="1">
      <c r="A2003" s="4" t="s">
        <v>4965</v>
      </c>
      <c r="B2003" s="5" t="s">
        <v>4966</v>
      </c>
      <c r="C2003" s="5" t="s">
        <v>17</v>
      </c>
      <c r="D2003" s="5" t="s">
        <v>18</v>
      </c>
      <c r="E2003" s="5" t="s">
        <v>76</v>
      </c>
      <c r="F2003" s="9">
        <v>66</v>
      </c>
      <c r="G2003" s="9">
        <v>710</v>
      </c>
      <c r="H2003" s="5" t="s">
        <v>20</v>
      </c>
      <c r="I2003" s="5" t="s">
        <v>4967</v>
      </c>
      <c r="J2003" s="12" t="str">
        <f>HYPERLINK("https://www.boe.es/gazeta/dias/1805/08/16/pdfs/GMD-1805-66.pdf#page=10","Abrir facsímil")</f>
        <v>Abrir facsímil</v>
      </c>
      <c r="K2003" s="15" t="s">
        <v>22</v>
      </c>
    </row>
    <row r="2004" spans="1:11" ht="42" customHeight="1">
      <c r="A2004" s="4" t="s">
        <v>4968</v>
      </c>
      <c r="B2004" s="5" t="s">
        <v>4969</v>
      </c>
      <c r="C2004" s="5" t="s">
        <v>80</v>
      </c>
      <c r="D2004" s="5" t="s">
        <v>81</v>
      </c>
      <c r="E2004" s="5" t="s">
        <v>276</v>
      </c>
      <c r="F2004" s="9">
        <v>51</v>
      </c>
      <c r="G2004" s="9">
        <v>548</v>
      </c>
      <c r="H2004" s="5" t="s">
        <v>20</v>
      </c>
      <c r="I2004" s="5" t="s">
        <v>4970</v>
      </c>
      <c r="J2004" s="12" t="str">
        <f>HYPERLINK("https://www.boe.es/gazeta/dias/1805/06/25/pdfs/GMD-1805-51.pdf#page=4","Abrir facsímil")</f>
        <v>Abrir facsímil</v>
      </c>
      <c r="K2004" s="15" t="s">
        <v>22</v>
      </c>
    </row>
    <row r="2005" spans="1:11" ht="42" customHeight="1">
      <c r="A2005" s="4" t="s">
        <v>4971</v>
      </c>
      <c r="B2005" s="5" t="s">
        <v>4972</v>
      </c>
      <c r="C2005" s="5" t="s">
        <v>35</v>
      </c>
      <c r="D2005" s="5" t="s">
        <v>36</v>
      </c>
      <c r="E2005" s="5" t="s">
        <v>1292</v>
      </c>
      <c r="F2005" s="9">
        <v>43</v>
      </c>
      <c r="G2005" s="9">
        <v>461</v>
      </c>
      <c r="H2005" s="5" t="s">
        <v>20</v>
      </c>
      <c r="I2005" s="5" t="s">
        <v>4973</v>
      </c>
      <c r="J2005" s="12" t="str">
        <f>HYPERLINK("https://www.boe.es/gazeta/dias/1805/05/28/pdfs/GMD-1805-43.pdf#page=5","Abrir facsímil")</f>
        <v>Abrir facsímil</v>
      </c>
      <c r="K2005" s="15" t="s">
        <v>22</v>
      </c>
    </row>
    <row r="2006" spans="1:11" ht="42" customHeight="1">
      <c r="A2006" s="4" t="s">
        <v>4971</v>
      </c>
      <c r="B2006" s="5" t="s">
        <v>4972</v>
      </c>
      <c r="C2006" s="5" t="s">
        <v>17</v>
      </c>
      <c r="D2006" s="5" t="s">
        <v>18</v>
      </c>
      <c r="E2006" s="5" t="s">
        <v>854</v>
      </c>
      <c r="F2006" s="9">
        <v>46</v>
      </c>
      <c r="G2006" s="9">
        <v>494</v>
      </c>
      <c r="H2006" s="5" t="s">
        <v>20</v>
      </c>
      <c r="I2006" s="5" t="s">
        <v>4974</v>
      </c>
      <c r="J2006" s="12" t="str">
        <f>HYPERLINK("https://www.boe.es/gazeta/dias/1805/06/07/pdfs/GMD-1805-46.pdf#page=6","Abrir facsímil")</f>
        <v>Abrir facsímil</v>
      </c>
      <c r="K2006" s="15" t="s">
        <v>22</v>
      </c>
    </row>
    <row r="2007" spans="1:11" ht="42" customHeight="1">
      <c r="A2007" s="4" t="s">
        <v>4971</v>
      </c>
      <c r="B2007" s="5" t="s">
        <v>4972</v>
      </c>
      <c r="C2007" s="5" t="s">
        <v>184</v>
      </c>
      <c r="D2007" s="5" t="s">
        <v>86</v>
      </c>
      <c r="E2007" s="5" t="s">
        <v>854</v>
      </c>
      <c r="F2007" s="9">
        <v>46</v>
      </c>
      <c r="G2007" s="9">
        <v>495</v>
      </c>
      <c r="H2007" s="5" t="s">
        <v>20</v>
      </c>
      <c r="I2007" s="5" t="s">
        <v>4975</v>
      </c>
      <c r="J2007" s="12" t="str">
        <f>HYPERLINK("https://www.boe.es/gazeta/dias/1805/06/07/pdfs/GMD-1805-46.pdf#page=7","Abrir facsímil")</f>
        <v>Abrir facsímil</v>
      </c>
      <c r="K2007" s="15" t="s">
        <v>22</v>
      </c>
    </row>
    <row r="2008" spans="1:11" ht="42" customHeight="1">
      <c r="A2008" s="4" t="s">
        <v>4971</v>
      </c>
      <c r="B2008" s="5" t="s">
        <v>4972</v>
      </c>
      <c r="C2008" s="5" t="s">
        <v>35</v>
      </c>
      <c r="D2008" s="5" t="s">
        <v>36</v>
      </c>
      <c r="E2008" s="5" t="s">
        <v>352</v>
      </c>
      <c r="F2008" s="9">
        <v>60</v>
      </c>
      <c r="G2008" s="9">
        <v>644</v>
      </c>
      <c r="H2008" s="5" t="s">
        <v>20</v>
      </c>
      <c r="I2008" s="5" t="s">
        <v>4976</v>
      </c>
      <c r="J2008" s="12" t="str">
        <f>HYPERLINK("https://www.boe.es/gazeta/dias/1805/07/26/pdfs/GMD-1805-60.pdf#page=8","Abrir facsímil")</f>
        <v>Abrir facsímil</v>
      </c>
      <c r="K2008" s="15" t="s">
        <v>22</v>
      </c>
    </row>
    <row r="2009" spans="1:11" ht="42" customHeight="1">
      <c r="A2009" s="4" t="s">
        <v>4977</v>
      </c>
      <c r="B2009" s="5" t="s">
        <v>4978</v>
      </c>
      <c r="C2009" s="5" t="s">
        <v>35</v>
      </c>
      <c r="D2009" s="5" t="s">
        <v>36</v>
      </c>
      <c r="E2009" s="5" t="s">
        <v>426</v>
      </c>
      <c r="F2009" s="9">
        <v>75</v>
      </c>
      <c r="G2009" s="9">
        <v>795</v>
      </c>
      <c r="H2009" s="5" t="s">
        <v>20</v>
      </c>
      <c r="I2009" s="5" t="s">
        <v>4979</v>
      </c>
      <c r="J2009" s="12" t="str">
        <f>HYPERLINK("https://www.boe.es/gazeta/dias/1805/09/17/pdfs/GMD-1805-75.pdf#page=7","Abrir facsímil")</f>
        <v>Abrir facsímil</v>
      </c>
      <c r="K2009" s="15" t="s">
        <v>22</v>
      </c>
    </row>
    <row r="2010" spans="1:11" ht="42" customHeight="1">
      <c r="A2010" s="4" t="s">
        <v>4980</v>
      </c>
      <c r="B2010" s="5" t="s">
        <v>4981</v>
      </c>
      <c r="C2010" s="5" t="s">
        <v>184</v>
      </c>
      <c r="D2010" s="5" t="s">
        <v>86</v>
      </c>
      <c r="E2010" s="5" t="s">
        <v>512</v>
      </c>
      <c r="F2010" s="9">
        <v>100</v>
      </c>
      <c r="G2010" s="9">
        <v>1080</v>
      </c>
      <c r="H2010" s="5" t="s">
        <v>20</v>
      </c>
      <c r="I2010" s="5" t="s">
        <v>4982</v>
      </c>
      <c r="J2010" s="12" t="str">
        <f>HYPERLINK("https://www.boe.es/gazeta/dias/1805/12/13/pdfs/GMD-1805-100.pdf#page=8","Abrir facsímil")</f>
        <v>Abrir facsímil</v>
      </c>
      <c r="K2010" s="15" t="s">
        <v>22</v>
      </c>
    </row>
    <row r="2011" spans="1:11" ht="42" customHeight="1">
      <c r="A2011" s="4" t="s">
        <v>4983</v>
      </c>
      <c r="B2011" s="5" t="s">
        <v>4984</v>
      </c>
      <c r="C2011" s="5" t="s">
        <v>35</v>
      </c>
      <c r="D2011" s="5" t="s">
        <v>36</v>
      </c>
      <c r="E2011" s="5" t="s">
        <v>141</v>
      </c>
      <c r="F2011" s="9">
        <v>82</v>
      </c>
      <c r="G2011" s="9">
        <v>870</v>
      </c>
      <c r="H2011" s="5" t="s">
        <v>20</v>
      </c>
      <c r="I2011" s="5" t="s">
        <v>4985</v>
      </c>
      <c r="J2011" s="12" t="str">
        <f>HYPERLINK("https://www.boe.es/gazeta/dias/1805/10/11/pdfs/GMD-1805-82.pdf#page=10","Abrir facsímil")</f>
        <v>Abrir facsímil</v>
      </c>
      <c r="K2011" s="15" t="s">
        <v>22</v>
      </c>
    </row>
    <row r="2012" spans="1:11" ht="42" customHeight="1">
      <c r="A2012" s="4" t="s">
        <v>4986</v>
      </c>
      <c r="B2012" s="5" t="s">
        <v>4987</v>
      </c>
      <c r="C2012" s="5" t="s">
        <v>35</v>
      </c>
      <c r="D2012" s="5" t="s">
        <v>36</v>
      </c>
      <c r="E2012" s="5" t="s">
        <v>19</v>
      </c>
      <c r="F2012" s="9">
        <v>86</v>
      </c>
      <c r="G2012" s="9">
        <v>913</v>
      </c>
      <c r="H2012" s="5" t="s">
        <v>20</v>
      </c>
      <c r="I2012" s="5" t="s">
        <v>4988</v>
      </c>
      <c r="J2012" s="12" t="str">
        <f>HYPERLINK("https://www.boe.es/gazeta/dias/1805/10/25/pdfs/GMD-1805-86.pdf#page=9","Abrir facsímil")</f>
        <v>Abrir facsímil</v>
      </c>
      <c r="K2012" s="15" t="s">
        <v>22</v>
      </c>
    </row>
    <row r="2013" spans="1:11" ht="42" customHeight="1">
      <c r="A2013" s="4" t="s">
        <v>4989</v>
      </c>
      <c r="B2013" s="5" t="s">
        <v>4990</v>
      </c>
      <c r="C2013" s="5" t="s">
        <v>35</v>
      </c>
      <c r="D2013" s="5" t="s">
        <v>36</v>
      </c>
      <c r="E2013" s="5" t="s">
        <v>54</v>
      </c>
      <c r="F2013" s="9">
        <v>99</v>
      </c>
      <c r="G2013" s="9">
        <v>1071</v>
      </c>
      <c r="H2013" s="5" t="s">
        <v>20</v>
      </c>
      <c r="I2013" s="5" t="s">
        <v>4991</v>
      </c>
      <c r="J2013" s="12" t="str">
        <f>HYPERLINK("https://www.boe.es/gazeta/dias/1805/12/10/pdfs/GMD-1805-99.pdf#page=11","Abrir facsímil")</f>
        <v>Abrir facsímil</v>
      </c>
      <c r="K2013" s="15" t="s">
        <v>22</v>
      </c>
    </row>
    <row r="2014" spans="1:11" ht="42" customHeight="1">
      <c r="A2014" s="4" t="s">
        <v>4992</v>
      </c>
      <c r="B2014" s="5" t="s">
        <v>4993</v>
      </c>
      <c r="C2014" s="5" t="s">
        <v>17</v>
      </c>
      <c r="D2014" s="5" t="s">
        <v>18</v>
      </c>
      <c r="E2014" s="5" t="s">
        <v>209</v>
      </c>
      <c r="F2014" s="9">
        <v>89</v>
      </c>
      <c r="G2014" s="9">
        <v>956</v>
      </c>
      <c r="H2014" s="5" t="s">
        <v>20</v>
      </c>
      <c r="I2014" s="5" t="s">
        <v>4994</v>
      </c>
      <c r="J2014" s="12" t="str">
        <f>HYPERLINK("https://www.boe.es/gazeta/dias/1805/11/05/pdfs/GMD-1805-89.pdf#page=16","Abrir facsímil")</f>
        <v>Abrir facsímil</v>
      </c>
      <c r="K2014" s="15" t="s">
        <v>22</v>
      </c>
    </row>
    <row r="2015" spans="1:11" ht="42" customHeight="1">
      <c r="A2015" s="4" t="s">
        <v>4995</v>
      </c>
      <c r="B2015" s="5" t="s">
        <v>4996</v>
      </c>
      <c r="C2015" s="5" t="s">
        <v>35</v>
      </c>
      <c r="D2015" s="5" t="s">
        <v>36</v>
      </c>
      <c r="E2015" s="5" t="s">
        <v>281</v>
      </c>
      <c r="F2015" s="9">
        <v>15</v>
      </c>
      <c r="G2015" s="9">
        <v>156</v>
      </c>
      <c r="H2015" s="5" t="s">
        <v>20</v>
      </c>
      <c r="I2015" s="5" t="s">
        <v>4997</v>
      </c>
      <c r="J2015" s="12" t="str">
        <f>HYPERLINK("https://www.boe.es/gazeta/dias/1805/02/19/pdfs/GMD-1805-15.pdf#page=8","Abrir facsímil")</f>
        <v>Abrir facsímil</v>
      </c>
      <c r="K2015" s="15" t="s">
        <v>22</v>
      </c>
    </row>
    <row r="2016" spans="1:11" ht="42" customHeight="1">
      <c r="A2016" s="4" t="s">
        <v>4998</v>
      </c>
      <c r="B2016" s="5" t="s">
        <v>4999</v>
      </c>
      <c r="C2016" s="5" t="s">
        <v>35</v>
      </c>
      <c r="D2016" s="5" t="s">
        <v>36</v>
      </c>
      <c r="E2016" s="5" t="s">
        <v>567</v>
      </c>
      <c r="F2016" s="9">
        <v>49</v>
      </c>
      <c r="G2016" s="9">
        <v>530</v>
      </c>
      <c r="H2016" s="5" t="s">
        <v>20</v>
      </c>
      <c r="I2016" s="5" t="s">
        <v>5000</v>
      </c>
      <c r="J2016" s="12" t="str">
        <f>HYPERLINK("https://www.boe.es/gazeta/dias/1805/06/18/pdfs/GMD-1805-49.pdf#page=6","Abrir facsímil")</f>
        <v>Abrir facsímil</v>
      </c>
      <c r="K2016" s="15" t="s">
        <v>22</v>
      </c>
    </row>
    <row r="2017" spans="1:11" ht="42" customHeight="1">
      <c r="A2017" s="4" t="s">
        <v>5001</v>
      </c>
      <c r="B2017" s="5" t="s">
        <v>5002</v>
      </c>
      <c r="C2017" s="5" t="s">
        <v>35</v>
      </c>
      <c r="D2017" s="5" t="s">
        <v>36</v>
      </c>
      <c r="E2017" s="5" t="s">
        <v>95</v>
      </c>
      <c r="F2017" s="9">
        <v>13</v>
      </c>
      <c r="G2017" s="9">
        <v>139</v>
      </c>
      <c r="H2017" s="5" t="s">
        <v>20</v>
      </c>
      <c r="I2017" s="5" t="s">
        <v>5003</v>
      </c>
      <c r="J2017" s="12" t="str">
        <f>HYPERLINK("https://www.boe.es/gazeta/dias/1805/02/12/pdfs/GMD-1805-13.pdf#page=7","Abrir facsímil")</f>
        <v>Abrir facsímil</v>
      </c>
      <c r="K2017" s="15" t="s">
        <v>22</v>
      </c>
    </row>
    <row r="2018" spans="1:11" ht="42" customHeight="1">
      <c r="A2018" s="4" t="s">
        <v>5004</v>
      </c>
      <c r="B2018" s="5" t="s">
        <v>5005</v>
      </c>
      <c r="C2018" s="5" t="s">
        <v>35</v>
      </c>
      <c r="D2018" s="5" t="s">
        <v>36</v>
      </c>
      <c r="E2018" s="5" t="s">
        <v>711</v>
      </c>
      <c r="F2018" s="9">
        <v>63</v>
      </c>
      <c r="G2018" s="9">
        <v>673</v>
      </c>
      <c r="H2018" s="5" t="s">
        <v>20</v>
      </c>
      <c r="I2018" s="5" t="s">
        <v>5006</v>
      </c>
      <c r="J2018" s="12" t="str">
        <f>HYPERLINK("https://www.boe.es/gazeta/dias/1805/08/06/pdfs/GMD-1805-63.pdf#page=9","Abrir facsímil")</f>
        <v>Abrir facsímil</v>
      </c>
      <c r="K2018" s="15" t="s">
        <v>22</v>
      </c>
    </row>
    <row r="2019" spans="1:11" ht="42" customHeight="1">
      <c r="A2019" s="4" t="s">
        <v>5007</v>
      </c>
      <c r="B2019" s="5" t="s">
        <v>5008</v>
      </c>
      <c r="C2019" s="5" t="s">
        <v>52</v>
      </c>
      <c r="D2019" s="5" t="s">
        <v>53</v>
      </c>
      <c r="E2019" s="5" t="s">
        <v>82</v>
      </c>
      <c r="F2019" s="9">
        <v>25</v>
      </c>
      <c r="G2019" s="9" t="s">
        <v>145</v>
      </c>
      <c r="H2019" s="5" t="s">
        <v>20</v>
      </c>
      <c r="I2019" s="5" t="s">
        <v>5009</v>
      </c>
      <c r="J2019" s="12" t="str">
        <f>HYPERLINK("https://www.boe.es/gazeta/dias/1805/03/26/pdfs/GMD-C-1805-25.pdf#page=2","Abrir facsímil")</f>
        <v>Abrir facsímil</v>
      </c>
      <c r="K2019" s="15" t="s">
        <v>22</v>
      </c>
    </row>
    <row r="2020" spans="1:11" ht="42" customHeight="1">
      <c r="A2020" s="4" t="s">
        <v>5010</v>
      </c>
      <c r="B2020" s="5" t="s">
        <v>5011</v>
      </c>
      <c r="C2020" s="5" t="s">
        <v>35</v>
      </c>
      <c r="D2020" s="5" t="s">
        <v>36</v>
      </c>
      <c r="E2020" s="5" t="s">
        <v>456</v>
      </c>
      <c r="F2020" s="9">
        <v>70</v>
      </c>
      <c r="G2020" s="9">
        <v>747</v>
      </c>
      <c r="H2020" s="5" t="s">
        <v>20</v>
      </c>
      <c r="I2020" s="5" t="s">
        <v>5012</v>
      </c>
      <c r="J2020" s="12" t="str">
        <f>HYPERLINK("https://www.boe.es/gazeta/dias/1805/08/30/pdfs/GMD-1805-70.pdf#page=7","Abrir facsímil")</f>
        <v>Abrir facsímil</v>
      </c>
      <c r="K2020" s="15" t="s">
        <v>22</v>
      </c>
    </row>
    <row r="2021" spans="1:11" ht="42" customHeight="1">
      <c r="A2021" s="4" t="s">
        <v>5013</v>
      </c>
      <c r="B2021" s="5" t="s">
        <v>5014</v>
      </c>
      <c r="C2021" s="5" t="s">
        <v>35</v>
      </c>
      <c r="D2021" s="5" t="s">
        <v>36</v>
      </c>
      <c r="E2021" s="5" t="s">
        <v>303</v>
      </c>
      <c r="F2021" s="9">
        <v>57</v>
      </c>
      <c r="G2021" s="9">
        <v>611</v>
      </c>
      <c r="H2021" s="5" t="s">
        <v>20</v>
      </c>
      <c r="I2021" s="5" t="s">
        <v>5015</v>
      </c>
      <c r="J2021" s="12" t="str">
        <f>HYPERLINK("https://www.boe.es/gazeta/dias/1805/07/16/pdfs/GMD-1805-57.pdf#page=7","Abrir facsímil")</f>
        <v>Abrir facsímil</v>
      </c>
      <c r="K2021" s="15" t="s">
        <v>22</v>
      </c>
    </row>
    <row r="2022" spans="1:11" ht="42" customHeight="1">
      <c r="A2022" s="4" t="s">
        <v>5016</v>
      </c>
      <c r="B2022" s="5" t="s">
        <v>5017</v>
      </c>
      <c r="C2022" s="5" t="s">
        <v>85</v>
      </c>
      <c r="D2022" s="5" t="s">
        <v>86</v>
      </c>
      <c r="E2022" s="5" t="s">
        <v>352</v>
      </c>
      <c r="F2022" s="9">
        <v>60</v>
      </c>
      <c r="G2022" s="9">
        <v>646</v>
      </c>
      <c r="H2022" s="5" t="s">
        <v>20</v>
      </c>
      <c r="I2022" s="5" t="s">
        <v>5018</v>
      </c>
      <c r="J2022" s="12" t="str">
        <f>HYPERLINK("https://www.boe.es/gazeta/dias/1805/07/26/pdfs/GMD-1805-60.pdf#page=10","Abrir facsímil")</f>
        <v>Abrir facsímil</v>
      </c>
      <c r="K2022" s="15" t="s">
        <v>22</v>
      </c>
    </row>
    <row r="2023" spans="1:11" ht="42" customHeight="1">
      <c r="A2023" s="4" t="s">
        <v>5019</v>
      </c>
      <c r="B2023" s="5" t="s">
        <v>5020</v>
      </c>
      <c r="C2023" s="5" t="s">
        <v>52</v>
      </c>
      <c r="D2023" s="5" t="s">
        <v>53</v>
      </c>
      <c r="E2023" s="5" t="s">
        <v>82</v>
      </c>
      <c r="F2023" s="9">
        <v>25</v>
      </c>
      <c r="G2023" s="9" t="s">
        <v>222</v>
      </c>
      <c r="H2023" s="5" t="s">
        <v>20</v>
      </c>
      <c r="I2023" s="5" t="s">
        <v>5021</v>
      </c>
      <c r="J2023" s="12" t="str">
        <f>HYPERLINK("https://www.boe.es/gazeta/dias/1805/03/26/pdfs/GMD-C-1805-25.pdf#page=1","Abrir facsímil")</f>
        <v>Abrir facsímil</v>
      </c>
      <c r="K2023" s="15" t="s">
        <v>22</v>
      </c>
    </row>
    <row r="2024" spans="1:11" ht="42" customHeight="1">
      <c r="A2024" s="4" t="s">
        <v>5022</v>
      </c>
      <c r="B2024" s="5" t="s">
        <v>5023</v>
      </c>
      <c r="C2024" s="5" t="s">
        <v>35</v>
      </c>
      <c r="D2024" s="5" t="s">
        <v>36</v>
      </c>
      <c r="E2024" s="5" t="s">
        <v>138</v>
      </c>
      <c r="F2024" s="9">
        <v>102</v>
      </c>
      <c r="G2024" s="9">
        <v>1103</v>
      </c>
      <c r="H2024" s="5" t="s">
        <v>20</v>
      </c>
      <c r="I2024" s="5" t="s">
        <v>5024</v>
      </c>
      <c r="J2024" s="12" t="str">
        <f>HYPERLINK("https://www.boe.es/gazeta/dias/1805/12/20/pdfs/GMD-1805-102.pdf#page=7","Abrir facsímil")</f>
        <v>Abrir facsímil</v>
      </c>
      <c r="K2024" s="15" t="s">
        <v>22</v>
      </c>
    </row>
    <row r="2025" spans="1:11" ht="42" customHeight="1">
      <c r="A2025" s="4" t="s">
        <v>5025</v>
      </c>
      <c r="B2025" s="5" t="s">
        <v>5025</v>
      </c>
      <c r="C2025" s="5" t="s">
        <v>29</v>
      </c>
      <c r="D2025" s="5" t="s">
        <v>30</v>
      </c>
      <c r="E2025" s="5" t="s">
        <v>261</v>
      </c>
      <c r="F2025" s="9">
        <v>18</v>
      </c>
      <c r="G2025" s="9">
        <v>185</v>
      </c>
      <c r="H2025" s="5" t="s">
        <v>20</v>
      </c>
      <c r="I2025" s="5" t="s">
        <v>5026</v>
      </c>
      <c r="J2025" s="12" t="str">
        <f>HYPERLINK("https://www.boe.es/gazeta/dias/1805/03/01/pdfs/GMD-1805-18.pdf#page=5","Abrir facsímil")</f>
        <v>Abrir facsímil</v>
      </c>
      <c r="K2025" s="15" t="s">
        <v>22</v>
      </c>
    </row>
    <row r="2026" spans="1:11" ht="42" customHeight="1">
      <c r="A2026" s="4" t="s">
        <v>5025</v>
      </c>
      <c r="B2026" s="5" t="s">
        <v>5025</v>
      </c>
      <c r="C2026" s="5" t="s">
        <v>29</v>
      </c>
      <c r="D2026" s="5" t="s">
        <v>30</v>
      </c>
      <c r="E2026" s="5" t="s">
        <v>128</v>
      </c>
      <c r="F2026" s="9">
        <v>23</v>
      </c>
      <c r="G2026" s="9">
        <v>241</v>
      </c>
      <c r="H2026" s="5" t="s">
        <v>20</v>
      </c>
      <c r="I2026" s="5" t="s">
        <v>5027</v>
      </c>
      <c r="J2026" s="12" t="str">
        <f>HYPERLINK("https://www.boe.es/gazeta/dias/1805/03/19/pdfs/GMD-1805-23.pdf#page=5","Abrir facsímil")</f>
        <v>Abrir facsímil</v>
      </c>
      <c r="K2026" s="15" t="s">
        <v>22</v>
      </c>
    </row>
    <row r="2027" spans="1:11" ht="42" customHeight="1">
      <c r="A2027" s="4" t="s">
        <v>5025</v>
      </c>
      <c r="B2027" s="5" t="s">
        <v>5025</v>
      </c>
      <c r="C2027" s="5" t="s">
        <v>29</v>
      </c>
      <c r="D2027" s="5" t="s">
        <v>30</v>
      </c>
      <c r="E2027" s="5" t="s">
        <v>144</v>
      </c>
      <c r="F2027" s="9">
        <v>85</v>
      </c>
      <c r="G2027" s="9">
        <v>900</v>
      </c>
      <c r="H2027" s="5" t="s">
        <v>20</v>
      </c>
      <c r="I2027" s="5" t="s">
        <v>5028</v>
      </c>
      <c r="J2027" s="12" t="str">
        <f>HYPERLINK("https://www.boe.es/gazeta/dias/1805/10/22/pdfs/GMD-1805-85.pdf#page=8","Abrir facsímil")</f>
        <v>Abrir facsímil</v>
      </c>
      <c r="K2027" s="15" t="s">
        <v>22</v>
      </c>
    </row>
    <row r="2028" spans="1:11" ht="42" customHeight="1">
      <c r="A2028" s="4" t="s">
        <v>5029</v>
      </c>
      <c r="B2028" s="5" t="s">
        <v>5030</v>
      </c>
      <c r="C2028" s="5" t="s">
        <v>80</v>
      </c>
      <c r="D2028" s="5" t="s">
        <v>81</v>
      </c>
      <c r="E2028" s="5" t="s">
        <v>886</v>
      </c>
      <c r="F2028" s="9">
        <v>93</v>
      </c>
      <c r="G2028" s="9">
        <v>996</v>
      </c>
      <c r="H2028" s="5" t="s">
        <v>20</v>
      </c>
      <c r="I2028" s="5" t="s">
        <v>5031</v>
      </c>
      <c r="J2028" s="12" t="str">
        <f>HYPERLINK("https://www.boe.es/gazeta/dias/1805/11/19/pdfs/GMD-1805-93.pdf#page=8","Abrir facsímil")</f>
        <v>Abrir facsímil</v>
      </c>
      <c r="K2028" s="15" t="s">
        <v>22</v>
      </c>
    </row>
    <row r="2029" spans="1:11" ht="42" customHeight="1">
      <c r="A2029" s="4" t="s">
        <v>5029</v>
      </c>
      <c r="B2029" s="5" t="s">
        <v>5030</v>
      </c>
      <c r="C2029" s="5" t="s">
        <v>17</v>
      </c>
      <c r="D2029" s="5" t="s">
        <v>18</v>
      </c>
      <c r="E2029" s="5" t="s">
        <v>787</v>
      </c>
      <c r="F2029" s="9">
        <v>95</v>
      </c>
      <c r="G2029" s="9">
        <v>1020</v>
      </c>
      <c r="H2029" s="5" t="s">
        <v>20</v>
      </c>
      <c r="I2029" s="5" t="s">
        <v>5032</v>
      </c>
      <c r="J2029" s="12" t="str">
        <f>HYPERLINK("https://www.boe.es/gazeta/dias/1805/11/26/pdfs/GMD-1805-95.pdf#page=8","Abrir facsímil")</f>
        <v>Abrir facsímil</v>
      </c>
      <c r="K2029" s="15" t="s">
        <v>22</v>
      </c>
    </row>
    <row r="2030" spans="1:11" ht="42" customHeight="1">
      <c r="A2030" s="4" t="s">
        <v>5029</v>
      </c>
      <c r="B2030" s="5" t="s">
        <v>5030</v>
      </c>
      <c r="C2030" s="5" t="s">
        <v>17</v>
      </c>
      <c r="D2030" s="5" t="s">
        <v>18</v>
      </c>
      <c r="E2030" s="5" t="s">
        <v>539</v>
      </c>
      <c r="F2030" s="9">
        <v>97</v>
      </c>
      <c r="G2030" s="9">
        <v>1042</v>
      </c>
      <c r="H2030" s="5" t="s">
        <v>20</v>
      </c>
      <c r="I2030" s="5" t="s">
        <v>5033</v>
      </c>
      <c r="J2030" s="12" t="str">
        <f>HYPERLINK("https://www.boe.es/gazeta/dias/1805/12/03/pdfs/GMD-1805-97.pdf#page=6","Abrir facsímil")</f>
        <v>Abrir facsímil</v>
      </c>
      <c r="K2030" s="15" t="s">
        <v>22</v>
      </c>
    </row>
    <row r="2031" spans="1:11" ht="42" customHeight="1">
      <c r="A2031" s="4" t="s">
        <v>5029</v>
      </c>
      <c r="B2031" s="5" t="s">
        <v>5030</v>
      </c>
      <c r="C2031" s="5" t="s">
        <v>80</v>
      </c>
      <c r="D2031" s="5" t="s">
        <v>81</v>
      </c>
      <c r="E2031" s="5" t="s">
        <v>67</v>
      </c>
      <c r="F2031" s="9">
        <v>98</v>
      </c>
      <c r="G2031" s="9">
        <v>1057</v>
      </c>
      <c r="H2031" s="5" t="s">
        <v>20</v>
      </c>
      <c r="I2031" s="5" t="s">
        <v>5034</v>
      </c>
      <c r="J2031" s="12" t="str">
        <f>HYPERLINK("https://www.boe.es/gazeta/dias/1805/12/06/pdfs/GMD-1805-98.pdf#page=9","Abrir facsímil")</f>
        <v>Abrir facsímil</v>
      </c>
      <c r="K2031" s="15" t="s">
        <v>22</v>
      </c>
    </row>
    <row r="2032" spans="1:11" ht="42" customHeight="1">
      <c r="A2032" s="4" t="s">
        <v>5035</v>
      </c>
      <c r="B2032" s="5" t="s">
        <v>5036</v>
      </c>
      <c r="C2032" s="5" t="s">
        <v>35</v>
      </c>
      <c r="D2032" s="5" t="s">
        <v>36</v>
      </c>
      <c r="E2032" s="5" t="s">
        <v>54</v>
      </c>
      <c r="F2032" s="9">
        <v>99</v>
      </c>
      <c r="G2032" s="9">
        <v>1068</v>
      </c>
      <c r="H2032" s="5" t="s">
        <v>20</v>
      </c>
      <c r="I2032" s="5" t="s">
        <v>5037</v>
      </c>
      <c r="J2032" s="12" t="str">
        <f>HYPERLINK("https://www.boe.es/gazeta/dias/1805/12/10/pdfs/GMD-1805-99.pdf#page=8","Abrir facsímil")</f>
        <v>Abrir facsímil</v>
      </c>
      <c r="K2032" s="15" t="s">
        <v>22</v>
      </c>
    </row>
    <row r="2033" spans="1:11" ht="42" customHeight="1">
      <c r="A2033" s="4" t="s">
        <v>5038</v>
      </c>
      <c r="B2033" s="5" t="s">
        <v>5039</v>
      </c>
      <c r="C2033" s="5" t="s">
        <v>17</v>
      </c>
      <c r="D2033" s="5" t="s">
        <v>18</v>
      </c>
      <c r="E2033" s="5" t="s">
        <v>281</v>
      </c>
      <c r="F2033" s="9">
        <v>15</v>
      </c>
      <c r="G2033" s="9">
        <v>156</v>
      </c>
      <c r="H2033" s="5" t="s">
        <v>20</v>
      </c>
      <c r="I2033" s="5" t="s">
        <v>5040</v>
      </c>
      <c r="J2033" s="12" t="str">
        <f>HYPERLINK("https://www.boe.es/gazeta/dias/1805/02/19/pdfs/GMD-1805-15.pdf#page=8","Abrir facsímil")</f>
        <v>Abrir facsímil</v>
      </c>
      <c r="K2033" s="15" t="s">
        <v>22</v>
      </c>
    </row>
    <row r="2034" spans="1:11" ht="42" customHeight="1">
      <c r="A2034" s="4" t="s">
        <v>5041</v>
      </c>
      <c r="B2034" s="5" t="s">
        <v>5042</v>
      </c>
      <c r="C2034" s="5" t="s">
        <v>17</v>
      </c>
      <c r="D2034" s="5" t="s">
        <v>18</v>
      </c>
      <c r="E2034" s="5" t="s">
        <v>82</v>
      </c>
      <c r="F2034" s="9">
        <v>25</v>
      </c>
      <c r="G2034" s="9">
        <v>268</v>
      </c>
      <c r="H2034" s="5" t="s">
        <v>20</v>
      </c>
      <c r="I2034" s="5" t="s">
        <v>5043</v>
      </c>
      <c r="J2034" s="12" t="str">
        <f>HYPERLINK("https://www.boe.es/gazeta/dias/1805/03/26/pdfs/GMD-1805-25.pdf#page=8","Abrir facsímil")</f>
        <v>Abrir facsímil</v>
      </c>
      <c r="K2034" s="15" t="s">
        <v>22</v>
      </c>
    </row>
    <row r="2035" spans="1:11" ht="42" customHeight="1">
      <c r="A2035" s="4" t="s">
        <v>5044</v>
      </c>
      <c r="B2035" s="5" t="s">
        <v>5045</v>
      </c>
      <c r="C2035" s="5" t="s">
        <v>29</v>
      </c>
      <c r="D2035" s="5" t="s">
        <v>30</v>
      </c>
      <c r="E2035" s="5" t="s">
        <v>854</v>
      </c>
      <c r="F2035" s="9">
        <v>46</v>
      </c>
      <c r="G2035" s="9">
        <v>500</v>
      </c>
      <c r="H2035" s="5" t="s">
        <v>20</v>
      </c>
      <c r="I2035" s="5" t="s">
        <v>5046</v>
      </c>
      <c r="J2035" s="12" t="str">
        <f>HYPERLINK("https://www.boe.es/gazeta/dias/1805/06/07/pdfs/GMD-1805-46.pdf#page=12","Abrir facsímil")</f>
        <v>Abrir facsímil</v>
      </c>
      <c r="K2035" s="15" t="s">
        <v>22</v>
      </c>
    </row>
    <row r="2036" spans="1:11" ht="42" customHeight="1">
      <c r="A2036" s="4" t="s">
        <v>5047</v>
      </c>
      <c r="B2036" s="5" t="s">
        <v>5048</v>
      </c>
      <c r="C2036" s="5" t="s">
        <v>17</v>
      </c>
      <c r="D2036" s="5" t="s">
        <v>18</v>
      </c>
      <c r="E2036" s="5" t="s">
        <v>854</v>
      </c>
      <c r="F2036" s="9">
        <v>46</v>
      </c>
      <c r="G2036" s="9">
        <v>500</v>
      </c>
      <c r="H2036" s="5" t="s">
        <v>20</v>
      </c>
      <c r="I2036" s="5" t="s">
        <v>5049</v>
      </c>
      <c r="J2036" s="12" t="str">
        <f>HYPERLINK("https://www.boe.es/gazeta/dias/1805/06/07/pdfs/GMD-1805-46.pdf#page=12","Abrir facsímil")</f>
        <v>Abrir facsímil</v>
      </c>
      <c r="K2036" s="15" t="s">
        <v>22</v>
      </c>
    </row>
    <row r="2037" spans="1:11" ht="42" customHeight="1">
      <c r="A2037" s="4" t="s">
        <v>5050</v>
      </c>
      <c r="B2037" s="5" t="s">
        <v>5051</v>
      </c>
      <c r="C2037" s="5" t="s">
        <v>35</v>
      </c>
      <c r="D2037" s="5" t="s">
        <v>36</v>
      </c>
      <c r="E2037" s="5" t="s">
        <v>864</v>
      </c>
      <c r="F2037" s="9">
        <v>88</v>
      </c>
      <c r="G2037" s="9">
        <v>938</v>
      </c>
      <c r="H2037" s="5" t="s">
        <v>20</v>
      </c>
      <c r="I2037" s="5" t="s">
        <v>5052</v>
      </c>
      <c r="J2037" s="12" t="str">
        <f>HYPERLINK("https://www.boe.es/gazeta/dias/1805/11/01/pdfs/GMD-1805-88.pdf#page=10","Abrir facsímil")</f>
        <v>Abrir facsímil</v>
      </c>
      <c r="K2037" s="15" t="s">
        <v>22</v>
      </c>
    </row>
    <row r="2038" spans="1:11" ht="42" customHeight="1">
      <c r="A2038" s="4" t="s">
        <v>5053</v>
      </c>
      <c r="B2038" s="5" t="s">
        <v>5054</v>
      </c>
      <c r="C2038" s="5" t="s">
        <v>35</v>
      </c>
      <c r="D2038" s="5" t="s">
        <v>36</v>
      </c>
      <c r="E2038" s="5" t="s">
        <v>789</v>
      </c>
      <c r="F2038" s="9">
        <v>104</v>
      </c>
      <c r="G2038" s="9">
        <v>1128</v>
      </c>
      <c r="H2038" s="5" t="s">
        <v>20</v>
      </c>
      <c r="I2038" s="5" t="s">
        <v>5055</v>
      </c>
      <c r="J2038" s="12" t="str">
        <f>HYPERLINK("https://www.boe.es/gazeta/dias/1805/12/27/pdfs/GMD-1805-104.pdf#page=12","Abrir facsímil")</f>
        <v>Abrir facsímil</v>
      </c>
      <c r="K2038" s="15" t="s">
        <v>22</v>
      </c>
    </row>
    <row r="2039" spans="1:11" ht="42" customHeight="1">
      <c r="A2039" s="4" t="s">
        <v>5056</v>
      </c>
      <c r="B2039" s="5" t="s">
        <v>5057</v>
      </c>
      <c r="C2039" s="5" t="s">
        <v>35</v>
      </c>
      <c r="D2039" s="5" t="s">
        <v>36</v>
      </c>
      <c r="E2039" s="5" t="s">
        <v>192</v>
      </c>
      <c r="F2039" s="9">
        <v>105</v>
      </c>
      <c r="G2039" s="9">
        <v>1137</v>
      </c>
      <c r="H2039" s="5" t="s">
        <v>20</v>
      </c>
      <c r="I2039" s="5" t="s">
        <v>5058</v>
      </c>
      <c r="J2039" s="12" t="str">
        <f>HYPERLINK("https://www.boe.es/gazeta/dias/1805/12/31/pdfs/GMD-1805-105.pdf#page=9","Abrir facsímil")</f>
        <v>Abrir facsímil</v>
      </c>
      <c r="K2039" s="15" t="s">
        <v>22</v>
      </c>
    </row>
    <row r="2040" spans="1:11" ht="42" customHeight="1">
      <c r="A2040" s="4" t="s">
        <v>5059</v>
      </c>
      <c r="B2040" s="5" t="s">
        <v>5060</v>
      </c>
      <c r="C2040" s="5" t="s">
        <v>35</v>
      </c>
      <c r="D2040" s="5" t="s">
        <v>36</v>
      </c>
      <c r="E2040" s="5" t="s">
        <v>91</v>
      </c>
      <c r="F2040" s="9">
        <v>28</v>
      </c>
      <c r="G2040" s="9">
        <v>299</v>
      </c>
      <c r="H2040" s="5" t="s">
        <v>20</v>
      </c>
      <c r="I2040" s="5" t="s">
        <v>5061</v>
      </c>
      <c r="J2040" s="12" t="str">
        <f>HYPERLINK("https://www.boe.es/gazeta/dias/1805/04/05/pdfs/GMD-1805-28.pdf#page=7","Abrir facsímil")</f>
        <v>Abrir facsímil</v>
      </c>
      <c r="K2040" s="15" t="s">
        <v>22</v>
      </c>
    </row>
    <row r="2041" spans="1:11" ht="42" customHeight="1">
      <c r="A2041" s="4" t="s">
        <v>5062</v>
      </c>
      <c r="B2041" s="5" t="s">
        <v>5063</v>
      </c>
      <c r="C2041" s="5" t="s">
        <v>29</v>
      </c>
      <c r="D2041" s="5" t="s">
        <v>30</v>
      </c>
      <c r="E2041" s="5" t="s">
        <v>281</v>
      </c>
      <c r="F2041" s="9">
        <v>15</v>
      </c>
      <c r="G2041" s="9">
        <v>159</v>
      </c>
      <c r="H2041" s="5" t="s">
        <v>20</v>
      </c>
      <c r="I2041" s="5" t="s">
        <v>5064</v>
      </c>
      <c r="J2041" s="12" t="str">
        <f>HYPERLINK("https://www.boe.es/gazeta/dias/1805/02/19/pdfs/GMD-1805-15.pdf#page=11","Abrir facsímil")</f>
        <v>Abrir facsímil</v>
      </c>
      <c r="K2041" s="15" t="s">
        <v>22</v>
      </c>
    </row>
    <row r="2042" spans="1:11" ht="42" customHeight="1">
      <c r="A2042" s="4" t="s">
        <v>5062</v>
      </c>
      <c r="B2042" s="5" t="s">
        <v>5063</v>
      </c>
      <c r="C2042" s="5" t="s">
        <v>29</v>
      </c>
      <c r="D2042" s="5" t="s">
        <v>30</v>
      </c>
      <c r="E2042" s="5" t="s">
        <v>112</v>
      </c>
      <c r="F2042" s="9">
        <v>16</v>
      </c>
      <c r="G2042" s="9">
        <v>168</v>
      </c>
      <c r="H2042" s="5" t="s">
        <v>20</v>
      </c>
      <c r="I2042" s="5" t="s">
        <v>5065</v>
      </c>
      <c r="J2042" s="12" t="str">
        <f>HYPERLINK("https://www.boe.es/gazeta/dias/1805/02/22/pdfs/GMD-1805-16.pdf#page=8","Abrir facsímil")</f>
        <v>Abrir facsímil</v>
      </c>
      <c r="K2042" s="15" t="s">
        <v>22</v>
      </c>
    </row>
    <row r="2043" spans="1:11" ht="42" customHeight="1">
      <c r="A2043" s="4" t="s">
        <v>5062</v>
      </c>
      <c r="B2043" s="5" t="s">
        <v>5063</v>
      </c>
      <c r="C2043" s="5" t="s">
        <v>17</v>
      </c>
      <c r="D2043" s="5" t="s">
        <v>18</v>
      </c>
      <c r="E2043" s="5" t="s">
        <v>471</v>
      </c>
      <c r="F2043" s="9">
        <v>22</v>
      </c>
      <c r="G2043" s="9">
        <v>236</v>
      </c>
      <c r="H2043" s="5" t="s">
        <v>20</v>
      </c>
      <c r="I2043" s="5" t="s">
        <v>5066</v>
      </c>
      <c r="J2043" s="12" t="str">
        <f>HYPERLINK("https://www.boe.es/gazeta/dias/1805/03/15/pdfs/GMD-1805-22.pdf#page=12","Abrir facsímil")</f>
        <v>Abrir facsímil</v>
      </c>
      <c r="K2043" s="15" t="s">
        <v>22</v>
      </c>
    </row>
    <row r="2044" spans="1:11" ht="42" customHeight="1">
      <c r="A2044" s="4" t="s">
        <v>5062</v>
      </c>
      <c r="B2044" s="5" t="s">
        <v>5063</v>
      </c>
      <c r="C2044" s="5" t="s">
        <v>85</v>
      </c>
      <c r="D2044" s="5" t="s">
        <v>86</v>
      </c>
      <c r="E2044" s="5" t="s">
        <v>1221</v>
      </c>
      <c r="F2044" s="9">
        <v>41</v>
      </c>
      <c r="G2044" s="9">
        <v>442</v>
      </c>
      <c r="H2044" s="5" t="s">
        <v>20</v>
      </c>
      <c r="I2044" s="5" t="s">
        <v>5067</v>
      </c>
      <c r="J2044" s="12" t="str">
        <f>HYPERLINK("https://www.boe.es/gazeta/dias/1805/05/21/pdfs/GMD-1805-41.pdf#page=10","Abrir facsímil")</f>
        <v>Abrir facsímil</v>
      </c>
      <c r="K2044" s="15" t="s">
        <v>22</v>
      </c>
    </row>
    <row r="2045" spans="1:11" ht="42" customHeight="1">
      <c r="A2045" s="4" t="s">
        <v>5062</v>
      </c>
      <c r="B2045" s="5" t="s">
        <v>5063</v>
      </c>
      <c r="C2045" s="5" t="s">
        <v>17</v>
      </c>
      <c r="D2045" s="5" t="s">
        <v>18</v>
      </c>
      <c r="E2045" s="5" t="s">
        <v>31</v>
      </c>
      <c r="F2045" s="9">
        <v>65</v>
      </c>
      <c r="G2045" s="9">
        <v>700</v>
      </c>
      <c r="H2045" s="5" t="s">
        <v>20</v>
      </c>
      <c r="I2045" s="5" t="s">
        <v>5068</v>
      </c>
      <c r="J2045" s="12" t="str">
        <f>HYPERLINK("https://www.boe.es/gazeta/dias/1805/08/13/pdfs/GMD-1805-65.pdf#page=12","Abrir facsímil")</f>
        <v>Abrir facsímil</v>
      </c>
      <c r="K2045" s="15" t="s">
        <v>22</v>
      </c>
    </row>
    <row r="2046" spans="1:11" ht="42" customHeight="1">
      <c r="A2046" s="4" t="s">
        <v>5069</v>
      </c>
      <c r="B2046" s="5" t="s">
        <v>5069</v>
      </c>
      <c r="C2046" s="5" t="s">
        <v>35</v>
      </c>
      <c r="D2046" s="5" t="s">
        <v>36</v>
      </c>
      <c r="E2046" s="5" t="s">
        <v>188</v>
      </c>
      <c r="F2046" s="9">
        <v>68</v>
      </c>
      <c r="G2046" s="9">
        <v>729</v>
      </c>
      <c r="H2046" s="5" t="s">
        <v>20</v>
      </c>
      <c r="I2046" s="5" t="s">
        <v>5070</v>
      </c>
      <c r="J2046" s="12" t="str">
        <f>HYPERLINK("https://www.boe.es/gazeta/dias/1805/08/23/pdfs/GMD-1805-68.pdf#page=9","Abrir facsímil")</f>
        <v>Abrir facsímil</v>
      </c>
      <c r="K2046" s="15" t="s">
        <v>22</v>
      </c>
    </row>
    <row r="2047" spans="1:11" ht="42" customHeight="1">
      <c r="A2047" s="4" t="s">
        <v>5071</v>
      </c>
      <c r="B2047" s="5" t="s">
        <v>5072</v>
      </c>
      <c r="C2047" s="5" t="s">
        <v>35</v>
      </c>
      <c r="D2047" s="5" t="s">
        <v>36</v>
      </c>
      <c r="E2047" s="5" t="s">
        <v>303</v>
      </c>
      <c r="F2047" s="9">
        <v>57</v>
      </c>
      <c r="G2047" s="9">
        <v>611</v>
      </c>
      <c r="H2047" s="5" t="s">
        <v>20</v>
      </c>
      <c r="I2047" s="5" t="s">
        <v>5073</v>
      </c>
      <c r="J2047" s="12" t="str">
        <f>HYPERLINK("https://www.boe.es/gazeta/dias/1805/07/16/pdfs/GMD-1805-57.pdf#page=7","Abrir facsímil")</f>
        <v>Abrir facsímil</v>
      </c>
      <c r="K2047" s="15" t="s">
        <v>22</v>
      </c>
    </row>
    <row r="2048" spans="1:11" ht="42" customHeight="1">
      <c r="A2048" s="4" t="s">
        <v>5074</v>
      </c>
      <c r="B2048" s="5" t="s">
        <v>5075</v>
      </c>
      <c r="C2048" s="5" t="s">
        <v>35</v>
      </c>
      <c r="D2048" s="5" t="s">
        <v>36</v>
      </c>
      <c r="E2048" s="5" t="s">
        <v>192</v>
      </c>
      <c r="F2048" s="9">
        <v>105</v>
      </c>
      <c r="G2048" s="9">
        <v>1137</v>
      </c>
      <c r="H2048" s="5" t="s">
        <v>20</v>
      </c>
      <c r="I2048" s="5" t="s">
        <v>5076</v>
      </c>
      <c r="J2048" s="12" t="str">
        <f>HYPERLINK("https://www.boe.es/gazeta/dias/1805/12/31/pdfs/GMD-1805-105.pdf#page=9","Abrir facsímil")</f>
        <v>Abrir facsímil</v>
      </c>
      <c r="K2048" s="15" t="s">
        <v>22</v>
      </c>
    </row>
    <row r="2049" spans="1:11" ht="42" customHeight="1">
      <c r="A2049" s="4" t="s">
        <v>5077</v>
      </c>
      <c r="B2049" s="5" t="s">
        <v>5078</v>
      </c>
      <c r="C2049" s="5" t="s">
        <v>35</v>
      </c>
      <c r="D2049" s="5" t="s">
        <v>36</v>
      </c>
      <c r="E2049" s="5" t="s">
        <v>1187</v>
      </c>
      <c r="F2049" s="9">
        <v>40</v>
      </c>
      <c r="G2049" s="9">
        <v>432</v>
      </c>
      <c r="H2049" s="5" t="s">
        <v>20</v>
      </c>
      <c r="I2049" s="5" t="s">
        <v>5079</v>
      </c>
      <c r="J2049" s="12" t="str">
        <f>HYPERLINK("https://www.boe.es/gazeta/dias/1805/05/17/pdfs/GMD-1805-40.pdf#page=8","Abrir facsímil")</f>
        <v>Abrir facsímil</v>
      </c>
      <c r="K2049" s="15" t="s">
        <v>22</v>
      </c>
    </row>
    <row r="2050" spans="1:11" ht="42" customHeight="1">
      <c r="A2050" s="4" t="s">
        <v>5077</v>
      </c>
      <c r="B2050" s="5" t="s">
        <v>5078</v>
      </c>
      <c r="C2050" s="5" t="s">
        <v>29</v>
      </c>
      <c r="D2050" s="5" t="s">
        <v>30</v>
      </c>
      <c r="E2050" s="5" t="s">
        <v>335</v>
      </c>
      <c r="F2050" s="9">
        <v>79</v>
      </c>
      <c r="G2050" s="9">
        <v>839</v>
      </c>
      <c r="H2050" s="5" t="s">
        <v>20</v>
      </c>
      <c r="I2050" s="5" t="s">
        <v>5080</v>
      </c>
      <c r="J2050" s="12" t="str">
        <f>HYPERLINK("https://www.boe.es/gazeta/dias/1805/10/01/pdfs/GMD-1805-79.pdf#page=11","Abrir facsímil")</f>
        <v>Abrir facsímil</v>
      </c>
      <c r="K2050" s="15" t="s">
        <v>22</v>
      </c>
    </row>
    <row r="2051" spans="1:11" ht="42" customHeight="1">
      <c r="A2051" s="4" t="s">
        <v>5081</v>
      </c>
      <c r="B2051" s="5" t="s">
        <v>5082</v>
      </c>
      <c r="C2051" s="5" t="s">
        <v>17</v>
      </c>
      <c r="D2051" s="5" t="s">
        <v>18</v>
      </c>
      <c r="E2051" s="5" t="s">
        <v>63</v>
      </c>
      <c r="F2051" s="9">
        <v>101</v>
      </c>
      <c r="G2051" s="9">
        <v>1092</v>
      </c>
      <c r="H2051" s="5" t="s">
        <v>20</v>
      </c>
      <c r="I2051" s="5" t="s">
        <v>5083</v>
      </c>
      <c r="J2051" s="12" t="str">
        <f>HYPERLINK("https://www.boe.es/gazeta/dias/1805/12/17/pdfs/GMD-1805-101.pdf#page=8","Abrir facsímil")</f>
        <v>Abrir facsímil</v>
      </c>
      <c r="K2051" s="15" t="s">
        <v>22</v>
      </c>
    </row>
    <row r="2052" spans="1:11" ht="42" customHeight="1">
      <c r="A2052" s="4" t="s">
        <v>5084</v>
      </c>
      <c r="B2052" s="5" t="s">
        <v>5085</v>
      </c>
      <c r="C2052" s="5" t="s">
        <v>35</v>
      </c>
      <c r="D2052" s="5" t="s">
        <v>36</v>
      </c>
      <c r="E2052" s="5" t="s">
        <v>138</v>
      </c>
      <c r="F2052" s="9">
        <v>102</v>
      </c>
      <c r="G2052" s="9">
        <v>1104</v>
      </c>
      <c r="H2052" s="5" t="s">
        <v>20</v>
      </c>
      <c r="I2052" s="5" t="s">
        <v>5086</v>
      </c>
      <c r="J2052" s="12" t="str">
        <f>HYPERLINK("https://www.boe.es/gazeta/dias/1805/12/20/pdfs/GMD-1805-102.pdf#page=8","Abrir facsímil")</f>
        <v>Abrir facsímil</v>
      </c>
      <c r="K2052" s="15" t="s">
        <v>22</v>
      </c>
    </row>
    <row r="2053" spans="1:11" ht="42" customHeight="1">
      <c r="A2053" s="4" t="s">
        <v>5087</v>
      </c>
      <c r="B2053" s="5" t="s">
        <v>5087</v>
      </c>
      <c r="C2053" s="5" t="s">
        <v>35</v>
      </c>
      <c r="D2053" s="5" t="s">
        <v>36</v>
      </c>
      <c r="E2053" s="5" t="s">
        <v>107</v>
      </c>
      <c r="F2053" s="9">
        <v>19</v>
      </c>
      <c r="G2053" s="9">
        <v>194</v>
      </c>
      <c r="H2053" s="5" t="s">
        <v>20</v>
      </c>
      <c r="I2053" s="5" t="s">
        <v>5088</v>
      </c>
      <c r="J2053" s="12" t="str">
        <f>HYPERLINK("https://www.boe.es/gazeta/dias/1805/03/05/pdfs/GMD-1805-19.pdf#page=6","Abrir facsímil")</f>
        <v>Abrir facsímil</v>
      </c>
      <c r="K2053" s="15" t="s">
        <v>22</v>
      </c>
    </row>
    <row r="2054" spans="1:11" ht="42" customHeight="1">
      <c r="A2054" s="4" t="s">
        <v>5089</v>
      </c>
      <c r="B2054" s="5" t="s">
        <v>5089</v>
      </c>
      <c r="C2054" s="5" t="s">
        <v>17</v>
      </c>
      <c r="D2054" s="5" t="s">
        <v>18</v>
      </c>
      <c r="E2054" s="5" t="s">
        <v>63</v>
      </c>
      <c r="F2054" s="9">
        <v>101</v>
      </c>
      <c r="G2054" s="9">
        <v>1091</v>
      </c>
      <c r="H2054" s="5" t="s">
        <v>20</v>
      </c>
      <c r="I2054" s="5" t="s">
        <v>5090</v>
      </c>
      <c r="J2054" s="12" t="str">
        <f>HYPERLINK("https://www.boe.es/gazeta/dias/1805/12/17/pdfs/GMD-1805-101.pdf#page=7","Abrir facsímil")</f>
        <v>Abrir facsímil</v>
      </c>
      <c r="K2054" s="15" t="s">
        <v>22</v>
      </c>
    </row>
    <row r="2055" spans="1:11" ht="42" customHeight="1">
      <c r="A2055" s="4" t="s">
        <v>5091</v>
      </c>
      <c r="B2055" s="5" t="s">
        <v>5091</v>
      </c>
      <c r="C2055" s="5" t="s">
        <v>17</v>
      </c>
      <c r="D2055" s="5" t="s">
        <v>18</v>
      </c>
      <c r="E2055" s="5" t="s">
        <v>59</v>
      </c>
      <c r="F2055" s="9">
        <v>21</v>
      </c>
      <c r="G2055" s="9">
        <v>220</v>
      </c>
      <c r="H2055" s="5" t="s">
        <v>20</v>
      </c>
      <c r="I2055" s="5" t="s">
        <v>5092</v>
      </c>
      <c r="J2055" s="12" t="str">
        <f>HYPERLINK("https://www.boe.es/gazeta/dias/1805/03/12/pdfs/GMD-1805-21.pdf#page=8","Abrir facsímil")</f>
        <v>Abrir facsímil</v>
      </c>
      <c r="K2055" s="15" t="s">
        <v>22</v>
      </c>
    </row>
    <row r="2056" spans="1:11" ht="42" customHeight="1">
      <c r="A2056" s="4" t="s">
        <v>5093</v>
      </c>
      <c r="B2056" s="5" t="s">
        <v>5093</v>
      </c>
      <c r="C2056" s="5" t="s">
        <v>17</v>
      </c>
      <c r="D2056" s="5" t="s">
        <v>18</v>
      </c>
      <c r="E2056" s="5" t="s">
        <v>63</v>
      </c>
      <c r="F2056" s="9">
        <v>101</v>
      </c>
      <c r="G2056" s="9">
        <v>1091</v>
      </c>
      <c r="H2056" s="5" t="s">
        <v>20</v>
      </c>
      <c r="I2056" s="5" t="s">
        <v>5094</v>
      </c>
      <c r="J2056" s="12" t="str">
        <f>HYPERLINK("https://www.boe.es/gazeta/dias/1805/12/17/pdfs/GMD-1805-101.pdf#page=7","Abrir facsímil")</f>
        <v>Abrir facsímil</v>
      </c>
      <c r="K2056" s="15" t="s">
        <v>22</v>
      </c>
    </row>
    <row r="2057" spans="1:11" ht="42" customHeight="1">
      <c r="A2057" s="4" t="s">
        <v>5095</v>
      </c>
      <c r="B2057" s="5" t="s">
        <v>5095</v>
      </c>
      <c r="C2057" s="5" t="s">
        <v>17</v>
      </c>
      <c r="D2057" s="5" t="s">
        <v>18</v>
      </c>
      <c r="E2057" s="5" t="s">
        <v>138</v>
      </c>
      <c r="F2057" s="9">
        <v>102</v>
      </c>
      <c r="G2057" s="9">
        <v>1104</v>
      </c>
      <c r="H2057" s="5" t="s">
        <v>20</v>
      </c>
      <c r="I2057" s="5" t="s">
        <v>5096</v>
      </c>
      <c r="J2057" s="12" t="str">
        <f>HYPERLINK("https://www.boe.es/gazeta/dias/1805/12/20/pdfs/GMD-1805-102.pdf#page=8","Abrir facsímil")</f>
        <v>Abrir facsímil</v>
      </c>
      <c r="K2057" s="15" t="s">
        <v>22</v>
      </c>
    </row>
    <row r="2058" spans="1:11" ht="42" customHeight="1">
      <c r="A2058" s="4" t="s">
        <v>5097</v>
      </c>
      <c r="B2058" s="5" t="s">
        <v>5097</v>
      </c>
      <c r="C2058" s="5" t="s">
        <v>35</v>
      </c>
      <c r="D2058" s="5" t="s">
        <v>36</v>
      </c>
      <c r="E2058" s="5" t="s">
        <v>188</v>
      </c>
      <c r="F2058" s="9">
        <v>68</v>
      </c>
      <c r="G2058" s="9">
        <v>729</v>
      </c>
      <c r="H2058" s="5" t="s">
        <v>20</v>
      </c>
      <c r="I2058" s="5" t="s">
        <v>5098</v>
      </c>
      <c r="J2058" s="12" t="str">
        <f>HYPERLINK("https://www.boe.es/gazeta/dias/1805/08/23/pdfs/GMD-1805-68.pdf#page=9","Abrir facsímil")</f>
        <v>Abrir facsímil</v>
      </c>
      <c r="K2058" s="15" t="s">
        <v>22</v>
      </c>
    </row>
    <row r="2059" spans="1:11" ht="42" customHeight="1">
      <c r="A2059" s="4" t="s">
        <v>5099</v>
      </c>
      <c r="B2059" s="5" t="s">
        <v>5099</v>
      </c>
      <c r="C2059" s="5" t="s">
        <v>85</v>
      </c>
      <c r="D2059" s="5" t="s">
        <v>86</v>
      </c>
      <c r="E2059" s="5" t="s">
        <v>71</v>
      </c>
      <c r="F2059" s="9">
        <v>33</v>
      </c>
      <c r="G2059" s="9">
        <v>351</v>
      </c>
      <c r="H2059" s="5" t="s">
        <v>20</v>
      </c>
      <c r="I2059" s="5" t="s">
        <v>5100</v>
      </c>
      <c r="J2059" s="12" t="str">
        <f>HYPERLINK("https://www.boe.es/gazeta/dias/1805/04/23/pdfs/GMD-1805-33.pdf#page=7","Abrir facsímil")</f>
        <v>Abrir facsímil</v>
      </c>
      <c r="K2059" s="15" t="s">
        <v>22</v>
      </c>
    </row>
    <row r="2060" spans="1:11" ht="42" customHeight="1">
      <c r="A2060" s="4" t="s">
        <v>5101</v>
      </c>
      <c r="B2060" s="5" t="s">
        <v>5101</v>
      </c>
      <c r="C2060" s="5" t="s">
        <v>35</v>
      </c>
      <c r="D2060" s="5" t="s">
        <v>36</v>
      </c>
      <c r="E2060" s="5" t="s">
        <v>112</v>
      </c>
      <c r="F2060" s="9">
        <v>16</v>
      </c>
      <c r="G2060" s="9">
        <v>166</v>
      </c>
      <c r="H2060" s="5" t="s">
        <v>20</v>
      </c>
      <c r="I2060" s="5" t="s">
        <v>5102</v>
      </c>
      <c r="J2060" s="12" t="str">
        <f>HYPERLINK("https://www.boe.es/gazeta/dias/1805/02/22/pdfs/GMD-1805-16.pdf#page=6","Abrir facsímil")</f>
        <v>Abrir facsímil</v>
      </c>
      <c r="K2060" s="15" t="s">
        <v>22</v>
      </c>
    </row>
    <row r="2061" spans="1:11" ht="42" customHeight="1">
      <c r="A2061" s="4" t="s">
        <v>5103</v>
      </c>
      <c r="B2061" s="5" t="s">
        <v>5104</v>
      </c>
      <c r="C2061" s="5" t="s">
        <v>35</v>
      </c>
      <c r="D2061" s="5" t="s">
        <v>36</v>
      </c>
      <c r="E2061" s="5" t="s">
        <v>1432</v>
      </c>
      <c r="F2061" s="9">
        <v>53</v>
      </c>
      <c r="G2061" s="9">
        <v>571</v>
      </c>
      <c r="H2061" s="5" t="s">
        <v>20</v>
      </c>
      <c r="I2061" s="5" t="s">
        <v>5105</v>
      </c>
      <c r="J2061" s="12" t="str">
        <f>HYPERLINK("https://www.boe.es/gazeta/dias/1805/07/02/pdfs/GMD-1805-53.pdf#page=7","Abrir facsímil")</f>
        <v>Abrir facsímil</v>
      </c>
      <c r="K2061" s="15" t="s">
        <v>22</v>
      </c>
    </row>
    <row r="2062" spans="1:11" ht="42" customHeight="1">
      <c r="A2062" s="4" t="s">
        <v>5106</v>
      </c>
      <c r="B2062" s="5" t="s">
        <v>5106</v>
      </c>
      <c r="C2062" s="5" t="s">
        <v>85</v>
      </c>
      <c r="D2062" s="5" t="s">
        <v>86</v>
      </c>
      <c r="E2062" s="5" t="s">
        <v>352</v>
      </c>
      <c r="F2062" s="9">
        <v>60</v>
      </c>
      <c r="G2062" s="9">
        <v>646</v>
      </c>
      <c r="H2062" s="5" t="s">
        <v>20</v>
      </c>
      <c r="I2062" s="5" t="s">
        <v>5107</v>
      </c>
      <c r="J2062" s="12" t="str">
        <f>HYPERLINK("https://www.boe.es/gazeta/dias/1805/07/26/pdfs/GMD-1805-60.pdf#page=10","Abrir facsímil")</f>
        <v>Abrir facsímil</v>
      </c>
      <c r="K2062" s="15" t="s">
        <v>22</v>
      </c>
    </row>
    <row r="2063" spans="1:11" ht="42" customHeight="1">
      <c r="A2063" s="4" t="s">
        <v>5108</v>
      </c>
      <c r="B2063" s="5" t="s">
        <v>5109</v>
      </c>
      <c r="C2063" s="5" t="s">
        <v>17</v>
      </c>
      <c r="D2063" s="5" t="s">
        <v>18</v>
      </c>
      <c r="E2063" s="5" t="s">
        <v>128</v>
      </c>
      <c r="F2063" s="9">
        <v>23</v>
      </c>
      <c r="G2063" s="9">
        <v>241</v>
      </c>
      <c r="H2063" s="5" t="s">
        <v>20</v>
      </c>
      <c r="I2063" s="5" t="s">
        <v>5110</v>
      </c>
      <c r="J2063" s="12" t="str">
        <f>HYPERLINK("https://www.boe.es/gazeta/dias/1805/03/19/pdfs/GMD-1805-23.pdf#page=5","Abrir facsímil")</f>
        <v>Abrir facsímil</v>
      </c>
      <c r="K2063" s="15" t="s">
        <v>22</v>
      </c>
    </row>
    <row r="2064" spans="1:11" ht="42" customHeight="1">
      <c r="A2064" s="4" t="s">
        <v>5108</v>
      </c>
      <c r="B2064" s="5" t="s">
        <v>5109</v>
      </c>
      <c r="C2064" s="5" t="s">
        <v>17</v>
      </c>
      <c r="D2064" s="5" t="s">
        <v>18</v>
      </c>
      <c r="E2064" s="5" t="s">
        <v>440</v>
      </c>
      <c r="F2064" s="9">
        <v>27</v>
      </c>
      <c r="G2064" s="9">
        <v>284</v>
      </c>
      <c r="H2064" s="5" t="s">
        <v>20</v>
      </c>
      <c r="I2064" s="5" t="s">
        <v>5111</v>
      </c>
      <c r="J2064" s="12" t="str">
        <f>HYPERLINK("https://www.boe.es/gazeta/dias/1805/04/02/pdfs/GMD-1805-27.pdf#page=4","Abrir facsímil")</f>
        <v>Abrir facsímil</v>
      </c>
      <c r="K2064" s="15" t="s">
        <v>22</v>
      </c>
    </row>
    <row r="2065" spans="1:11" ht="42" customHeight="1">
      <c r="A2065" s="4" t="s">
        <v>5108</v>
      </c>
      <c r="B2065" s="5" t="s">
        <v>5109</v>
      </c>
      <c r="C2065" s="5" t="s">
        <v>29</v>
      </c>
      <c r="D2065" s="5" t="s">
        <v>30</v>
      </c>
      <c r="E2065" s="5" t="s">
        <v>850</v>
      </c>
      <c r="F2065" s="9">
        <v>42</v>
      </c>
      <c r="G2065" s="9">
        <v>452</v>
      </c>
      <c r="H2065" s="5" t="s">
        <v>20</v>
      </c>
      <c r="I2065" s="5" t="s">
        <v>5112</v>
      </c>
      <c r="J2065" s="12" t="str">
        <f>HYPERLINK("https://www.boe.es/gazeta/dias/1805/05/24/pdfs/GMD-1805-42.pdf#page=8","Abrir facsímil")</f>
        <v>Abrir facsímil</v>
      </c>
      <c r="K2065" s="15" t="s">
        <v>22</v>
      </c>
    </row>
    <row r="2066" spans="1:11" ht="42" customHeight="1">
      <c r="A2066" s="4" t="s">
        <v>5108</v>
      </c>
      <c r="B2066" s="5" t="s">
        <v>5109</v>
      </c>
      <c r="C2066" s="5" t="s">
        <v>80</v>
      </c>
      <c r="D2066" s="5" t="s">
        <v>81</v>
      </c>
      <c r="E2066" s="5" t="s">
        <v>733</v>
      </c>
      <c r="F2066" s="9">
        <v>45</v>
      </c>
      <c r="G2066" s="9">
        <v>483</v>
      </c>
      <c r="H2066" s="5" t="s">
        <v>20</v>
      </c>
      <c r="I2066" s="5" t="s">
        <v>5113</v>
      </c>
      <c r="J2066" s="12" t="str">
        <f>HYPERLINK("https://www.boe.es/gazeta/dias/1805/06/04/pdfs/GMD-1805-45.pdf#page=7","Abrir facsímil")</f>
        <v>Abrir facsímil</v>
      </c>
      <c r="K2066" s="15" t="s">
        <v>22</v>
      </c>
    </row>
    <row r="2067" spans="1:11" ht="42" customHeight="1">
      <c r="A2067" s="4" t="s">
        <v>5108</v>
      </c>
      <c r="B2067" s="5" t="s">
        <v>5109</v>
      </c>
      <c r="C2067" s="5" t="s">
        <v>80</v>
      </c>
      <c r="D2067" s="5" t="s">
        <v>81</v>
      </c>
      <c r="E2067" s="5" t="s">
        <v>1022</v>
      </c>
      <c r="F2067" s="9">
        <v>52</v>
      </c>
      <c r="G2067" s="9">
        <v>560</v>
      </c>
      <c r="H2067" s="5" t="s">
        <v>20</v>
      </c>
      <c r="I2067" s="5" t="s">
        <v>5114</v>
      </c>
      <c r="J2067" s="12" t="str">
        <f>HYPERLINK("https://www.boe.es/gazeta/dias/1805/06/28/pdfs/GMD-1805-52.pdf#page=8","Abrir facsímil")</f>
        <v>Abrir facsímil</v>
      </c>
      <c r="K2067" s="15" t="s">
        <v>22</v>
      </c>
    </row>
    <row r="2068" spans="1:11" ht="42" customHeight="1">
      <c r="A2068" s="4" t="s">
        <v>5108</v>
      </c>
      <c r="B2068" s="5" t="s">
        <v>5109</v>
      </c>
      <c r="C2068" s="5" t="s">
        <v>35</v>
      </c>
      <c r="D2068" s="5" t="s">
        <v>36</v>
      </c>
      <c r="E2068" s="5" t="s">
        <v>1432</v>
      </c>
      <c r="F2068" s="9">
        <v>53</v>
      </c>
      <c r="G2068" s="9">
        <v>569</v>
      </c>
      <c r="H2068" s="5" t="s">
        <v>20</v>
      </c>
      <c r="I2068" s="5" t="s">
        <v>5115</v>
      </c>
      <c r="J2068" s="12" t="str">
        <f>HYPERLINK("https://www.boe.es/gazeta/dias/1805/07/02/pdfs/GMD-1805-53.pdf#page=5","Abrir facsímil")</f>
        <v>Abrir facsímil</v>
      </c>
      <c r="K2068" s="15" t="s">
        <v>22</v>
      </c>
    </row>
    <row r="2069" spans="1:11" ht="42" customHeight="1">
      <c r="A2069" s="4" t="s">
        <v>5108</v>
      </c>
      <c r="B2069" s="5" t="s">
        <v>5109</v>
      </c>
      <c r="C2069" s="5" t="s">
        <v>17</v>
      </c>
      <c r="D2069" s="5" t="s">
        <v>18</v>
      </c>
      <c r="E2069" s="5" t="s">
        <v>37</v>
      </c>
      <c r="F2069" s="9">
        <v>54</v>
      </c>
      <c r="G2069" s="9">
        <v>577</v>
      </c>
      <c r="H2069" s="5" t="s">
        <v>20</v>
      </c>
      <c r="I2069" s="5" t="s">
        <v>5116</v>
      </c>
      <c r="J2069" s="12" t="str">
        <f>HYPERLINK("https://www.boe.es/gazeta/dias/1805/07/05/pdfs/GMD-1805-54.pdf#page=5","Abrir facsímil")</f>
        <v>Abrir facsímil</v>
      </c>
      <c r="K2069" s="15" t="s">
        <v>22</v>
      </c>
    </row>
    <row r="2070" spans="1:11" ht="42" customHeight="1">
      <c r="A2070" s="4" t="s">
        <v>5108</v>
      </c>
      <c r="B2070" s="5" t="s">
        <v>5109</v>
      </c>
      <c r="C2070" s="5" t="s">
        <v>17</v>
      </c>
      <c r="D2070" s="5" t="s">
        <v>18</v>
      </c>
      <c r="E2070" s="5" t="s">
        <v>37</v>
      </c>
      <c r="F2070" s="9">
        <v>54</v>
      </c>
      <c r="G2070" s="9">
        <v>578</v>
      </c>
      <c r="H2070" s="5" t="s">
        <v>20</v>
      </c>
      <c r="I2070" s="5" t="s">
        <v>5117</v>
      </c>
      <c r="J2070" s="12" t="str">
        <f>HYPERLINK("https://www.boe.es/gazeta/dias/1805/07/05/pdfs/GMD-1805-54.pdf#page=6","Abrir facsímil")</f>
        <v>Abrir facsímil</v>
      </c>
      <c r="K2070" s="15" t="s">
        <v>22</v>
      </c>
    </row>
    <row r="2071" spans="1:11" ht="42" customHeight="1">
      <c r="A2071" s="4" t="s">
        <v>5108</v>
      </c>
      <c r="B2071" s="5" t="s">
        <v>5109</v>
      </c>
      <c r="C2071" s="5" t="s">
        <v>17</v>
      </c>
      <c r="D2071" s="5" t="s">
        <v>18</v>
      </c>
      <c r="E2071" s="5" t="s">
        <v>787</v>
      </c>
      <c r="F2071" s="9">
        <v>95</v>
      </c>
      <c r="G2071" s="9">
        <v>1017</v>
      </c>
      <c r="H2071" s="5" t="s">
        <v>20</v>
      </c>
      <c r="I2071" s="5" t="s">
        <v>5118</v>
      </c>
      <c r="J2071" s="12" t="str">
        <f>HYPERLINK("https://www.boe.es/gazeta/dias/1805/11/26/pdfs/GMD-1805-95.pdf#page=5","Abrir facsímil")</f>
        <v>Abrir facsímil</v>
      </c>
      <c r="K2071" s="15" t="s">
        <v>22</v>
      </c>
    </row>
    <row r="2072" spans="1:11" ht="42" customHeight="1">
      <c r="A2072" s="4" t="s">
        <v>5119</v>
      </c>
      <c r="B2072" s="5" t="s">
        <v>5119</v>
      </c>
      <c r="C2072" s="5" t="s">
        <v>35</v>
      </c>
      <c r="D2072" s="5" t="s">
        <v>36</v>
      </c>
      <c r="E2072" s="5" t="s">
        <v>63</v>
      </c>
      <c r="F2072" s="9">
        <v>101</v>
      </c>
      <c r="G2072" s="9">
        <v>1093</v>
      </c>
      <c r="H2072" s="5" t="s">
        <v>20</v>
      </c>
      <c r="I2072" s="5" t="s">
        <v>5120</v>
      </c>
      <c r="J2072" s="12" t="str">
        <f>HYPERLINK("https://www.boe.es/gazeta/dias/1805/12/17/pdfs/GMD-1805-101.pdf#page=9","Abrir facsímil")</f>
        <v>Abrir facsímil</v>
      </c>
      <c r="K2072" s="15" t="s">
        <v>22</v>
      </c>
    </row>
    <row r="2073" spans="1:11" ht="42" customHeight="1">
      <c r="A2073" s="4" t="s">
        <v>5121</v>
      </c>
      <c r="B2073" s="5" t="s">
        <v>5121</v>
      </c>
      <c r="C2073" s="5" t="s">
        <v>85</v>
      </c>
      <c r="D2073" s="5" t="s">
        <v>86</v>
      </c>
      <c r="E2073" s="5" t="s">
        <v>138</v>
      </c>
      <c r="F2073" s="9">
        <v>102</v>
      </c>
      <c r="G2073" s="9">
        <v>1102</v>
      </c>
      <c r="H2073" s="5" t="s">
        <v>20</v>
      </c>
      <c r="I2073" s="5" t="s">
        <v>5122</v>
      </c>
      <c r="J2073" s="12" t="str">
        <f>HYPERLINK("https://www.boe.es/gazeta/dias/1805/12/20/pdfs/GMD-1805-102.pdf#page=6","Abrir facsímil")</f>
        <v>Abrir facsímil</v>
      </c>
      <c r="K2073" s="15" t="s">
        <v>22</v>
      </c>
    </row>
    <row r="2074" spans="1:11" ht="42" customHeight="1">
      <c r="A2074" s="4" t="s">
        <v>5123</v>
      </c>
      <c r="B2074" s="5" t="s">
        <v>5124</v>
      </c>
      <c r="C2074" s="5" t="s">
        <v>17</v>
      </c>
      <c r="D2074" s="5" t="s">
        <v>18</v>
      </c>
      <c r="E2074" s="5" t="s">
        <v>71</v>
      </c>
      <c r="F2074" s="9">
        <v>33</v>
      </c>
      <c r="G2074" s="9">
        <v>352</v>
      </c>
      <c r="H2074" s="5" t="s">
        <v>20</v>
      </c>
      <c r="I2074" s="5" t="s">
        <v>5125</v>
      </c>
      <c r="J2074" s="12" t="str">
        <f>HYPERLINK("https://www.boe.es/gazeta/dias/1805/04/23/pdfs/GMD-1805-33.pdf#page=8","Abrir facsímil")</f>
        <v>Abrir facsímil</v>
      </c>
      <c r="K2074" s="15" t="s">
        <v>22</v>
      </c>
    </row>
    <row r="2075" spans="1:11" ht="42" customHeight="1">
      <c r="A2075" s="4" t="s">
        <v>5126</v>
      </c>
      <c r="B2075" s="5" t="s">
        <v>5127</v>
      </c>
      <c r="C2075" s="5" t="s">
        <v>35</v>
      </c>
      <c r="D2075" s="5" t="s">
        <v>36</v>
      </c>
      <c r="E2075" s="5" t="s">
        <v>59</v>
      </c>
      <c r="F2075" s="9">
        <v>21</v>
      </c>
      <c r="G2075" s="9">
        <v>221</v>
      </c>
      <c r="H2075" s="5" t="s">
        <v>20</v>
      </c>
      <c r="I2075" s="5" t="s">
        <v>5128</v>
      </c>
      <c r="J2075" s="12" t="str">
        <f>HYPERLINK("https://www.boe.es/gazeta/dias/1805/03/12/pdfs/GMD-1805-21.pdf#page=9","Abrir facsímil")</f>
        <v>Abrir facsímil</v>
      </c>
      <c r="K2075" s="15" t="s">
        <v>22</v>
      </c>
    </row>
    <row r="2076" spans="1:11" ht="42" customHeight="1">
      <c r="A2076" s="4" t="s">
        <v>5129</v>
      </c>
      <c r="B2076" s="5" t="s">
        <v>5129</v>
      </c>
      <c r="C2076" s="5" t="s">
        <v>17</v>
      </c>
      <c r="D2076" s="5" t="s">
        <v>18</v>
      </c>
      <c r="E2076" s="5" t="s">
        <v>365</v>
      </c>
      <c r="F2076" s="9">
        <v>3</v>
      </c>
      <c r="G2076" s="9">
        <v>31</v>
      </c>
      <c r="H2076" s="5" t="s">
        <v>20</v>
      </c>
      <c r="I2076" s="5" t="s">
        <v>5130</v>
      </c>
      <c r="J2076" s="12" t="str">
        <f>HYPERLINK("https://www.boe.es/gazeta/dias/1805/01/08/pdfs/GMD-1805-3.pdf#page=7","Abrir facsímil")</f>
        <v>Abrir facsímil</v>
      </c>
      <c r="K2076" s="15" t="s">
        <v>22</v>
      </c>
    </row>
    <row r="2077" spans="1:11" ht="42" customHeight="1">
      <c r="A2077" s="4" t="s">
        <v>5131</v>
      </c>
      <c r="B2077" s="5" t="s">
        <v>5131</v>
      </c>
      <c r="C2077" s="5" t="s">
        <v>17</v>
      </c>
      <c r="D2077" s="5" t="s">
        <v>18</v>
      </c>
      <c r="E2077" s="5" t="s">
        <v>399</v>
      </c>
      <c r="F2077" s="9">
        <v>39</v>
      </c>
      <c r="G2077" s="9">
        <v>422</v>
      </c>
      <c r="H2077" s="5" t="s">
        <v>20</v>
      </c>
      <c r="I2077" s="5" t="s">
        <v>5132</v>
      </c>
      <c r="J2077" s="12" t="str">
        <f>HYPERLINK("https://www.boe.es/gazeta/dias/1805/05/14/pdfs/GMD-1805-39.pdf#page=10","Abrir facsímil")</f>
        <v>Abrir facsímil</v>
      </c>
      <c r="K2077" s="15" t="s">
        <v>22</v>
      </c>
    </row>
    <row r="2078" spans="1:11" ht="42" customHeight="1">
      <c r="A2078" s="4" t="s">
        <v>5133</v>
      </c>
      <c r="B2078" s="5" t="s">
        <v>5133</v>
      </c>
      <c r="C2078" s="5" t="s">
        <v>80</v>
      </c>
      <c r="D2078" s="5" t="s">
        <v>81</v>
      </c>
      <c r="E2078" s="5" t="s">
        <v>132</v>
      </c>
      <c r="F2078" s="9">
        <v>2</v>
      </c>
      <c r="G2078" s="9">
        <v>16</v>
      </c>
      <c r="H2078" s="5" t="s">
        <v>20</v>
      </c>
      <c r="I2078" s="5" t="s">
        <v>5134</v>
      </c>
      <c r="J2078" s="12" t="str">
        <f>HYPERLINK("https://www.boe.es/gazeta/dias/1805/01/04/pdfs/GMD-1805-2.pdf#page=4","Abrir facsímil")</f>
        <v>Abrir facsímil</v>
      </c>
      <c r="K2078" s="15" t="s">
        <v>22</v>
      </c>
    </row>
    <row r="2079" spans="1:11" ht="42" customHeight="1">
      <c r="A2079" s="4" t="s">
        <v>5133</v>
      </c>
      <c r="B2079" s="5" t="s">
        <v>5133</v>
      </c>
      <c r="C2079" s="5" t="s">
        <v>80</v>
      </c>
      <c r="D2079" s="5" t="s">
        <v>81</v>
      </c>
      <c r="E2079" s="5" t="s">
        <v>82</v>
      </c>
      <c r="F2079" s="9">
        <v>25</v>
      </c>
      <c r="G2079" s="9">
        <v>262</v>
      </c>
      <c r="H2079" s="5" t="s">
        <v>20</v>
      </c>
      <c r="I2079" s="5" t="s">
        <v>5135</v>
      </c>
      <c r="J2079" s="12" t="str">
        <f>HYPERLINK("https://www.boe.es/gazeta/dias/1805/03/26/pdfs/GMD-1805-25.pdf#page=2","Abrir facsímil")</f>
        <v>Abrir facsímil</v>
      </c>
      <c r="K2079" s="15" t="s">
        <v>22</v>
      </c>
    </row>
    <row r="2080" spans="1:11" ht="42" customHeight="1">
      <c r="A2080" s="4" t="s">
        <v>5133</v>
      </c>
      <c r="B2080" s="5" t="s">
        <v>5133</v>
      </c>
      <c r="C2080" s="5" t="s">
        <v>35</v>
      </c>
      <c r="D2080" s="5" t="s">
        <v>36</v>
      </c>
      <c r="E2080" s="5" t="s">
        <v>27</v>
      </c>
      <c r="F2080" s="9">
        <v>37</v>
      </c>
      <c r="G2080" s="9">
        <v>398</v>
      </c>
      <c r="H2080" s="5" t="s">
        <v>20</v>
      </c>
      <c r="I2080" s="5" t="s">
        <v>5136</v>
      </c>
      <c r="J2080" s="12" t="str">
        <f>HYPERLINK("https://www.boe.es/gazeta/dias/1805/05/07/pdfs/GMD-1805-37.pdf#page=6","Abrir facsímil")</f>
        <v>Abrir facsímil</v>
      </c>
      <c r="K2080" s="15" t="s">
        <v>22</v>
      </c>
    </row>
    <row r="2081" spans="1:11" ht="42" customHeight="1">
      <c r="A2081" s="4" t="s">
        <v>5137</v>
      </c>
      <c r="B2081" s="5" t="s">
        <v>5137</v>
      </c>
      <c r="C2081" s="5" t="s">
        <v>17</v>
      </c>
      <c r="D2081" s="5" t="s">
        <v>18</v>
      </c>
      <c r="E2081" s="5" t="s">
        <v>63</v>
      </c>
      <c r="F2081" s="9">
        <v>101</v>
      </c>
      <c r="G2081" s="9">
        <v>1092</v>
      </c>
      <c r="H2081" s="5" t="s">
        <v>20</v>
      </c>
      <c r="I2081" s="5" t="s">
        <v>5138</v>
      </c>
      <c r="J2081" s="12" t="str">
        <f>HYPERLINK("https://www.boe.es/gazeta/dias/1805/12/17/pdfs/GMD-1805-101.pdf#page=8","Abrir facsímil")</f>
        <v>Abrir facsímil</v>
      </c>
      <c r="K2081" s="15" t="s">
        <v>22</v>
      </c>
    </row>
    <row r="2082" spans="1:11" ht="42" customHeight="1">
      <c r="A2082" s="4" t="s">
        <v>5139</v>
      </c>
      <c r="B2082" s="5" t="s">
        <v>5140</v>
      </c>
      <c r="C2082" s="5" t="s">
        <v>85</v>
      </c>
      <c r="D2082" s="5" t="s">
        <v>86</v>
      </c>
      <c r="E2082" s="5" t="s">
        <v>335</v>
      </c>
      <c r="F2082" s="9">
        <v>79</v>
      </c>
      <c r="G2082" s="9">
        <v>838</v>
      </c>
      <c r="H2082" s="5" t="s">
        <v>20</v>
      </c>
      <c r="I2082" s="5" t="s">
        <v>5141</v>
      </c>
      <c r="J2082" s="12" t="str">
        <f>HYPERLINK("https://www.boe.es/gazeta/dias/1805/10/01/pdfs/GMD-1805-79.pdf#page=10","Abrir facsímil")</f>
        <v>Abrir facsímil</v>
      </c>
      <c r="K2082" s="15" t="s">
        <v>22</v>
      </c>
    </row>
    <row r="2083" spans="1:11" ht="42" customHeight="1">
      <c r="A2083" s="4" t="s">
        <v>5142</v>
      </c>
      <c r="B2083" s="5" t="s">
        <v>5142</v>
      </c>
      <c r="C2083" s="5" t="s">
        <v>17</v>
      </c>
      <c r="D2083" s="5" t="s">
        <v>18</v>
      </c>
      <c r="E2083" s="5" t="s">
        <v>63</v>
      </c>
      <c r="F2083" s="9">
        <v>101</v>
      </c>
      <c r="G2083" s="9">
        <v>1092</v>
      </c>
      <c r="H2083" s="5" t="s">
        <v>20</v>
      </c>
      <c r="I2083" s="5" t="s">
        <v>5143</v>
      </c>
      <c r="J2083" s="12" t="str">
        <f>HYPERLINK("https://www.boe.es/gazeta/dias/1805/12/17/pdfs/GMD-1805-101.pdf#page=8","Abrir facsímil")</f>
        <v>Abrir facsímil</v>
      </c>
      <c r="K2083" s="15" t="s">
        <v>22</v>
      </c>
    </row>
    <row r="2084" spans="1:11" ht="42" customHeight="1">
      <c r="A2084" s="4" t="s">
        <v>5144</v>
      </c>
      <c r="B2084" s="5" t="s">
        <v>5145</v>
      </c>
      <c r="C2084" s="5" t="s">
        <v>80</v>
      </c>
      <c r="D2084" s="5" t="s">
        <v>81</v>
      </c>
      <c r="E2084" s="5" t="s">
        <v>63</v>
      </c>
      <c r="F2084" s="9">
        <v>101</v>
      </c>
      <c r="G2084" s="9">
        <v>1085</v>
      </c>
      <c r="H2084" s="5" t="s">
        <v>20</v>
      </c>
      <c r="I2084" s="5" t="s">
        <v>5146</v>
      </c>
      <c r="J2084" s="12" t="str">
        <f>HYPERLINK("https://www.boe.es/gazeta/dias/1805/12/17/pdfs/GMD-1805-101.pdf#page=1","Abrir facsímil")</f>
        <v>Abrir facsímil</v>
      </c>
      <c r="K2084" s="15" t="s">
        <v>22</v>
      </c>
    </row>
    <row r="2085" spans="1:11" ht="42" customHeight="1">
      <c r="A2085" s="4" t="s">
        <v>5147</v>
      </c>
      <c r="B2085" s="5" t="s">
        <v>5148</v>
      </c>
      <c r="C2085" s="5" t="s">
        <v>35</v>
      </c>
      <c r="D2085" s="5" t="s">
        <v>36</v>
      </c>
      <c r="E2085" s="5" t="s">
        <v>1187</v>
      </c>
      <c r="F2085" s="9">
        <v>40</v>
      </c>
      <c r="G2085" s="9">
        <v>430</v>
      </c>
      <c r="H2085" s="5" t="s">
        <v>20</v>
      </c>
      <c r="I2085" s="5" t="s">
        <v>5149</v>
      </c>
      <c r="J2085" s="12" t="str">
        <f>HYPERLINK("https://www.boe.es/gazeta/dias/1805/05/17/pdfs/GMD-1805-40.pdf#page=6","Abrir facsímil")</f>
        <v>Abrir facsímil</v>
      </c>
      <c r="K2085" s="15" t="s">
        <v>22</v>
      </c>
    </row>
    <row r="2086" spans="1:11" ht="42" customHeight="1">
      <c r="A2086" s="4" t="s">
        <v>5150</v>
      </c>
      <c r="B2086" s="5" t="s">
        <v>5151</v>
      </c>
      <c r="C2086" s="5" t="s">
        <v>80</v>
      </c>
      <c r="D2086" s="5" t="s">
        <v>81</v>
      </c>
      <c r="E2086" s="5" t="s">
        <v>138</v>
      </c>
      <c r="F2086" s="9">
        <v>102</v>
      </c>
      <c r="G2086" s="9">
        <v>1100</v>
      </c>
      <c r="H2086" s="5" t="s">
        <v>20</v>
      </c>
      <c r="I2086" s="5" t="s">
        <v>5152</v>
      </c>
      <c r="J2086" s="12" t="str">
        <f>HYPERLINK("https://www.boe.es/gazeta/dias/1805/12/20/pdfs/GMD-1805-102.pdf#page=4","Abrir facsímil")</f>
        <v>Abrir facsímil</v>
      </c>
      <c r="K2086" s="15" t="s">
        <v>22</v>
      </c>
    </row>
    <row r="2087" spans="1:11" ht="42" customHeight="1">
      <c r="A2087" s="4" t="s">
        <v>5153</v>
      </c>
      <c r="B2087" s="5" t="s">
        <v>5153</v>
      </c>
      <c r="C2087" s="5" t="s">
        <v>80</v>
      </c>
      <c r="D2087" s="5" t="s">
        <v>81</v>
      </c>
      <c r="E2087" s="5" t="s">
        <v>512</v>
      </c>
      <c r="F2087" s="9">
        <v>100</v>
      </c>
      <c r="G2087" s="9">
        <v>1077</v>
      </c>
      <c r="H2087" s="5" t="s">
        <v>20</v>
      </c>
      <c r="I2087" s="5" t="s">
        <v>5154</v>
      </c>
      <c r="J2087" s="12" t="str">
        <f>HYPERLINK("https://www.boe.es/gazeta/dias/1805/12/13/pdfs/GMD-1805-100.pdf#page=5","Abrir facsímil")</f>
        <v>Abrir facsímil</v>
      </c>
      <c r="K2087" s="15" t="s">
        <v>22</v>
      </c>
    </row>
    <row r="2088" spans="1:11" ht="42" customHeight="1">
      <c r="A2088" s="4" t="s">
        <v>5155</v>
      </c>
      <c r="B2088" s="5" t="s">
        <v>5156</v>
      </c>
      <c r="C2088" s="5" t="s">
        <v>29</v>
      </c>
      <c r="D2088" s="5" t="s">
        <v>30</v>
      </c>
      <c r="E2088" s="5" t="s">
        <v>335</v>
      </c>
      <c r="F2088" s="9">
        <v>79</v>
      </c>
      <c r="G2088" s="9">
        <v>839</v>
      </c>
      <c r="H2088" s="5" t="s">
        <v>20</v>
      </c>
      <c r="I2088" s="5" t="s">
        <v>5157</v>
      </c>
      <c r="J2088" s="12" t="str">
        <f>HYPERLINK("https://www.boe.es/gazeta/dias/1805/10/01/pdfs/GMD-1805-79.pdf#page=11","Abrir facsímil")</f>
        <v>Abrir facsímil</v>
      </c>
      <c r="K2088" s="15" t="s">
        <v>22</v>
      </c>
    </row>
    <row r="2089" spans="1:11" ht="42" customHeight="1">
      <c r="A2089" s="4" t="s">
        <v>5158</v>
      </c>
      <c r="B2089" s="5" t="s">
        <v>5158</v>
      </c>
      <c r="C2089" s="5" t="s">
        <v>17</v>
      </c>
      <c r="D2089" s="5" t="s">
        <v>18</v>
      </c>
      <c r="E2089" s="5" t="s">
        <v>163</v>
      </c>
      <c r="F2089" s="9">
        <v>77</v>
      </c>
      <c r="G2089" s="9">
        <v>812</v>
      </c>
      <c r="H2089" s="5" t="s">
        <v>20</v>
      </c>
      <c r="I2089" s="5" t="s">
        <v>5159</v>
      </c>
      <c r="J2089" s="12" t="str">
        <f>HYPERLINK("https://www.boe.es/gazeta/dias/1805/09/24/pdfs/GMD-1805-77.pdf#page=4","Abrir facsímil")</f>
        <v>Abrir facsímil</v>
      </c>
      <c r="K2089" s="15" t="s">
        <v>22</v>
      </c>
    </row>
    <row r="2090" spans="1:11" ht="42" customHeight="1">
      <c r="A2090" s="4" t="s">
        <v>5160</v>
      </c>
      <c r="B2090" s="5" t="s">
        <v>5161</v>
      </c>
      <c r="C2090" s="5" t="s">
        <v>35</v>
      </c>
      <c r="D2090" s="5" t="s">
        <v>36</v>
      </c>
      <c r="E2090" s="5" t="s">
        <v>213</v>
      </c>
      <c r="F2090" s="9">
        <v>56</v>
      </c>
      <c r="G2090" s="9">
        <v>600</v>
      </c>
      <c r="H2090" s="5" t="s">
        <v>20</v>
      </c>
      <c r="I2090" s="5" t="s">
        <v>5162</v>
      </c>
      <c r="J2090" s="12" t="str">
        <f>HYPERLINK("https://www.boe.es/gazeta/dias/1805/07/12/pdfs/GMD-1805-56.pdf#page=8","Abrir facsímil")</f>
        <v>Abrir facsímil</v>
      </c>
      <c r="K2090" s="15" t="s">
        <v>22</v>
      </c>
    </row>
    <row r="2091" spans="1:11" ht="42" customHeight="1">
      <c r="A2091" s="4" t="s">
        <v>5163</v>
      </c>
      <c r="B2091" s="5" t="s">
        <v>5163</v>
      </c>
      <c r="C2091" s="5" t="s">
        <v>35</v>
      </c>
      <c r="D2091" s="5" t="s">
        <v>36</v>
      </c>
      <c r="E2091" s="5" t="s">
        <v>132</v>
      </c>
      <c r="F2091" s="9">
        <v>2</v>
      </c>
      <c r="G2091" s="9">
        <v>21</v>
      </c>
      <c r="H2091" s="5" t="s">
        <v>20</v>
      </c>
      <c r="I2091" s="5" t="s">
        <v>5164</v>
      </c>
      <c r="J2091" s="12" t="str">
        <f>HYPERLINK("https://www.boe.es/gazeta/dias/1805/01/04/pdfs/GMD-1805-2.pdf#page=9","Abrir facsímil")</f>
        <v>Abrir facsímil</v>
      </c>
      <c r="K2091" s="15" t="s">
        <v>22</v>
      </c>
    </row>
    <row r="2092" spans="1:11" ht="42" customHeight="1">
      <c r="A2092" s="4" t="s">
        <v>5165</v>
      </c>
      <c r="B2092" s="5" t="s">
        <v>5165</v>
      </c>
      <c r="C2092" s="5" t="s">
        <v>52</v>
      </c>
      <c r="D2092" s="5" t="s">
        <v>53</v>
      </c>
      <c r="E2092" s="5" t="s">
        <v>144</v>
      </c>
      <c r="F2092" s="9">
        <v>85</v>
      </c>
      <c r="G2092" s="9" t="s">
        <v>222</v>
      </c>
      <c r="H2092" s="5" t="s">
        <v>20</v>
      </c>
      <c r="I2092" s="5" t="s">
        <v>5166</v>
      </c>
      <c r="J2092" s="12" t="str">
        <f>HYPERLINK("https://www.boe.es/gazeta/dias/1805/10/22/pdfs/GMD-C-1805-85.pdf#page=1","Abrir facsímil")</f>
        <v>Abrir facsímil</v>
      </c>
      <c r="K2092" s="15" t="s">
        <v>22</v>
      </c>
    </row>
    <row r="2093" spans="1:11" ht="42" customHeight="1">
      <c r="A2093" s="4" t="s">
        <v>5167</v>
      </c>
      <c r="B2093" s="5" t="s">
        <v>5167</v>
      </c>
      <c r="C2093" s="5" t="s">
        <v>80</v>
      </c>
      <c r="D2093" s="5" t="s">
        <v>81</v>
      </c>
      <c r="E2093" s="5" t="s">
        <v>63</v>
      </c>
      <c r="F2093" s="9">
        <v>101</v>
      </c>
      <c r="G2093" s="9">
        <v>1088</v>
      </c>
      <c r="H2093" s="5" t="s">
        <v>20</v>
      </c>
      <c r="I2093" s="5" t="s">
        <v>5168</v>
      </c>
      <c r="J2093" s="12" t="str">
        <f>HYPERLINK("https://www.boe.es/gazeta/dias/1805/12/17/pdfs/GMD-1805-101.pdf#page=4","Abrir facsímil")</f>
        <v>Abrir facsímil</v>
      </c>
      <c r="K2093" s="15" t="s">
        <v>22</v>
      </c>
    </row>
    <row r="2094" spans="1:11" ht="42" customHeight="1">
      <c r="A2094" s="4" t="s">
        <v>5169</v>
      </c>
      <c r="B2094" s="5" t="s">
        <v>5170</v>
      </c>
      <c r="C2094" s="5" t="s">
        <v>52</v>
      </c>
      <c r="D2094" s="5" t="s">
        <v>53</v>
      </c>
      <c r="E2094" s="5" t="s">
        <v>82</v>
      </c>
      <c r="F2094" s="9">
        <v>25</v>
      </c>
      <c r="G2094" s="9" t="s">
        <v>145</v>
      </c>
      <c r="H2094" s="5" t="s">
        <v>20</v>
      </c>
      <c r="I2094" s="5" t="s">
        <v>5171</v>
      </c>
      <c r="J2094" s="12" t="str">
        <f>HYPERLINK("https://www.boe.es/gazeta/dias/1805/03/26/pdfs/GMD-C-1805-25.pdf#page=2","Abrir facsímil")</f>
        <v>Abrir facsímil</v>
      </c>
      <c r="K2094" s="15" t="s">
        <v>22</v>
      </c>
    </row>
    <row r="2095" spans="1:11" ht="42" customHeight="1">
      <c r="A2095" s="4" t="s">
        <v>5172</v>
      </c>
      <c r="B2095" s="5" t="s">
        <v>5173</v>
      </c>
      <c r="C2095" s="5" t="s">
        <v>17</v>
      </c>
      <c r="D2095" s="5" t="s">
        <v>18</v>
      </c>
      <c r="E2095" s="5" t="s">
        <v>1221</v>
      </c>
      <c r="F2095" s="9">
        <v>41</v>
      </c>
      <c r="G2095" s="9">
        <v>443</v>
      </c>
      <c r="H2095" s="5" t="s">
        <v>20</v>
      </c>
      <c r="I2095" s="5" t="s">
        <v>5174</v>
      </c>
      <c r="J2095" s="12" t="str">
        <f>HYPERLINK("https://www.boe.es/gazeta/dias/1805/05/21/pdfs/GMD-1805-41.pdf#page=11","Abrir facsímil")</f>
        <v>Abrir facsímil</v>
      </c>
      <c r="K2095" s="15" t="s">
        <v>22</v>
      </c>
    </row>
    <row r="2096" spans="1:11" ht="42" customHeight="1">
      <c r="A2096" s="4" t="s">
        <v>5175</v>
      </c>
      <c r="B2096" s="5" t="s">
        <v>5176</v>
      </c>
      <c r="C2096" s="5" t="s">
        <v>184</v>
      </c>
      <c r="D2096" s="5" t="s">
        <v>86</v>
      </c>
      <c r="E2096" s="5" t="s">
        <v>48</v>
      </c>
      <c r="F2096" s="9">
        <v>35</v>
      </c>
      <c r="G2096" s="9">
        <v>380</v>
      </c>
      <c r="H2096" s="5" t="s">
        <v>20</v>
      </c>
      <c r="I2096" s="5" t="s">
        <v>5177</v>
      </c>
      <c r="J2096" s="12" t="str">
        <f>HYPERLINK("https://www.boe.es/gazeta/dias/1805/04/30/pdfs/GMD-1805-35.pdf#page=12","Abrir facsímil")</f>
        <v>Abrir facsímil</v>
      </c>
      <c r="K2096" s="15" t="s">
        <v>22</v>
      </c>
    </row>
    <row r="2097" spans="1:11" ht="42" customHeight="1">
      <c r="A2097" s="4" t="s">
        <v>5178</v>
      </c>
      <c r="B2097" s="5" t="s">
        <v>5179</v>
      </c>
      <c r="C2097" s="5" t="s">
        <v>17</v>
      </c>
      <c r="D2097" s="5" t="s">
        <v>18</v>
      </c>
      <c r="E2097" s="5" t="s">
        <v>303</v>
      </c>
      <c r="F2097" s="9">
        <v>57</v>
      </c>
      <c r="G2097" s="9">
        <v>610</v>
      </c>
      <c r="H2097" s="5" t="s">
        <v>20</v>
      </c>
      <c r="I2097" s="5" t="s">
        <v>5180</v>
      </c>
      <c r="J2097" s="12" t="str">
        <f>HYPERLINK("https://www.boe.es/gazeta/dias/1805/07/16/pdfs/GMD-1805-57.pdf#page=6","Abrir facsímil")</f>
        <v>Abrir facsímil</v>
      </c>
      <c r="K2097" s="15" t="s">
        <v>22</v>
      </c>
    </row>
    <row r="2098" spans="1:11" ht="42" customHeight="1">
      <c r="A2098" s="4" t="s">
        <v>5181</v>
      </c>
      <c r="B2098" s="5" t="s">
        <v>5182</v>
      </c>
      <c r="C2098" s="5" t="s">
        <v>17</v>
      </c>
      <c r="D2098" s="5" t="s">
        <v>18</v>
      </c>
      <c r="E2098" s="5" t="s">
        <v>669</v>
      </c>
      <c r="F2098" s="9">
        <v>84</v>
      </c>
      <c r="G2098" s="9">
        <v>890</v>
      </c>
      <c r="H2098" s="5" t="s">
        <v>20</v>
      </c>
      <c r="I2098" s="5" t="s">
        <v>5183</v>
      </c>
      <c r="J2098" s="12" t="str">
        <f>HYPERLINK("https://www.boe.es/gazeta/dias/1805/10/18/pdfs/GMD-1805-84.pdf#page=6","Abrir facsímil")</f>
        <v>Abrir facsímil</v>
      </c>
      <c r="K2098" s="15" t="s">
        <v>22</v>
      </c>
    </row>
    <row r="2099" spans="1:11" ht="42" customHeight="1">
      <c r="A2099" s="4" t="s">
        <v>5184</v>
      </c>
      <c r="B2099" s="5" t="s">
        <v>5185</v>
      </c>
      <c r="C2099" s="5" t="s">
        <v>184</v>
      </c>
      <c r="D2099" s="5" t="s">
        <v>86</v>
      </c>
      <c r="E2099" s="5" t="s">
        <v>506</v>
      </c>
      <c r="F2099" s="9">
        <v>80</v>
      </c>
      <c r="G2099" s="9">
        <v>852</v>
      </c>
      <c r="H2099" s="5" t="s">
        <v>20</v>
      </c>
      <c r="I2099" s="5" t="s">
        <v>5186</v>
      </c>
      <c r="J2099" s="12" t="str">
        <f>HYPERLINK("https://www.boe.es/gazeta/dias/1805/10/04/pdfs/GMD-1805-80.pdf#page=12","Abrir facsímil")</f>
        <v>Abrir facsímil</v>
      </c>
      <c r="K2099" s="15" t="s">
        <v>22</v>
      </c>
    </row>
    <row r="2100" spans="1:11" ht="42" customHeight="1">
      <c r="A2100" s="4" t="s">
        <v>5187</v>
      </c>
      <c r="B2100" s="5" t="s">
        <v>5188</v>
      </c>
      <c r="C2100" s="5" t="s">
        <v>184</v>
      </c>
      <c r="D2100" s="5" t="s">
        <v>86</v>
      </c>
      <c r="E2100" s="5" t="s">
        <v>506</v>
      </c>
      <c r="F2100" s="9">
        <v>80</v>
      </c>
      <c r="G2100" s="9">
        <v>852</v>
      </c>
      <c r="H2100" s="5" t="s">
        <v>20</v>
      </c>
      <c r="I2100" s="5" t="s">
        <v>5189</v>
      </c>
      <c r="J2100" s="12" t="str">
        <f>HYPERLINK("https://www.boe.es/gazeta/dias/1805/10/04/pdfs/GMD-1805-80.pdf#page=12","Abrir facsímil")</f>
        <v>Abrir facsímil</v>
      </c>
      <c r="K2100" s="15" t="s">
        <v>22</v>
      </c>
    </row>
    <row r="2101" spans="1:11" ht="42" customHeight="1">
      <c r="A2101" s="4" t="s">
        <v>5190</v>
      </c>
      <c r="B2101" s="5" t="s">
        <v>5190</v>
      </c>
      <c r="C2101" s="5" t="s">
        <v>35</v>
      </c>
      <c r="D2101" s="5" t="s">
        <v>36</v>
      </c>
      <c r="E2101" s="5" t="s">
        <v>393</v>
      </c>
      <c r="F2101" s="9">
        <v>44</v>
      </c>
      <c r="G2101" s="9">
        <v>465</v>
      </c>
      <c r="H2101" s="5" t="s">
        <v>20</v>
      </c>
      <c r="I2101" s="5" t="s">
        <v>5191</v>
      </c>
      <c r="J2101" s="12" t="str">
        <f>HYPERLINK("https://www.boe.es/gazeta/dias/1805/05/31/pdfs/GMD-1805-44.pdf#page=1","Abrir facsímil")</f>
        <v>Abrir facsímil</v>
      </c>
      <c r="K2101" s="15" t="s">
        <v>22</v>
      </c>
    </row>
    <row r="2102" spans="1:11" ht="42" customHeight="1">
      <c r="A2102" s="4" t="s">
        <v>5190</v>
      </c>
      <c r="B2102" s="5" t="s">
        <v>5190</v>
      </c>
      <c r="C2102" s="5" t="s">
        <v>29</v>
      </c>
      <c r="D2102" s="5" t="s">
        <v>30</v>
      </c>
      <c r="E2102" s="5" t="s">
        <v>585</v>
      </c>
      <c r="F2102" s="9">
        <v>64</v>
      </c>
      <c r="G2102" s="9">
        <v>677</v>
      </c>
      <c r="H2102" s="5" t="s">
        <v>20</v>
      </c>
      <c r="I2102" s="5" t="s">
        <v>5192</v>
      </c>
      <c r="J2102" s="12" t="str">
        <f>HYPERLINK("https://www.boe.es/gazeta/dias/1805/08/09/pdfs/GMD-1805-64.pdf#page=1","Abrir facsímil")</f>
        <v>Abrir facsímil</v>
      </c>
      <c r="K2102" s="15" t="s">
        <v>22</v>
      </c>
    </row>
    <row r="2103" spans="1:11" ht="42" customHeight="1">
      <c r="A2103" s="4" t="s">
        <v>5193</v>
      </c>
      <c r="B2103" s="5" t="s">
        <v>5193</v>
      </c>
      <c r="C2103" s="5" t="s">
        <v>17</v>
      </c>
      <c r="D2103" s="5" t="s">
        <v>18</v>
      </c>
      <c r="E2103" s="5" t="s">
        <v>649</v>
      </c>
      <c r="F2103" s="9">
        <v>7</v>
      </c>
      <c r="G2103" s="9">
        <v>74</v>
      </c>
      <c r="H2103" s="5" t="s">
        <v>20</v>
      </c>
      <c r="I2103" s="5" t="s">
        <v>5194</v>
      </c>
      <c r="J2103" s="12" t="str">
        <f>HYPERLINK("https://www.boe.es/gazeta/dias/1805/01/22/pdfs/GMD-1805-7.pdf#page=6","Abrir facsímil")</f>
        <v>Abrir facsímil</v>
      </c>
      <c r="K2103" s="15" t="s">
        <v>22</v>
      </c>
    </row>
    <row r="2104" spans="1:11" ht="42" customHeight="1">
      <c r="A2104" s="4" t="s">
        <v>5195</v>
      </c>
      <c r="B2104" s="5" t="s">
        <v>5195</v>
      </c>
      <c r="C2104" s="5" t="s">
        <v>29</v>
      </c>
      <c r="D2104" s="5" t="s">
        <v>30</v>
      </c>
      <c r="E2104" s="5" t="s">
        <v>456</v>
      </c>
      <c r="F2104" s="9">
        <v>70</v>
      </c>
      <c r="G2104" s="9">
        <v>748</v>
      </c>
      <c r="H2104" s="5" t="s">
        <v>20</v>
      </c>
      <c r="I2104" s="5" t="s">
        <v>5196</v>
      </c>
      <c r="J2104" s="12" t="str">
        <f>HYPERLINK("https://www.boe.es/gazeta/dias/1805/08/30/pdfs/GMD-1805-70.pdf#page=8","Abrir facsímil")</f>
        <v>Abrir facsímil</v>
      </c>
      <c r="K2104" s="15" t="s">
        <v>22</v>
      </c>
    </row>
    <row r="2105" spans="1:11" ht="42" customHeight="1">
      <c r="A2105" s="4" t="s">
        <v>5197</v>
      </c>
      <c r="B2105" s="5" t="s">
        <v>5198</v>
      </c>
      <c r="C2105" s="5" t="s">
        <v>85</v>
      </c>
      <c r="D2105" s="5" t="s">
        <v>86</v>
      </c>
      <c r="E2105" s="5" t="s">
        <v>711</v>
      </c>
      <c r="F2105" s="9">
        <v>63</v>
      </c>
      <c r="G2105" s="9">
        <v>674</v>
      </c>
      <c r="H2105" s="5" t="s">
        <v>20</v>
      </c>
      <c r="I2105" s="5" t="s">
        <v>5199</v>
      </c>
      <c r="J2105" s="12" t="str">
        <f>HYPERLINK("https://www.boe.es/gazeta/dias/1805/08/06/pdfs/GMD-1805-63.pdf#page=10","Abrir facsímil")</f>
        <v>Abrir facsímil</v>
      </c>
      <c r="K2105" s="15" t="s">
        <v>22</v>
      </c>
    </row>
    <row r="2106" spans="1:11" ht="42" customHeight="1">
      <c r="A2106" s="4" t="s">
        <v>5200</v>
      </c>
      <c r="B2106" s="5" t="s">
        <v>5200</v>
      </c>
      <c r="C2106" s="5" t="s">
        <v>85</v>
      </c>
      <c r="D2106" s="5" t="s">
        <v>86</v>
      </c>
      <c r="E2106" s="5" t="s">
        <v>44</v>
      </c>
      <c r="F2106" s="9">
        <v>29</v>
      </c>
      <c r="G2106" s="9">
        <v>312</v>
      </c>
      <c r="H2106" s="5" t="s">
        <v>20</v>
      </c>
      <c r="I2106" s="5" t="s">
        <v>5201</v>
      </c>
      <c r="J2106" s="12" t="str">
        <f>HYPERLINK("https://www.boe.es/gazeta/dias/1805/04/09/pdfs/GMD-1805-29.pdf#page=8","Abrir facsímil")</f>
        <v>Abrir facsímil</v>
      </c>
      <c r="K2106" s="15" t="s">
        <v>22</v>
      </c>
    </row>
    <row r="2107" spans="1:11" ht="42" customHeight="1">
      <c r="A2107" s="4" t="s">
        <v>5202</v>
      </c>
      <c r="B2107" s="5" t="s">
        <v>5202</v>
      </c>
      <c r="C2107" s="5" t="s">
        <v>35</v>
      </c>
      <c r="D2107" s="5" t="s">
        <v>36</v>
      </c>
      <c r="E2107" s="5" t="s">
        <v>422</v>
      </c>
      <c r="F2107" s="9">
        <v>74</v>
      </c>
      <c r="G2107" s="9">
        <v>786</v>
      </c>
      <c r="H2107" s="5" t="s">
        <v>20</v>
      </c>
      <c r="I2107" s="5" t="s">
        <v>5203</v>
      </c>
      <c r="J2107" s="12" t="str">
        <f>HYPERLINK("https://www.boe.es/gazeta/dias/1805/09/13/pdfs/GMD-1805-74.pdf#page=10","Abrir facsímil")</f>
        <v>Abrir facsímil</v>
      </c>
      <c r="K2107" s="15" t="s">
        <v>22</v>
      </c>
    </row>
    <row r="2108" spans="1:11" ht="42" customHeight="1">
      <c r="A2108" s="4" t="s">
        <v>5204</v>
      </c>
      <c r="B2108" s="5" t="s">
        <v>5205</v>
      </c>
      <c r="C2108" s="5" t="s">
        <v>52</v>
      </c>
      <c r="D2108" s="5" t="s">
        <v>53</v>
      </c>
      <c r="E2108" s="5" t="s">
        <v>54</v>
      </c>
      <c r="F2108" s="9">
        <v>99</v>
      </c>
      <c r="G2108" s="9" t="s">
        <v>55</v>
      </c>
      <c r="H2108" s="5" t="s">
        <v>20</v>
      </c>
      <c r="I2108" s="5" t="s">
        <v>5206</v>
      </c>
      <c r="J2108" s="12" t="str">
        <f>HYPERLINK("https://www.boe.es/gazeta/dias/1805/12/10/pdfs/GMD-C-1805-99.pdf#page=4","Abrir facsímil")</f>
        <v>Abrir facsímil</v>
      </c>
      <c r="K2108" s="15" t="s">
        <v>22</v>
      </c>
    </row>
    <row r="2109" spans="1:11" ht="42" customHeight="1">
      <c r="A2109" s="4" t="s">
        <v>5207</v>
      </c>
      <c r="B2109" s="5" t="s">
        <v>5208</v>
      </c>
      <c r="C2109" s="5" t="s">
        <v>80</v>
      </c>
      <c r="D2109" s="5" t="s">
        <v>81</v>
      </c>
      <c r="E2109" s="5" t="s">
        <v>303</v>
      </c>
      <c r="F2109" s="9">
        <v>57</v>
      </c>
      <c r="G2109" s="9">
        <v>608</v>
      </c>
      <c r="H2109" s="5" t="s">
        <v>20</v>
      </c>
      <c r="I2109" s="5" t="s">
        <v>5209</v>
      </c>
      <c r="J2109" s="12" t="str">
        <f>HYPERLINK("https://www.boe.es/gazeta/dias/1805/07/16/pdfs/GMD-1805-57.pdf#page=4","Abrir facsímil")</f>
        <v>Abrir facsímil</v>
      </c>
      <c r="K2109" s="15" t="s">
        <v>22</v>
      </c>
    </row>
    <row r="2110" spans="1:11" ht="42" customHeight="1">
      <c r="A2110" s="4" t="s">
        <v>5210</v>
      </c>
      <c r="B2110" s="5" t="s">
        <v>5211</v>
      </c>
      <c r="C2110" s="5" t="s">
        <v>80</v>
      </c>
      <c r="D2110" s="5" t="s">
        <v>81</v>
      </c>
      <c r="E2110" s="5" t="s">
        <v>63</v>
      </c>
      <c r="F2110" s="9">
        <v>101</v>
      </c>
      <c r="G2110" s="9">
        <v>1085</v>
      </c>
      <c r="H2110" s="5" t="s">
        <v>20</v>
      </c>
      <c r="I2110" s="5" t="s">
        <v>5212</v>
      </c>
      <c r="J2110" s="12" t="str">
        <f>HYPERLINK("https://www.boe.es/gazeta/dias/1805/12/17/pdfs/GMD-1805-101.pdf#page=1","Abrir facsímil")</f>
        <v>Abrir facsímil</v>
      </c>
      <c r="K2110" s="15" t="s">
        <v>22</v>
      </c>
    </row>
    <row r="2111" spans="1:11" ht="42" customHeight="1">
      <c r="A2111" s="4" t="s">
        <v>5213</v>
      </c>
      <c r="B2111" s="5" t="s">
        <v>5214</v>
      </c>
      <c r="C2111" s="5" t="s">
        <v>35</v>
      </c>
      <c r="D2111" s="5" t="s">
        <v>36</v>
      </c>
      <c r="E2111" s="5" t="s">
        <v>71</v>
      </c>
      <c r="F2111" s="9">
        <v>33</v>
      </c>
      <c r="G2111" s="9">
        <v>347</v>
      </c>
      <c r="H2111" s="5" t="s">
        <v>20</v>
      </c>
      <c r="I2111" s="5" t="s">
        <v>5215</v>
      </c>
      <c r="J2111" s="12" t="str">
        <f>HYPERLINK("https://www.boe.es/gazeta/dias/1805/04/23/pdfs/GMD-1805-33.pdf#page=3","Abrir facsímil")</f>
        <v>Abrir facsímil</v>
      </c>
      <c r="K2111" s="15" t="s">
        <v>22</v>
      </c>
    </row>
    <row r="2112" spans="1:11" ht="42" customHeight="1">
      <c r="A2112" s="4" t="s">
        <v>5216</v>
      </c>
      <c r="B2112" s="5" t="s">
        <v>5217</v>
      </c>
      <c r="C2112" s="5" t="s">
        <v>29</v>
      </c>
      <c r="D2112" s="5" t="s">
        <v>30</v>
      </c>
      <c r="E2112" s="5" t="s">
        <v>1494</v>
      </c>
      <c r="F2112" s="9">
        <v>31</v>
      </c>
      <c r="G2112" s="9">
        <v>336</v>
      </c>
      <c r="H2112" s="5" t="s">
        <v>20</v>
      </c>
      <c r="I2112" s="5" t="s">
        <v>5218</v>
      </c>
      <c r="J2112" s="12" t="str">
        <f>HYPERLINK("https://www.boe.es/gazeta/dias/1805/04/16/pdfs/GMD-1805-31.pdf#page=12","Abrir facsímil")</f>
        <v>Abrir facsímil</v>
      </c>
      <c r="K2112" s="15" t="s">
        <v>22</v>
      </c>
    </row>
    <row r="2113" spans="1:11" ht="42" customHeight="1">
      <c r="A2113" s="4" t="s">
        <v>5219</v>
      </c>
      <c r="B2113" s="5" t="s">
        <v>5219</v>
      </c>
      <c r="C2113" s="5" t="s">
        <v>17</v>
      </c>
      <c r="D2113" s="5" t="s">
        <v>18</v>
      </c>
      <c r="E2113" s="5" t="s">
        <v>170</v>
      </c>
      <c r="F2113" s="9">
        <v>9</v>
      </c>
      <c r="G2113" s="9">
        <v>98</v>
      </c>
      <c r="H2113" s="5" t="s">
        <v>20</v>
      </c>
      <c r="I2113" s="5" t="s">
        <v>5220</v>
      </c>
      <c r="J2113" s="12" t="str">
        <f>HYPERLINK("https://www.boe.es/gazeta/dias/1805/01/29/pdfs/GMD-1805-9.pdf#page=6","Abrir facsímil")</f>
        <v>Abrir facsímil</v>
      </c>
      <c r="K2113" s="15" t="s">
        <v>22</v>
      </c>
    </row>
    <row r="2114" spans="1:11" ht="42" customHeight="1">
      <c r="A2114" s="4" t="s">
        <v>5221</v>
      </c>
      <c r="B2114" s="5" t="s">
        <v>5221</v>
      </c>
      <c r="C2114" s="5" t="s">
        <v>35</v>
      </c>
      <c r="D2114" s="5" t="s">
        <v>36</v>
      </c>
      <c r="E2114" s="5" t="s">
        <v>393</v>
      </c>
      <c r="F2114" s="9">
        <v>44</v>
      </c>
      <c r="G2114" s="9">
        <v>469</v>
      </c>
      <c r="H2114" s="5" t="s">
        <v>20</v>
      </c>
      <c r="I2114" s="5" t="s">
        <v>5222</v>
      </c>
      <c r="J2114" s="12" t="str">
        <f>HYPERLINK("https://www.boe.es/gazeta/dias/1805/05/31/pdfs/GMD-1805-44.pdf#page=5","Abrir facsímil")</f>
        <v>Abrir facsímil</v>
      </c>
      <c r="K2114" s="15" t="s">
        <v>22</v>
      </c>
    </row>
    <row r="2115" spans="1:11" ht="42" customHeight="1">
      <c r="A2115" s="4" t="s">
        <v>5221</v>
      </c>
      <c r="B2115" s="5" t="s">
        <v>5221</v>
      </c>
      <c r="C2115" s="5" t="s">
        <v>17</v>
      </c>
      <c r="D2115" s="5" t="s">
        <v>18</v>
      </c>
      <c r="E2115" s="5" t="s">
        <v>209</v>
      </c>
      <c r="F2115" s="9">
        <v>89</v>
      </c>
      <c r="G2115" s="9">
        <v>956</v>
      </c>
      <c r="H2115" s="5" t="s">
        <v>20</v>
      </c>
      <c r="I2115" s="5" t="s">
        <v>5223</v>
      </c>
      <c r="J2115" s="12" t="str">
        <f>HYPERLINK("https://www.boe.es/gazeta/dias/1805/11/05/pdfs/GMD-1805-89.pdf#page=16","Abrir facsímil")</f>
        <v>Abrir facsímil</v>
      </c>
      <c r="K2115" s="15" t="s">
        <v>22</v>
      </c>
    </row>
    <row r="2116" spans="1:11" ht="42" customHeight="1">
      <c r="A2116" s="4" t="s">
        <v>5221</v>
      </c>
      <c r="B2116" s="5" t="s">
        <v>5221</v>
      </c>
      <c r="C2116" s="5" t="s">
        <v>17</v>
      </c>
      <c r="D2116" s="5" t="s">
        <v>18</v>
      </c>
      <c r="E2116" s="5" t="s">
        <v>200</v>
      </c>
      <c r="F2116" s="9">
        <v>91</v>
      </c>
      <c r="G2116" s="9">
        <v>976</v>
      </c>
      <c r="H2116" s="5" t="s">
        <v>20</v>
      </c>
      <c r="I2116" s="5" t="s">
        <v>5224</v>
      </c>
      <c r="J2116" s="12" t="str">
        <f>HYPERLINK("https://www.boe.es/gazeta/dias/1805/11/12/pdfs/GMD-1805-91.pdf#page=8","Abrir facsímil")</f>
        <v>Abrir facsímil</v>
      </c>
      <c r="K2116" s="15" t="s">
        <v>22</v>
      </c>
    </row>
    <row r="2117" spans="1:11" ht="42" customHeight="1">
      <c r="A2117" s="4" t="s">
        <v>5225</v>
      </c>
      <c r="B2117" s="5" t="s">
        <v>5225</v>
      </c>
      <c r="C2117" s="5" t="s">
        <v>17</v>
      </c>
      <c r="D2117" s="5" t="s">
        <v>18</v>
      </c>
      <c r="E2117" s="5" t="s">
        <v>226</v>
      </c>
      <c r="F2117" s="9">
        <v>73</v>
      </c>
      <c r="G2117" s="9">
        <v>772</v>
      </c>
      <c r="H2117" s="5" t="s">
        <v>20</v>
      </c>
      <c r="I2117" s="5" t="s">
        <v>5226</v>
      </c>
      <c r="J2117" s="12" t="str">
        <f>HYPERLINK("https://www.boe.es/gazeta/dias/1805/09/10/pdfs/GMD-1805-73.pdf#page=4","Abrir facsímil")</f>
        <v>Abrir facsímil</v>
      </c>
      <c r="K2117" s="15" t="s">
        <v>22</v>
      </c>
    </row>
    <row r="2118" spans="1:11" ht="42" customHeight="1">
      <c r="A2118" s="4" t="s">
        <v>5227</v>
      </c>
      <c r="B2118" s="5" t="s">
        <v>5228</v>
      </c>
      <c r="C2118" s="5" t="s">
        <v>35</v>
      </c>
      <c r="D2118" s="5" t="s">
        <v>36</v>
      </c>
      <c r="E2118" s="5" t="s">
        <v>44</v>
      </c>
      <c r="F2118" s="9">
        <v>29</v>
      </c>
      <c r="G2118" s="9">
        <v>305</v>
      </c>
      <c r="H2118" s="5" t="s">
        <v>20</v>
      </c>
      <c r="I2118" s="5" t="s">
        <v>5229</v>
      </c>
      <c r="J2118" s="12" t="str">
        <f>HYPERLINK("https://www.boe.es/gazeta/dias/1805/04/09/pdfs/GMD-1805-29.pdf#page=1","Abrir facsímil")</f>
        <v>Abrir facsímil</v>
      </c>
      <c r="K2118" s="15" t="s">
        <v>22</v>
      </c>
    </row>
    <row r="2119" spans="1:11" ht="42" customHeight="1">
      <c r="A2119" s="4" t="s">
        <v>5230</v>
      </c>
      <c r="B2119" s="5" t="s">
        <v>5230</v>
      </c>
      <c r="C2119" s="5" t="s">
        <v>29</v>
      </c>
      <c r="D2119" s="5" t="s">
        <v>30</v>
      </c>
      <c r="E2119" s="5" t="s">
        <v>273</v>
      </c>
      <c r="F2119" s="9">
        <v>8</v>
      </c>
      <c r="G2119" s="9">
        <v>91</v>
      </c>
      <c r="H2119" s="5" t="s">
        <v>20</v>
      </c>
      <c r="I2119" s="5" t="s">
        <v>5231</v>
      </c>
      <c r="J2119" s="12" t="str">
        <f>HYPERLINK("https://www.boe.es/gazeta/dias/1805/01/25/pdfs/GMD-1805-8.pdf#page=11","Abrir facsímil")</f>
        <v>Abrir facsímil</v>
      </c>
      <c r="K2119" s="15" t="s">
        <v>22</v>
      </c>
    </row>
    <row r="2120" spans="1:11" ht="42" customHeight="1">
      <c r="A2120" s="4" t="s">
        <v>5232</v>
      </c>
      <c r="B2120" s="5" t="s">
        <v>5233</v>
      </c>
      <c r="C2120" s="5" t="s">
        <v>80</v>
      </c>
      <c r="D2120" s="5" t="s">
        <v>81</v>
      </c>
      <c r="E2120" s="5" t="s">
        <v>19</v>
      </c>
      <c r="F2120" s="9">
        <v>86</v>
      </c>
      <c r="G2120" s="9">
        <v>911</v>
      </c>
      <c r="H2120" s="5" t="s">
        <v>20</v>
      </c>
      <c r="I2120" s="5" t="s">
        <v>5234</v>
      </c>
      <c r="J2120" s="12" t="str">
        <f>HYPERLINK("https://www.boe.es/gazeta/dias/1805/10/25/pdfs/GMD-1805-86.pdf#page=7","Abrir facsímil")</f>
        <v>Abrir facsímil</v>
      </c>
      <c r="K2120" s="15" t="s">
        <v>22</v>
      </c>
    </row>
    <row r="2121" spans="1:11" ht="42" customHeight="1">
      <c r="A2121" s="4" t="s">
        <v>5232</v>
      </c>
      <c r="B2121" s="5" t="s">
        <v>5233</v>
      </c>
      <c r="C2121" s="5" t="s">
        <v>85</v>
      </c>
      <c r="D2121" s="5" t="s">
        <v>86</v>
      </c>
      <c r="E2121" s="5" t="s">
        <v>787</v>
      </c>
      <c r="F2121" s="9">
        <v>95</v>
      </c>
      <c r="G2121" s="9">
        <v>1015</v>
      </c>
      <c r="H2121" s="5" t="s">
        <v>20</v>
      </c>
      <c r="I2121" s="5" t="s">
        <v>5235</v>
      </c>
      <c r="J2121" s="12" t="str">
        <f>HYPERLINK("https://www.boe.es/gazeta/dias/1805/11/26/pdfs/GMD-1805-95.pdf#page=3","Abrir facsímil")</f>
        <v>Abrir facsímil</v>
      </c>
      <c r="K2121" s="15" t="s">
        <v>22</v>
      </c>
    </row>
    <row r="2122" spans="1:11" ht="42" customHeight="1">
      <c r="A2122" s="4" t="s">
        <v>5236</v>
      </c>
      <c r="B2122" s="5" t="s">
        <v>5237</v>
      </c>
      <c r="C2122" s="5" t="s">
        <v>35</v>
      </c>
      <c r="D2122" s="5" t="s">
        <v>36</v>
      </c>
      <c r="E2122" s="5" t="s">
        <v>273</v>
      </c>
      <c r="F2122" s="9">
        <v>8</v>
      </c>
      <c r="G2122" s="9">
        <v>88</v>
      </c>
      <c r="H2122" s="5" t="s">
        <v>20</v>
      </c>
      <c r="I2122" s="5" t="s">
        <v>5238</v>
      </c>
      <c r="J2122" s="12" t="str">
        <f>HYPERLINK("https://www.boe.es/gazeta/dias/1805/01/25/pdfs/GMD-1805-8.pdf#page=8","Abrir facsímil")</f>
        <v>Abrir facsímil</v>
      </c>
      <c r="K2122" s="15" t="s">
        <v>22</v>
      </c>
    </row>
    <row r="2123" spans="1:11" ht="42" customHeight="1">
      <c r="A2123" s="4" t="s">
        <v>5239</v>
      </c>
      <c r="B2123" s="5" t="s">
        <v>5239</v>
      </c>
      <c r="C2123" s="5" t="s">
        <v>35</v>
      </c>
      <c r="D2123" s="5" t="s">
        <v>36</v>
      </c>
      <c r="E2123" s="5" t="s">
        <v>181</v>
      </c>
      <c r="F2123" s="9">
        <v>90</v>
      </c>
      <c r="G2123" s="9">
        <v>964</v>
      </c>
      <c r="H2123" s="5" t="s">
        <v>20</v>
      </c>
      <c r="I2123" s="5" t="s">
        <v>5240</v>
      </c>
      <c r="J2123" s="12" t="str">
        <f>HYPERLINK("https://www.boe.es/gazeta/dias/1805/11/08/pdfs/GMD-1805-90.pdf#page=8","Abrir facsímil")</f>
        <v>Abrir facsímil</v>
      </c>
      <c r="K2123" s="15" t="s">
        <v>22</v>
      </c>
    </row>
    <row r="2124" spans="1:11" ht="42" customHeight="1">
      <c r="A2124" s="4" t="s">
        <v>5241</v>
      </c>
      <c r="B2124" s="5" t="s">
        <v>5241</v>
      </c>
      <c r="C2124" s="5" t="s">
        <v>35</v>
      </c>
      <c r="D2124" s="5" t="s">
        <v>36</v>
      </c>
      <c r="E2124" s="5" t="s">
        <v>122</v>
      </c>
      <c r="F2124" s="9">
        <v>38</v>
      </c>
      <c r="G2124" s="9">
        <v>411</v>
      </c>
      <c r="H2124" s="5" t="s">
        <v>20</v>
      </c>
      <c r="I2124" s="5" t="s">
        <v>5242</v>
      </c>
      <c r="J2124" s="12" t="str">
        <f>HYPERLINK("https://www.boe.es/gazeta/dias/1805/05/10/pdfs/GMD-1805-38.pdf#page=7","Abrir facsímil")</f>
        <v>Abrir facsímil</v>
      </c>
      <c r="K2124" s="15" t="s">
        <v>22</v>
      </c>
    </row>
    <row r="2125" spans="1:11" ht="42" customHeight="1">
      <c r="A2125" s="4" t="s">
        <v>5243</v>
      </c>
      <c r="B2125" s="5" t="s">
        <v>5243</v>
      </c>
      <c r="C2125" s="5" t="s">
        <v>29</v>
      </c>
      <c r="D2125" s="5" t="s">
        <v>30</v>
      </c>
      <c r="E2125" s="5" t="s">
        <v>539</v>
      </c>
      <c r="F2125" s="9">
        <v>97</v>
      </c>
      <c r="G2125" s="9">
        <v>1048</v>
      </c>
      <c r="H2125" s="5" t="s">
        <v>20</v>
      </c>
      <c r="I2125" s="5" t="s">
        <v>5244</v>
      </c>
      <c r="J2125" s="12" t="str">
        <f>HYPERLINK("https://www.boe.es/gazeta/dias/1805/12/03/pdfs/GMD-1805-97.pdf#page=12","Abrir facsímil")</f>
        <v>Abrir facsímil</v>
      </c>
      <c r="K2125" s="15" t="s">
        <v>22</v>
      </c>
    </row>
    <row r="2126" spans="1:11" ht="42" customHeight="1">
      <c r="A2126" s="4" t="s">
        <v>5245</v>
      </c>
      <c r="B2126" s="5" t="s">
        <v>5246</v>
      </c>
      <c r="C2126" s="5" t="s">
        <v>80</v>
      </c>
      <c r="D2126" s="5" t="s">
        <v>81</v>
      </c>
      <c r="E2126" s="5" t="s">
        <v>54</v>
      </c>
      <c r="F2126" s="9">
        <v>99</v>
      </c>
      <c r="G2126" s="9">
        <v>1062</v>
      </c>
      <c r="H2126" s="5" t="s">
        <v>20</v>
      </c>
      <c r="I2126" s="5" t="s">
        <v>5247</v>
      </c>
      <c r="J2126" s="12" t="str">
        <f>HYPERLINK("https://www.boe.es/gazeta/dias/1805/12/10/pdfs/GMD-1805-99.pdf#page=2","Abrir facsímil")</f>
        <v>Abrir facsímil</v>
      </c>
      <c r="K2126" s="15" t="s">
        <v>22</v>
      </c>
    </row>
    <row r="2127" spans="1:11" ht="42" customHeight="1">
      <c r="A2127" s="4" t="s">
        <v>5248</v>
      </c>
      <c r="B2127" s="5" t="s">
        <v>5248</v>
      </c>
      <c r="C2127" s="5" t="s">
        <v>17</v>
      </c>
      <c r="D2127" s="5" t="s">
        <v>18</v>
      </c>
      <c r="E2127" s="5" t="s">
        <v>733</v>
      </c>
      <c r="F2127" s="9">
        <v>45</v>
      </c>
      <c r="G2127" s="9">
        <v>484</v>
      </c>
      <c r="H2127" s="5" t="s">
        <v>20</v>
      </c>
      <c r="I2127" s="5" t="s">
        <v>5249</v>
      </c>
      <c r="J2127" s="12" t="str">
        <f>HYPERLINK("https://www.boe.es/gazeta/dias/1805/06/04/pdfs/GMD-1805-45.pdf#page=8","Abrir facsímil")</f>
        <v>Abrir facsímil</v>
      </c>
      <c r="K2127" s="15" t="s">
        <v>22</v>
      </c>
    </row>
    <row r="2128" spans="1:11" ht="42" customHeight="1">
      <c r="A2128" s="4" t="s">
        <v>5250</v>
      </c>
      <c r="B2128" s="5" t="s">
        <v>5251</v>
      </c>
      <c r="C2128" s="5" t="s">
        <v>184</v>
      </c>
      <c r="D2128" s="5" t="s">
        <v>86</v>
      </c>
      <c r="E2128" s="5" t="s">
        <v>71</v>
      </c>
      <c r="F2128" s="9">
        <v>33</v>
      </c>
      <c r="G2128" s="9">
        <v>347</v>
      </c>
      <c r="H2128" s="5" t="s">
        <v>20</v>
      </c>
      <c r="I2128" s="5" t="s">
        <v>5252</v>
      </c>
      <c r="J2128" s="12" t="str">
        <f>HYPERLINK("https://www.boe.es/gazeta/dias/1805/04/23/pdfs/GMD-1805-33.pdf#page=3","Abrir facsímil")</f>
        <v>Abrir facsímil</v>
      </c>
      <c r="K2128" s="15" t="s">
        <v>22</v>
      </c>
    </row>
    <row r="2129" spans="1:11" ht="42" customHeight="1">
      <c r="A2129" s="4" t="s">
        <v>5253</v>
      </c>
      <c r="B2129" s="5" t="s">
        <v>5254</v>
      </c>
      <c r="C2129" s="5" t="s">
        <v>80</v>
      </c>
      <c r="D2129" s="5" t="s">
        <v>81</v>
      </c>
      <c r="E2129" s="5" t="s">
        <v>71</v>
      </c>
      <c r="F2129" s="9">
        <v>33</v>
      </c>
      <c r="G2129" s="9">
        <v>347</v>
      </c>
      <c r="H2129" s="5" t="s">
        <v>20</v>
      </c>
      <c r="I2129" s="5" t="s">
        <v>5255</v>
      </c>
      <c r="J2129" s="12" t="str">
        <f>HYPERLINK("https://www.boe.es/gazeta/dias/1805/04/23/pdfs/GMD-1805-33.pdf#page=3","Abrir facsímil")</f>
        <v>Abrir facsímil</v>
      </c>
      <c r="K2129" s="15" t="s">
        <v>22</v>
      </c>
    </row>
    <row r="2130" spans="1:11" ht="42" customHeight="1">
      <c r="A2130" s="4" t="s">
        <v>5256</v>
      </c>
      <c r="B2130" s="5" t="s">
        <v>5257</v>
      </c>
      <c r="C2130" s="5" t="s">
        <v>17</v>
      </c>
      <c r="D2130" s="5" t="s">
        <v>18</v>
      </c>
      <c r="E2130" s="5" t="s">
        <v>506</v>
      </c>
      <c r="F2130" s="9">
        <v>80</v>
      </c>
      <c r="G2130" s="9">
        <v>845</v>
      </c>
      <c r="H2130" s="5" t="s">
        <v>20</v>
      </c>
      <c r="I2130" s="5" t="s">
        <v>5258</v>
      </c>
      <c r="J2130" s="12" t="str">
        <f>HYPERLINK("https://www.boe.es/gazeta/dias/1805/10/04/pdfs/GMD-1805-80.pdf#page=5","Abrir facsímil")</f>
        <v>Abrir facsímil</v>
      </c>
      <c r="K2130" s="15" t="s">
        <v>22</v>
      </c>
    </row>
    <row r="2131" spans="1:11" ht="42" customHeight="1">
      <c r="A2131" s="4" t="s">
        <v>5259</v>
      </c>
      <c r="B2131" s="5" t="s">
        <v>5259</v>
      </c>
      <c r="C2131" s="5" t="s">
        <v>17</v>
      </c>
      <c r="D2131" s="5" t="s">
        <v>18</v>
      </c>
      <c r="E2131" s="5" t="s">
        <v>114</v>
      </c>
      <c r="F2131" s="9">
        <v>17</v>
      </c>
      <c r="G2131" s="9">
        <v>176</v>
      </c>
      <c r="H2131" s="5" t="s">
        <v>20</v>
      </c>
      <c r="I2131" s="5" t="s">
        <v>5260</v>
      </c>
      <c r="J2131" s="12" t="str">
        <f>HYPERLINK("https://www.boe.es/gazeta/dias/1805/02/26/pdfs/GMD-1805-17.pdf#page=8","Abrir facsímil")</f>
        <v>Abrir facsímil</v>
      </c>
      <c r="K2131" s="15" t="s">
        <v>22</v>
      </c>
    </row>
    <row r="2132" spans="1:11" ht="42" customHeight="1">
      <c r="A2132" s="4" t="s">
        <v>5261</v>
      </c>
      <c r="B2132" s="5" t="s">
        <v>5262</v>
      </c>
      <c r="C2132" s="5" t="s">
        <v>80</v>
      </c>
      <c r="D2132" s="5" t="s">
        <v>81</v>
      </c>
      <c r="E2132" s="5" t="s">
        <v>44</v>
      </c>
      <c r="F2132" s="9">
        <v>29</v>
      </c>
      <c r="G2132" s="9">
        <v>309</v>
      </c>
      <c r="H2132" s="5" t="s">
        <v>20</v>
      </c>
      <c r="I2132" s="5" t="s">
        <v>5263</v>
      </c>
      <c r="J2132" s="12" t="str">
        <f>HYPERLINK("https://www.boe.es/gazeta/dias/1805/04/09/pdfs/GMD-1805-29.pdf#page=5","Abrir facsímil")</f>
        <v>Abrir facsímil</v>
      </c>
      <c r="K2132" s="15" t="s">
        <v>22</v>
      </c>
    </row>
    <row r="2133" spans="1:11" ht="42" customHeight="1">
      <c r="A2133" s="4" t="s">
        <v>5264</v>
      </c>
      <c r="B2133" s="5" t="s">
        <v>5265</v>
      </c>
      <c r="C2133" s="5" t="s">
        <v>52</v>
      </c>
      <c r="D2133" s="5" t="s">
        <v>53</v>
      </c>
      <c r="E2133" s="5" t="s">
        <v>144</v>
      </c>
      <c r="F2133" s="9">
        <v>85</v>
      </c>
      <c r="G2133" s="9" t="s">
        <v>772</v>
      </c>
      <c r="H2133" s="5" t="s">
        <v>20</v>
      </c>
      <c r="I2133" s="5" t="s">
        <v>5266</v>
      </c>
      <c r="J2133" s="12" t="str">
        <f>HYPERLINK("https://www.boe.es/gazeta/dias/1805/10/22/pdfs/GMD-C-1805-85.pdf#page=6","Abrir facsímil")</f>
        <v>Abrir facsímil</v>
      </c>
      <c r="K2133" s="15" t="s">
        <v>22</v>
      </c>
    </row>
    <row r="2134" spans="1:11" ht="42" customHeight="1">
      <c r="A2134" s="4" t="s">
        <v>5267</v>
      </c>
      <c r="B2134" s="5" t="s">
        <v>5267</v>
      </c>
      <c r="C2134" s="5" t="s">
        <v>17</v>
      </c>
      <c r="D2134" s="5" t="s">
        <v>18</v>
      </c>
      <c r="E2134" s="5" t="s">
        <v>71</v>
      </c>
      <c r="F2134" s="9">
        <v>33</v>
      </c>
      <c r="G2134" s="9">
        <v>352</v>
      </c>
      <c r="H2134" s="5" t="s">
        <v>20</v>
      </c>
      <c r="I2134" s="5" t="s">
        <v>5268</v>
      </c>
      <c r="J2134" s="12" t="str">
        <f>HYPERLINK("https://www.boe.es/gazeta/dias/1805/04/23/pdfs/GMD-1805-33.pdf#page=8","Abrir facsímil")</f>
        <v>Abrir facsímil</v>
      </c>
      <c r="K2134" s="15" t="s">
        <v>22</v>
      </c>
    </row>
    <row r="2135" spans="1:11" ht="42" customHeight="1">
      <c r="A2135" s="4" t="s">
        <v>5269</v>
      </c>
      <c r="B2135" s="5" t="s">
        <v>5269</v>
      </c>
      <c r="C2135" s="5" t="s">
        <v>17</v>
      </c>
      <c r="D2135" s="5" t="s">
        <v>18</v>
      </c>
      <c r="E2135" s="5" t="s">
        <v>63</v>
      </c>
      <c r="F2135" s="9">
        <v>101</v>
      </c>
      <c r="G2135" s="9">
        <v>1091</v>
      </c>
      <c r="H2135" s="5" t="s">
        <v>20</v>
      </c>
      <c r="I2135" s="5" t="s">
        <v>5270</v>
      </c>
      <c r="J2135" s="12" t="str">
        <f>HYPERLINK("https://www.boe.es/gazeta/dias/1805/12/17/pdfs/GMD-1805-101.pdf#page=7","Abrir facsímil")</f>
        <v>Abrir facsímil</v>
      </c>
      <c r="K2135" s="15" t="s">
        <v>22</v>
      </c>
    </row>
    <row r="2136" spans="1:11" ht="42" customHeight="1">
      <c r="A2136" s="4" t="s">
        <v>5271</v>
      </c>
      <c r="B2136" s="5" t="s">
        <v>5272</v>
      </c>
      <c r="C2136" s="5" t="s">
        <v>85</v>
      </c>
      <c r="D2136" s="5" t="s">
        <v>86</v>
      </c>
      <c r="E2136" s="5" t="s">
        <v>649</v>
      </c>
      <c r="F2136" s="9">
        <v>7</v>
      </c>
      <c r="G2136" s="9">
        <v>79</v>
      </c>
      <c r="H2136" s="5" t="s">
        <v>20</v>
      </c>
      <c r="I2136" s="5" t="s">
        <v>5273</v>
      </c>
      <c r="J2136" s="12" t="str">
        <f>HYPERLINK("https://www.boe.es/gazeta/dias/1805/01/22/pdfs/GMD-1805-7.pdf#page=11","Abrir facsímil")</f>
        <v>Abrir facsímil</v>
      </c>
      <c r="K2136" s="15" t="s">
        <v>22</v>
      </c>
    </row>
    <row r="2137" spans="1:11" ht="42" customHeight="1">
      <c r="A2137" s="4" t="s">
        <v>5274</v>
      </c>
      <c r="B2137" s="5" t="s">
        <v>5275</v>
      </c>
      <c r="C2137" s="5" t="s">
        <v>29</v>
      </c>
      <c r="D2137" s="5" t="s">
        <v>30</v>
      </c>
      <c r="E2137" s="5" t="s">
        <v>300</v>
      </c>
      <c r="F2137" s="9">
        <v>81</v>
      </c>
      <c r="G2137" s="9">
        <v>860</v>
      </c>
      <c r="H2137" s="5" t="s">
        <v>20</v>
      </c>
      <c r="I2137" s="5" t="s">
        <v>5276</v>
      </c>
      <c r="J2137" s="12" t="str">
        <f>HYPERLINK("https://www.boe.es/gazeta/dias/1805/10/08/pdfs/GMD-1805-81.pdf#page=8","Abrir facsímil")</f>
        <v>Abrir facsímil</v>
      </c>
      <c r="K2137" s="15" t="s">
        <v>22</v>
      </c>
    </row>
    <row r="2138" spans="1:11" ht="42" customHeight="1">
      <c r="A2138" s="4" t="s">
        <v>5277</v>
      </c>
      <c r="B2138" s="5" t="s">
        <v>5277</v>
      </c>
      <c r="C2138" s="5" t="s">
        <v>35</v>
      </c>
      <c r="D2138" s="5" t="s">
        <v>36</v>
      </c>
      <c r="E2138" s="5" t="s">
        <v>854</v>
      </c>
      <c r="F2138" s="9">
        <v>46</v>
      </c>
      <c r="G2138" s="9">
        <v>499</v>
      </c>
      <c r="H2138" s="5" t="s">
        <v>20</v>
      </c>
      <c r="I2138" s="5" t="s">
        <v>5278</v>
      </c>
      <c r="J2138" s="12" t="str">
        <f>HYPERLINK("https://www.boe.es/gazeta/dias/1805/06/07/pdfs/GMD-1805-46.pdf#page=11","Abrir facsímil")</f>
        <v>Abrir facsímil</v>
      </c>
      <c r="K2138" s="15" t="s">
        <v>22</v>
      </c>
    </row>
    <row r="2139" spans="1:11" ht="42" customHeight="1">
      <c r="A2139" s="4" t="s">
        <v>5279</v>
      </c>
      <c r="B2139" s="5" t="s">
        <v>5279</v>
      </c>
      <c r="C2139" s="5" t="s">
        <v>35</v>
      </c>
      <c r="D2139" s="5" t="s">
        <v>36</v>
      </c>
      <c r="E2139" s="5" t="s">
        <v>170</v>
      </c>
      <c r="F2139" s="9">
        <v>9</v>
      </c>
      <c r="G2139" s="9">
        <v>99</v>
      </c>
      <c r="H2139" s="5" t="s">
        <v>20</v>
      </c>
      <c r="I2139" s="5" t="s">
        <v>5280</v>
      </c>
      <c r="J2139" s="12" t="str">
        <f>HYPERLINK("https://www.boe.es/gazeta/dias/1805/01/29/pdfs/GMD-1805-9.pdf#page=7","Abrir facsímil")</f>
        <v>Abrir facsímil</v>
      </c>
      <c r="K2139" s="15" t="s">
        <v>22</v>
      </c>
    </row>
    <row r="2140" spans="1:11" ht="42" customHeight="1">
      <c r="A2140" s="4" t="s">
        <v>5281</v>
      </c>
      <c r="B2140" s="5" t="s">
        <v>5281</v>
      </c>
      <c r="C2140" s="5" t="s">
        <v>17</v>
      </c>
      <c r="D2140" s="5" t="s">
        <v>18</v>
      </c>
      <c r="E2140" s="5" t="s">
        <v>729</v>
      </c>
      <c r="F2140" s="9">
        <v>61</v>
      </c>
      <c r="G2140" s="9">
        <v>655</v>
      </c>
      <c r="H2140" s="5" t="s">
        <v>20</v>
      </c>
      <c r="I2140" s="5" t="s">
        <v>5282</v>
      </c>
      <c r="J2140" s="12" t="str">
        <f>HYPERLINK("https://www.boe.es/gazeta/dias/1805/07/30/pdfs/GMD-1805-61.pdf#page=7","Abrir facsímil")</f>
        <v>Abrir facsímil</v>
      </c>
      <c r="K2140" s="15" t="s">
        <v>22</v>
      </c>
    </row>
    <row r="2141" spans="1:11" ht="42" customHeight="1">
      <c r="A2141" s="4" t="s">
        <v>5283</v>
      </c>
      <c r="B2141" s="5" t="s">
        <v>5283</v>
      </c>
      <c r="C2141" s="5" t="s">
        <v>17</v>
      </c>
      <c r="D2141" s="5" t="s">
        <v>18</v>
      </c>
      <c r="E2141" s="5" t="s">
        <v>363</v>
      </c>
      <c r="F2141" s="9">
        <v>1</v>
      </c>
      <c r="G2141" s="9">
        <v>10</v>
      </c>
      <c r="H2141" s="5" t="s">
        <v>20</v>
      </c>
      <c r="I2141" s="5" t="s">
        <v>5284</v>
      </c>
      <c r="J2141" s="12" t="str">
        <f>HYPERLINK("https://www.boe.es/gazeta/dias/1805/01/01/pdfs/GMD-1805-1.pdf#page=10","Abrir facsímil")</f>
        <v>Abrir facsímil</v>
      </c>
      <c r="K2141" s="15" t="s">
        <v>22</v>
      </c>
    </row>
    <row r="2142" spans="1:11" ht="42" customHeight="1">
      <c r="A2142" s="4" t="s">
        <v>5285</v>
      </c>
      <c r="B2142" s="5" t="s">
        <v>5285</v>
      </c>
      <c r="C2142" s="5" t="s">
        <v>29</v>
      </c>
      <c r="D2142" s="5" t="s">
        <v>30</v>
      </c>
      <c r="E2142" s="5" t="s">
        <v>1259</v>
      </c>
      <c r="F2142" s="9">
        <v>78</v>
      </c>
      <c r="G2142" s="9">
        <v>828</v>
      </c>
      <c r="H2142" s="5" t="s">
        <v>20</v>
      </c>
      <c r="I2142" s="5" t="s">
        <v>5286</v>
      </c>
      <c r="J2142" s="12" t="str">
        <f>HYPERLINK("https://www.boe.es/gazeta/dias/1805/09/27/pdfs/GMD-1805-78.pdf#page=8","Abrir facsímil")</f>
        <v>Abrir facsímil</v>
      </c>
      <c r="K2142" s="15" t="s">
        <v>22</v>
      </c>
    </row>
    <row r="2143" spans="1:11" ht="42" customHeight="1">
      <c r="A2143" s="4" t="s">
        <v>5287</v>
      </c>
      <c r="B2143" s="5" t="s">
        <v>5287</v>
      </c>
      <c r="C2143" s="5" t="s">
        <v>184</v>
      </c>
      <c r="D2143" s="5" t="s">
        <v>86</v>
      </c>
      <c r="E2143" s="5" t="s">
        <v>163</v>
      </c>
      <c r="F2143" s="9">
        <v>77</v>
      </c>
      <c r="G2143" s="9" t="s">
        <v>145</v>
      </c>
      <c r="H2143" s="5" t="s">
        <v>20</v>
      </c>
      <c r="I2143" s="5" t="s">
        <v>5288</v>
      </c>
      <c r="J2143" s="12" t="str">
        <f>HYPERLINK("https://www.boe.es/gazeta/dias/1805/09/24/pdfs/GMD-C-1805-77.pdf#page=2","Abrir facsímil")</f>
        <v>Abrir facsímil</v>
      </c>
      <c r="K2143" s="15" t="s">
        <v>22</v>
      </c>
    </row>
    <row r="2144" spans="1:11" ht="42" customHeight="1">
      <c r="A2144" s="4" t="s">
        <v>5289</v>
      </c>
      <c r="B2144" s="5" t="s">
        <v>5290</v>
      </c>
      <c r="C2144" s="5" t="s">
        <v>35</v>
      </c>
      <c r="D2144" s="5" t="s">
        <v>36</v>
      </c>
      <c r="E2144" s="5" t="s">
        <v>226</v>
      </c>
      <c r="F2144" s="9">
        <v>73</v>
      </c>
      <c r="G2144" s="9">
        <v>774</v>
      </c>
      <c r="H2144" s="5" t="s">
        <v>20</v>
      </c>
      <c r="I2144" s="5" t="s">
        <v>5291</v>
      </c>
      <c r="J2144" s="12" t="str">
        <f>HYPERLINK("https://www.boe.es/gazeta/dias/1805/09/10/pdfs/GMD-1805-73.pdf#page=6","Abrir facsímil")</f>
        <v>Abrir facsímil</v>
      </c>
      <c r="K2144" s="15" t="s">
        <v>22</v>
      </c>
    </row>
    <row r="2145" spans="1:11" ht="42" customHeight="1">
      <c r="A2145" s="4" t="s">
        <v>5292</v>
      </c>
      <c r="B2145" s="5" t="s">
        <v>5293</v>
      </c>
      <c r="C2145" s="5" t="s">
        <v>17</v>
      </c>
      <c r="D2145" s="5" t="s">
        <v>18</v>
      </c>
      <c r="E2145" s="5" t="s">
        <v>506</v>
      </c>
      <c r="F2145" s="9">
        <v>80</v>
      </c>
      <c r="G2145" s="9">
        <v>850</v>
      </c>
      <c r="H2145" s="5" t="s">
        <v>20</v>
      </c>
      <c r="I2145" s="5" t="s">
        <v>5294</v>
      </c>
      <c r="J2145" s="12" t="str">
        <f>HYPERLINK("https://www.boe.es/gazeta/dias/1805/10/04/pdfs/GMD-1805-80.pdf#page=10","Abrir facsímil")</f>
        <v>Abrir facsímil</v>
      </c>
      <c r="K2145" s="15" t="s">
        <v>22</v>
      </c>
    </row>
    <row r="2146" spans="1:11" ht="42" customHeight="1">
      <c r="A2146" s="4" t="s">
        <v>5295</v>
      </c>
      <c r="B2146" s="5" t="s">
        <v>5296</v>
      </c>
      <c r="C2146" s="5" t="s">
        <v>17</v>
      </c>
      <c r="D2146" s="5" t="s">
        <v>18</v>
      </c>
      <c r="E2146" s="5" t="s">
        <v>170</v>
      </c>
      <c r="F2146" s="9">
        <v>9</v>
      </c>
      <c r="G2146" s="9">
        <v>98</v>
      </c>
      <c r="H2146" s="5" t="s">
        <v>20</v>
      </c>
      <c r="I2146" s="5" t="s">
        <v>5297</v>
      </c>
      <c r="J2146" s="12" t="str">
        <f>HYPERLINK("https://www.boe.es/gazeta/dias/1805/01/29/pdfs/GMD-1805-9.pdf#page=6","Abrir facsímil")</f>
        <v>Abrir facsímil</v>
      </c>
      <c r="K2146" s="15" t="s">
        <v>22</v>
      </c>
    </row>
    <row r="2147" spans="1:11" ht="42" customHeight="1">
      <c r="A2147" s="4" t="s">
        <v>5298</v>
      </c>
      <c r="B2147" s="5" t="s">
        <v>5299</v>
      </c>
      <c r="C2147" s="5" t="s">
        <v>85</v>
      </c>
      <c r="D2147" s="5" t="s">
        <v>86</v>
      </c>
      <c r="E2147" s="5" t="s">
        <v>440</v>
      </c>
      <c r="F2147" s="9">
        <v>27</v>
      </c>
      <c r="G2147" s="9">
        <v>288</v>
      </c>
      <c r="H2147" s="5" t="s">
        <v>20</v>
      </c>
      <c r="I2147" s="5" t="s">
        <v>5300</v>
      </c>
      <c r="J2147" s="12" t="str">
        <f>HYPERLINK("https://www.boe.es/gazeta/dias/1805/04/02/pdfs/GMD-1805-27.pdf#page=8","Abrir facsímil")</f>
        <v>Abrir facsímil</v>
      </c>
      <c r="K2147" s="15" t="s">
        <v>22</v>
      </c>
    </row>
    <row r="2148" spans="1:11" ht="42" customHeight="1">
      <c r="A2148" s="4" t="s">
        <v>5298</v>
      </c>
      <c r="B2148" s="5" t="s">
        <v>5299</v>
      </c>
      <c r="C2148" s="5" t="s">
        <v>35</v>
      </c>
      <c r="D2148" s="5" t="s">
        <v>36</v>
      </c>
      <c r="E2148" s="5" t="s">
        <v>76</v>
      </c>
      <c r="F2148" s="9">
        <v>66</v>
      </c>
      <c r="G2148" s="9">
        <v>708</v>
      </c>
      <c r="H2148" s="5" t="s">
        <v>20</v>
      </c>
      <c r="I2148" s="5" t="s">
        <v>5301</v>
      </c>
      <c r="J2148" s="12" t="str">
        <f>HYPERLINK("https://www.boe.es/gazeta/dias/1805/08/16/pdfs/GMD-1805-66.pdf#page=8","Abrir facsímil")</f>
        <v>Abrir facsímil</v>
      </c>
      <c r="K2148" s="15" t="s">
        <v>22</v>
      </c>
    </row>
    <row r="2149" spans="1:11" ht="42" customHeight="1">
      <c r="A2149" s="4" t="s">
        <v>5302</v>
      </c>
      <c r="B2149" s="5" t="s">
        <v>5303</v>
      </c>
      <c r="C2149" s="5" t="s">
        <v>35</v>
      </c>
      <c r="D2149" s="5" t="s">
        <v>36</v>
      </c>
      <c r="E2149" s="5" t="s">
        <v>645</v>
      </c>
      <c r="F2149" s="9">
        <v>55</v>
      </c>
      <c r="G2149" s="9">
        <v>592</v>
      </c>
      <c r="H2149" s="5" t="s">
        <v>20</v>
      </c>
      <c r="I2149" s="5" t="s">
        <v>5304</v>
      </c>
      <c r="J2149" s="12" t="str">
        <f>HYPERLINK("https://www.boe.es/gazeta/dias/1805/07/09/pdfs/GMD-C-1805-55.pdf#page=4","Abrir facsímil")</f>
        <v>Abrir facsímil</v>
      </c>
      <c r="K2149" s="15" t="s">
        <v>22</v>
      </c>
    </row>
    <row r="2150" spans="1:11" ht="42" customHeight="1">
      <c r="A2150" s="4" t="s">
        <v>5305</v>
      </c>
      <c r="B2150" s="5" t="s">
        <v>5306</v>
      </c>
      <c r="C2150" s="5" t="s">
        <v>85</v>
      </c>
      <c r="D2150" s="5" t="s">
        <v>86</v>
      </c>
      <c r="E2150" s="5" t="s">
        <v>19</v>
      </c>
      <c r="F2150" s="9">
        <v>86</v>
      </c>
      <c r="G2150" s="9">
        <v>914</v>
      </c>
      <c r="H2150" s="5" t="s">
        <v>20</v>
      </c>
      <c r="I2150" s="5" t="s">
        <v>5307</v>
      </c>
      <c r="J2150" s="12" t="str">
        <f>HYPERLINK("https://www.boe.es/gazeta/dias/1805/10/25/pdfs/GMD-1805-86.pdf#page=10","Abrir facsímil")</f>
        <v>Abrir facsímil</v>
      </c>
      <c r="K2150" s="15" t="s">
        <v>22</v>
      </c>
    </row>
    <row r="2151" spans="1:11" ht="42" customHeight="1">
      <c r="A2151" s="4" t="s">
        <v>5308</v>
      </c>
      <c r="B2151" s="5" t="s">
        <v>5309</v>
      </c>
      <c r="C2151" s="5" t="s">
        <v>29</v>
      </c>
      <c r="D2151" s="5" t="s">
        <v>30</v>
      </c>
      <c r="E2151" s="5" t="s">
        <v>99</v>
      </c>
      <c r="F2151" s="9">
        <v>83</v>
      </c>
      <c r="G2151" s="9">
        <v>884</v>
      </c>
      <c r="H2151" s="5" t="s">
        <v>20</v>
      </c>
      <c r="I2151" s="5" t="s">
        <v>5310</v>
      </c>
      <c r="J2151" s="12" t="str">
        <f>HYPERLINK("https://www.boe.es/gazeta/dias/1805/10/15/pdfs/GMD-1805-83.pdf#page=12","Abrir facsímil")</f>
        <v>Abrir facsímil</v>
      </c>
      <c r="K2151" s="15" t="s">
        <v>22</v>
      </c>
    </row>
    <row r="2152" spans="1:11" ht="42" customHeight="1">
      <c r="A2152" s="4" t="s">
        <v>5311</v>
      </c>
      <c r="B2152" s="5" t="s">
        <v>5312</v>
      </c>
      <c r="C2152" s="5" t="s">
        <v>85</v>
      </c>
      <c r="D2152" s="5" t="s">
        <v>86</v>
      </c>
      <c r="E2152" s="5" t="s">
        <v>426</v>
      </c>
      <c r="F2152" s="9">
        <v>75</v>
      </c>
      <c r="G2152" s="9">
        <v>798</v>
      </c>
      <c r="H2152" s="5" t="s">
        <v>20</v>
      </c>
      <c r="I2152" s="5" t="s">
        <v>5313</v>
      </c>
      <c r="J2152" s="12" t="str">
        <f>HYPERLINK("https://www.boe.es/gazeta/dias/1805/09/17/pdfs/GMD-1805-75.pdf#page=10","Abrir facsímil")</f>
        <v>Abrir facsímil</v>
      </c>
      <c r="K2152" s="15" t="s">
        <v>22</v>
      </c>
    </row>
    <row r="2153" spans="1:11" ht="42" customHeight="1">
      <c r="A2153" s="4" t="s">
        <v>5314</v>
      </c>
      <c r="B2153" s="5" t="s">
        <v>5315</v>
      </c>
      <c r="C2153" s="5" t="s">
        <v>17</v>
      </c>
      <c r="D2153" s="5" t="s">
        <v>18</v>
      </c>
      <c r="E2153" s="5" t="s">
        <v>886</v>
      </c>
      <c r="F2153" s="9">
        <v>93</v>
      </c>
      <c r="G2153" s="9">
        <v>1000</v>
      </c>
      <c r="H2153" s="5" t="s">
        <v>20</v>
      </c>
      <c r="I2153" s="5" t="s">
        <v>5316</v>
      </c>
      <c r="J2153" s="12" t="str">
        <f>HYPERLINK("https://www.boe.es/gazeta/dias/1805/11/19/pdfs/GMD-1805-93.pdf#page=12","Abrir facsímil")</f>
        <v>Abrir facsímil</v>
      </c>
      <c r="K2153" s="15" t="s">
        <v>22</v>
      </c>
    </row>
    <row r="2154" spans="1:11" ht="42" customHeight="1">
      <c r="A2154" s="4" t="s">
        <v>5317</v>
      </c>
      <c r="B2154" s="5" t="s">
        <v>5318</v>
      </c>
      <c r="C2154" s="5" t="s">
        <v>17</v>
      </c>
      <c r="D2154" s="5" t="s">
        <v>18</v>
      </c>
      <c r="E2154" s="5" t="s">
        <v>422</v>
      </c>
      <c r="F2154" s="9">
        <v>74</v>
      </c>
      <c r="G2154" s="9">
        <v>786</v>
      </c>
      <c r="H2154" s="5" t="s">
        <v>20</v>
      </c>
      <c r="I2154" s="5" t="s">
        <v>5319</v>
      </c>
      <c r="J2154" s="12" t="str">
        <f>HYPERLINK("https://www.boe.es/gazeta/dias/1805/09/13/pdfs/GMD-1805-74.pdf#page=10","Abrir facsímil")</f>
        <v>Abrir facsímil</v>
      </c>
      <c r="K2154" s="15" t="s">
        <v>22</v>
      </c>
    </row>
    <row r="2155" spans="1:11" ht="42" customHeight="1">
      <c r="A2155" s="4" t="s">
        <v>5320</v>
      </c>
      <c r="B2155" s="5" t="s">
        <v>5321</v>
      </c>
      <c r="C2155" s="5" t="s">
        <v>35</v>
      </c>
      <c r="D2155" s="5" t="s">
        <v>36</v>
      </c>
      <c r="E2155" s="5" t="s">
        <v>48</v>
      </c>
      <c r="F2155" s="9">
        <v>35</v>
      </c>
      <c r="G2155" s="9">
        <v>378</v>
      </c>
      <c r="H2155" s="5" t="s">
        <v>20</v>
      </c>
      <c r="I2155" s="5" t="s">
        <v>5322</v>
      </c>
      <c r="J2155" s="12" t="str">
        <f>HYPERLINK("https://www.boe.es/gazeta/dias/1805/04/30/pdfs/GMD-1805-35.pdf#page=10","Abrir facsímil")</f>
        <v>Abrir facsímil</v>
      </c>
      <c r="K2155" s="15" t="s">
        <v>22</v>
      </c>
    </row>
    <row r="2156" spans="1:11" ht="42" customHeight="1">
      <c r="A2156" s="4" t="s">
        <v>5323</v>
      </c>
      <c r="B2156" s="5" t="s">
        <v>5324</v>
      </c>
      <c r="C2156" s="5" t="s">
        <v>85</v>
      </c>
      <c r="D2156" s="5" t="s">
        <v>86</v>
      </c>
      <c r="E2156" s="5" t="s">
        <v>120</v>
      </c>
      <c r="F2156" s="9">
        <v>24</v>
      </c>
      <c r="G2156" s="9">
        <v>255</v>
      </c>
      <c r="H2156" s="5" t="s">
        <v>20</v>
      </c>
      <c r="I2156" s="5" t="s">
        <v>5325</v>
      </c>
      <c r="J2156" s="12" t="str">
        <f>HYPERLINK("https://www.boe.es/gazeta/dias/1805/03/22/pdfs/GMD-1805-24.pdf#page=7","Abrir facsímil")</f>
        <v>Abrir facsímil</v>
      </c>
      <c r="K2156" s="15" t="s">
        <v>22</v>
      </c>
    </row>
    <row r="2157" spans="1:11" ht="42" customHeight="1">
      <c r="A2157" s="4" t="s">
        <v>5326</v>
      </c>
      <c r="B2157" s="5" t="s">
        <v>5327</v>
      </c>
      <c r="C2157" s="5" t="s">
        <v>184</v>
      </c>
      <c r="D2157" s="5" t="s">
        <v>86</v>
      </c>
      <c r="E2157" s="5" t="s">
        <v>303</v>
      </c>
      <c r="F2157" s="9">
        <v>57</v>
      </c>
      <c r="G2157" s="9">
        <v>613</v>
      </c>
      <c r="H2157" s="5" t="s">
        <v>20</v>
      </c>
      <c r="I2157" s="5" t="s">
        <v>5328</v>
      </c>
      <c r="J2157" s="12" t="str">
        <f>HYPERLINK("https://www.boe.es/gazeta/dias/1805/07/16/pdfs/GMD-1805-57.pdf#page=9","Abrir facsímil")</f>
        <v>Abrir facsímil</v>
      </c>
      <c r="K2157" s="15" t="s">
        <v>22</v>
      </c>
    </row>
    <row r="2158" spans="1:11" ht="42" customHeight="1">
      <c r="A2158" s="4" t="s">
        <v>5329</v>
      </c>
      <c r="B2158" s="5" t="s">
        <v>5330</v>
      </c>
      <c r="C2158" s="5" t="s">
        <v>35</v>
      </c>
      <c r="D2158" s="5" t="s">
        <v>36</v>
      </c>
      <c r="E2158" s="5" t="s">
        <v>1259</v>
      </c>
      <c r="F2158" s="9">
        <v>78</v>
      </c>
      <c r="G2158" s="9">
        <v>827</v>
      </c>
      <c r="H2158" s="5" t="s">
        <v>20</v>
      </c>
      <c r="I2158" s="5" t="s">
        <v>5331</v>
      </c>
      <c r="J2158" s="12" t="str">
        <f>HYPERLINK("https://www.boe.es/gazeta/dias/1805/09/27/pdfs/GMD-1805-78.pdf#page=7","Abrir facsímil")</f>
        <v>Abrir facsímil</v>
      </c>
      <c r="K2158" s="15" t="s">
        <v>22</v>
      </c>
    </row>
    <row r="2159" spans="1:11" ht="42" customHeight="1">
      <c r="A2159" s="4" t="s">
        <v>5332</v>
      </c>
      <c r="B2159" s="5" t="s">
        <v>5333</v>
      </c>
      <c r="C2159" s="5" t="s">
        <v>184</v>
      </c>
      <c r="D2159" s="5" t="s">
        <v>86</v>
      </c>
      <c r="E2159" s="5" t="s">
        <v>114</v>
      </c>
      <c r="F2159" s="9">
        <v>17</v>
      </c>
      <c r="G2159" s="9">
        <v>178</v>
      </c>
      <c r="H2159" s="5" t="s">
        <v>20</v>
      </c>
      <c r="I2159" s="5" t="s">
        <v>5334</v>
      </c>
      <c r="J2159" s="12" t="str">
        <f>HYPERLINK("https://www.boe.es/gazeta/dias/1805/02/26/pdfs/GMD-1805-17.pdf#page=10","Abrir facsímil")</f>
        <v>Abrir facsímil</v>
      </c>
      <c r="K2159" s="15" t="s">
        <v>22</v>
      </c>
    </row>
    <row r="2160" spans="1:11" ht="42" customHeight="1">
      <c r="A2160" s="4" t="s">
        <v>5335</v>
      </c>
      <c r="B2160" s="5" t="s">
        <v>5336</v>
      </c>
      <c r="C2160" s="5" t="s">
        <v>17</v>
      </c>
      <c r="D2160" s="5" t="s">
        <v>18</v>
      </c>
      <c r="E2160" s="5" t="s">
        <v>44</v>
      </c>
      <c r="F2160" s="9">
        <v>29</v>
      </c>
      <c r="G2160" s="9">
        <v>312</v>
      </c>
      <c r="H2160" s="5" t="s">
        <v>20</v>
      </c>
      <c r="I2160" s="5" t="s">
        <v>5337</v>
      </c>
      <c r="J2160" s="12" t="str">
        <f>HYPERLINK("https://www.boe.es/gazeta/dias/1805/04/09/pdfs/GMD-1805-29.pdf#page=8","Abrir facsímil")</f>
        <v>Abrir facsímil</v>
      </c>
      <c r="K2160" s="15" t="s">
        <v>22</v>
      </c>
    </row>
    <row r="2161" spans="1:11" ht="42" customHeight="1">
      <c r="A2161" s="4" t="s">
        <v>5338</v>
      </c>
      <c r="B2161" s="5" t="s">
        <v>5339</v>
      </c>
      <c r="C2161" s="5" t="s">
        <v>35</v>
      </c>
      <c r="D2161" s="5" t="s">
        <v>36</v>
      </c>
      <c r="E2161" s="5" t="s">
        <v>276</v>
      </c>
      <c r="F2161" s="9">
        <v>51</v>
      </c>
      <c r="G2161" s="9">
        <v>551</v>
      </c>
      <c r="H2161" s="5" t="s">
        <v>20</v>
      </c>
      <c r="I2161" s="5" t="s">
        <v>5340</v>
      </c>
      <c r="J2161" s="12" t="str">
        <f>HYPERLINK("https://www.boe.es/gazeta/dias/1805/06/25/pdfs/GMD-1805-51.pdf#page=7","Abrir facsímil")</f>
        <v>Abrir facsímil</v>
      </c>
      <c r="K2161" s="15" t="s">
        <v>22</v>
      </c>
    </row>
    <row r="2162" spans="1:11" ht="42" customHeight="1">
      <c r="A2162" s="4" t="s">
        <v>5341</v>
      </c>
      <c r="B2162" s="5" t="s">
        <v>5342</v>
      </c>
      <c r="C2162" s="5" t="s">
        <v>29</v>
      </c>
      <c r="D2162" s="5" t="s">
        <v>30</v>
      </c>
      <c r="E2162" s="5" t="s">
        <v>71</v>
      </c>
      <c r="F2162" s="9">
        <v>33</v>
      </c>
      <c r="G2162" s="9">
        <v>356</v>
      </c>
      <c r="H2162" s="5" t="s">
        <v>20</v>
      </c>
      <c r="I2162" s="5" t="s">
        <v>5343</v>
      </c>
      <c r="J2162" s="12" t="str">
        <f>HYPERLINK("https://www.boe.es/gazeta/dias/1805/04/23/pdfs/GMD-1805-33.pdf#page=12","Abrir facsímil")</f>
        <v>Abrir facsímil</v>
      </c>
      <c r="K2162" s="15" t="s">
        <v>22</v>
      </c>
    </row>
    <row r="2163" spans="1:11" ht="42" customHeight="1">
      <c r="A2163" s="4" t="s">
        <v>5344</v>
      </c>
      <c r="B2163" s="5" t="s">
        <v>5345</v>
      </c>
      <c r="C2163" s="5" t="s">
        <v>35</v>
      </c>
      <c r="D2163" s="5" t="s">
        <v>36</v>
      </c>
      <c r="E2163" s="5" t="s">
        <v>217</v>
      </c>
      <c r="F2163" s="9">
        <v>96</v>
      </c>
      <c r="G2163" s="9">
        <v>1031</v>
      </c>
      <c r="H2163" s="5" t="s">
        <v>20</v>
      </c>
      <c r="I2163" s="5" t="s">
        <v>5346</v>
      </c>
      <c r="J2163" s="12" t="str">
        <f>HYPERLINK("https://www.boe.es/gazeta/dias/1805/11/29/pdfs/GMD-1805-96.pdf#page=7","Abrir facsímil")</f>
        <v>Abrir facsímil</v>
      </c>
      <c r="K2163" s="15" t="s">
        <v>22</v>
      </c>
    </row>
    <row r="2164" spans="1:11" ht="42" customHeight="1">
      <c r="A2164" s="4" t="s">
        <v>5347</v>
      </c>
      <c r="B2164" s="5" t="s">
        <v>5348</v>
      </c>
      <c r="C2164" s="5" t="s">
        <v>85</v>
      </c>
      <c r="D2164" s="5" t="s">
        <v>86</v>
      </c>
      <c r="E2164" s="5" t="s">
        <v>512</v>
      </c>
      <c r="F2164" s="9">
        <v>100</v>
      </c>
      <c r="G2164" s="9">
        <v>1081</v>
      </c>
      <c r="H2164" s="5" t="s">
        <v>20</v>
      </c>
      <c r="I2164" s="5" t="s">
        <v>5349</v>
      </c>
      <c r="J2164" s="12" t="str">
        <f>HYPERLINK("https://www.boe.es/gazeta/dias/1805/12/13/pdfs/GMD-1805-100.pdf#page=9","Abrir facsímil")</f>
        <v>Abrir facsímil</v>
      </c>
      <c r="K2164" s="15" t="s">
        <v>22</v>
      </c>
    </row>
    <row r="2165" spans="1:11" ht="42" customHeight="1">
      <c r="A2165" s="4" t="s">
        <v>5350</v>
      </c>
      <c r="B2165" s="5" t="s">
        <v>5351</v>
      </c>
      <c r="C2165" s="5" t="s">
        <v>35</v>
      </c>
      <c r="D2165" s="5" t="s">
        <v>36</v>
      </c>
      <c r="E2165" s="5" t="s">
        <v>112</v>
      </c>
      <c r="F2165" s="9">
        <v>16</v>
      </c>
      <c r="G2165" s="9">
        <v>166</v>
      </c>
      <c r="H2165" s="5" t="s">
        <v>20</v>
      </c>
      <c r="I2165" s="5" t="s">
        <v>5352</v>
      </c>
      <c r="J2165" s="12" t="str">
        <f>HYPERLINK("https://www.boe.es/gazeta/dias/1805/02/22/pdfs/GMD-1805-16.pdf#page=6","Abrir facsímil")</f>
        <v>Abrir facsímil</v>
      </c>
      <c r="K2165" s="15" t="s">
        <v>22</v>
      </c>
    </row>
    <row r="2166" spans="1:11" ht="42" customHeight="1">
      <c r="A2166" s="4" t="s">
        <v>5353</v>
      </c>
      <c r="B2166" s="5" t="s">
        <v>5354</v>
      </c>
      <c r="C2166" s="5" t="s">
        <v>35</v>
      </c>
      <c r="D2166" s="5" t="s">
        <v>36</v>
      </c>
      <c r="E2166" s="5" t="s">
        <v>188</v>
      </c>
      <c r="F2166" s="9">
        <v>68</v>
      </c>
      <c r="G2166" s="9">
        <v>729</v>
      </c>
      <c r="H2166" s="5" t="s">
        <v>20</v>
      </c>
      <c r="I2166" s="5" t="s">
        <v>5355</v>
      </c>
      <c r="J2166" s="12" t="str">
        <f>HYPERLINK("https://www.boe.es/gazeta/dias/1805/08/23/pdfs/GMD-1805-68.pdf#page=9","Abrir facsímil")</f>
        <v>Abrir facsímil</v>
      </c>
      <c r="K2166" s="15" t="s">
        <v>22</v>
      </c>
    </row>
    <row r="2167" spans="1:11" ht="42" customHeight="1">
      <c r="A2167" s="4" t="s">
        <v>5356</v>
      </c>
      <c r="B2167" s="5" t="s">
        <v>5357</v>
      </c>
      <c r="C2167" s="5" t="s">
        <v>35</v>
      </c>
      <c r="D2167" s="5" t="s">
        <v>36</v>
      </c>
      <c r="E2167" s="5" t="s">
        <v>91</v>
      </c>
      <c r="F2167" s="9">
        <v>28</v>
      </c>
      <c r="G2167" s="9">
        <v>303</v>
      </c>
      <c r="H2167" s="5" t="s">
        <v>20</v>
      </c>
      <c r="I2167" s="5" t="s">
        <v>5358</v>
      </c>
      <c r="J2167" s="12" t="str">
        <f>HYPERLINK("https://www.boe.es/gazeta/dias/1805/04/05/pdfs/GMD-1805-28.pdf#page=11","Abrir facsímil")</f>
        <v>Abrir facsímil</v>
      </c>
      <c r="K2167" s="15" t="s">
        <v>22</v>
      </c>
    </row>
    <row r="2168" spans="1:11" ht="42" customHeight="1">
      <c r="A2168" s="4" t="s">
        <v>5356</v>
      </c>
      <c r="B2168" s="5" t="s">
        <v>5357</v>
      </c>
      <c r="C2168" s="5" t="s">
        <v>35</v>
      </c>
      <c r="D2168" s="5" t="s">
        <v>36</v>
      </c>
      <c r="E2168" s="5" t="s">
        <v>148</v>
      </c>
      <c r="F2168" s="9">
        <v>50</v>
      </c>
      <c r="G2168" s="9">
        <v>542</v>
      </c>
      <c r="H2168" s="5" t="s">
        <v>20</v>
      </c>
      <c r="I2168" s="5" t="s">
        <v>5359</v>
      </c>
      <c r="J2168" s="12" t="str">
        <f>HYPERLINK("https://www.boe.es/gazeta/dias/1805/06/21/pdfs/GMD-1805-50.pdf#page=10","Abrir facsímil")</f>
        <v>Abrir facsímil</v>
      </c>
      <c r="K2168" s="15" t="s">
        <v>22</v>
      </c>
    </row>
    <row r="2169" spans="1:11" ht="42" customHeight="1">
      <c r="A2169" s="4" t="s">
        <v>5356</v>
      </c>
      <c r="B2169" s="5" t="s">
        <v>5357</v>
      </c>
      <c r="C2169" s="5" t="s">
        <v>29</v>
      </c>
      <c r="D2169" s="5" t="s">
        <v>30</v>
      </c>
      <c r="E2169" s="5" t="s">
        <v>138</v>
      </c>
      <c r="F2169" s="9">
        <v>102</v>
      </c>
      <c r="G2169" s="9">
        <v>1106</v>
      </c>
      <c r="H2169" s="5" t="s">
        <v>20</v>
      </c>
      <c r="I2169" s="5" t="s">
        <v>5360</v>
      </c>
      <c r="J2169" s="12" t="str">
        <f>HYPERLINK("https://www.boe.es/gazeta/dias/1805/12/20/pdfs/GMD-1805-102.pdf#page=10","Abrir facsímil")</f>
        <v>Abrir facsímil</v>
      </c>
      <c r="K2169" s="15" t="s">
        <v>22</v>
      </c>
    </row>
    <row r="2170" spans="1:11" ht="42" customHeight="1">
      <c r="A2170" s="4" t="s">
        <v>5361</v>
      </c>
      <c r="B2170" s="5" t="s">
        <v>5362</v>
      </c>
      <c r="C2170" s="5" t="s">
        <v>52</v>
      </c>
      <c r="D2170" s="5" t="s">
        <v>53</v>
      </c>
      <c r="E2170" s="5" t="s">
        <v>144</v>
      </c>
      <c r="F2170" s="9">
        <v>85</v>
      </c>
      <c r="G2170" s="9" t="s">
        <v>145</v>
      </c>
      <c r="H2170" s="5" t="s">
        <v>20</v>
      </c>
      <c r="I2170" s="5" t="s">
        <v>5363</v>
      </c>
      <c r="J2170" s="12" t="str">
        <f>HYPERLINK("https://www.boe.es/gazeta/dias/1805/10/22/pdfs/GMD-C-1805-85.pdf#page=2","Abrir facsímil")</f>
        <v>Abrir facsímil</v>
      </c>
      <c r="K2170" s="15" t="s">
        <v>22</v>
      </c>
    </row>
    <row r="2171" spans="1:11" ht="42" customHeight="1">
      <c r="A2171" s="4" t="s">
        <v>5364</v>
      </c>
      <c r="B2171" s="5" t="s">
        <v>5365</v>
      </c>
      <c r="C2171" s="5" t="s">
        <v>52</v>
      </c>
      <c r="D2171" s="5" t="s">
        <v>53</v>
      </c>
      <c r="E2171" s="5" t="s">
        <v>144</v>
      </c>
      <c r="F2171" s="9">
        <v>85</v>
      </c>
      <c r="G2171" s="9" t="s">
        <v>159</v>
      </c>
      <c r="H2171" s="5" t="s">
        <v>20</v>
      </c>
      <c r="I2171" s="5" t="s">
        <v>5366</v>
      </c>
      <c r="J2171" s="12" t="str">
        <f>HYPERLINK("https://www.boe.es/gazeta/dias/1805/10/22/pdfs/GMD-C-1805-85.pdf#page=3","Abrir facsímil")</f>
        <v>Abrir facsímil</v>
      </c>
      <c r="K2171" s="15" t="s">
        <v>22</v>
      </c>
    </row>
    <row r="2172" spans="1:11" ht="42" customHeight="1">
      <c r="A2172" s="4" t="s">
        <v>5367</v>
      </c>
      <c r="B2172" s="5" t="s">
        <v>5368</v>
      </c>
      <c r="C2172" s="5" t="s">
        <v>17</v>
      </c>
      <c r="D2172" s="5" t="s">
        <v>18</v>
      </c>
      <c r="E2172" s="5" t="s">
        <v>958</v>
      </c>
      <c r="F2172" s="9">
        <v>58</v>
      </c>
      <c r="G2172" s="9">
        <v>621</v>
      </c>
      <c r="H2172" s="5" t="s">
        <v>20</v>
      </c>
      <c r="I2172" s="5" t="s">
        <v>5369</v>
      </c>
      <c r="J2172" s="12" t="str">
        <f>HYPERLINK("https://www.boe.es/gazeta/dias/1805/07/19/pdfs/GMD-1805-58.pdf#page=5","Abrir facsímil")</f>
        <v>Abrir facsímil</v>
      </c>
      <c r="K2172" s="15" t="s">
        <v>22</v>
      </c>
    </row>
    <row r="2173" spans="1:11" ht="42" customHeight="1">
      <c r="A2173" s="4" t="s">
        <v>5370</v>
      </c>
      <c r="B2173" s="5" t="s">
        <v>5371</v>
      </c>
      <c r="C2173" s="5" t="s">
        <v>35</v>
      </c>
      <c r="D2173" s="5" t="s">
        <v>36</v>
      </c>
      <c r="E2173" s="5" t="s">
        <v>19</v>
      </c>
      <c r="F2173" s="9">
        <v>86</v>
      </c>
      <c r="G2173" s="9">
        <v>914</v>
      </c>
      <c r="H2173" s="5" t="s">
        <v>20</v>
      </c>
      <c r="I2173" s="5" t="s">
        <v>5372</v>
      </c>
      <c r="J2173" s="12" t="str">
        <f>HYPERLINK("https://www.boe.es/gazeta/dias/1805/10/25/pdfs/GMD-1805-86.pdf#page=10","Abrir facsímil")</f>
        <v>Abrir facsímil</v>
      </c>
      <c r="K2173" s="15" t="s">
        <v>22</v>
      </c>
    </row>
    <row r="2174" spans="1:11" ht="42" customHeight="1">
      <c r="A2174" s="4" t="s">
        <v>5373</v>
      </c>
      <c r="B2174" s="5" t="s">
        <v>5374</v>
      </c>
      <c r="C2174" s="5" t="s">
        <v>52</v>
      </c>
      <c r="D2174" s="5" t="s">
        <v>53</v>
      </c>
      <c r="E2174" s="5" t="s">
        <v>144</v>
      </c>
      <c r="F2174" s="9">
        <v>85</v>
      </c>
      <c r="G2174" s="9" t="s">
        <v>1002</v>
      </c>
      <c r="H2174" s="5" t="s">
        <v>20</v>
      </c>
      <c r="I2174" s="5" t="s">
        <v>5375</v>
      </c>
      <c r="J2174" s="12" t="str">
        <f>HYPERLINK("https://www.boe.es/gazeta/dias/1805/10/22/pdfs/GMD-C-1805-85.pdf#page=7","Abrir facsímil")</f>
        <v>Abrir facsímil</v>
      </c>
      <c r="K2174" s="15" t="s">
        <v>22</v>
      </c>
    </row>
    <row r="2175" spans="1:11" ht="42" customHeight="1">
      <c r="A2175" s="4" t="s">
        <v>5376</v>
      </c>
      <c r="B2175" s="5" t="s">
        <v>5377</v>
      </c>
      <c r="C2175" s="5" t="s">
        <v>17</v>
      </c>
      <c r="D2175" s="5" t="s">
        <v>18</v>
      </c>
      <c r="E2175" s="5" t="s">
        <v>59</v>
      </c>
      <c r="F2175" s="9">
        <v>21</v>
      </c>
      <c r="G2175" s="9">
        <v>220</v>
      </c>
      <c r="H2175" s="5" t="s">
        <v>20</v>
      </c>
      <c r="I2175" s="5" t="s">
        <v>5378</v>
      </c>
      <c r="J2175" s="12" t="str">
        <f>HYPERLINK("https://www.boe.es/gazeta/dias/1805/03/12/pdfs/GMD-1805-21.pdf#page=8","Abrir facsímil")</f>
        <v>Abrir facsímil</v>
      </c>
      <c r="K2175" s="15" t="s">
        <v>22</v>
      </c>
    </row>
    <row r="2176" spans="1:11" ht="42" customHeight="1">
      <c r="A2176" s="4" t="s">
        <v>5376</v>
      </c>
      <c r="B2176" s="5" t="s">
        <v>5377</v>
      </c>
      <c r="C2176" s="5" t="s">
        <v>35</v>
      </c>
      <c r="D2176" s="5" t="s">
        <v>36</v>
      </c>
      <c r="E2176" s="5" t="s">
        <v>37</v>
      </c>
      <c r="F2176" s="9">
        <v>54</v>
      </c>
      <c r="G2176" s="9">
        <v>579</v>
      </c>
      <c r="H2176" s="5" t="s">
        <v>20</v>
      </c>
      <c r="I2176" s="5" t="s">
        <v>5379</v>
      </c>
      <c r="J2176" s="12" t="str">
        <f>HYPERLINK("https://www.boe.es/gazeta/dias/1805/07/05/pdfs/GMD-1805-54.pdf#page=7","Abrir facsímil")</f>
        <v>Abrir facsímil</v>
      </c>
      <c r="K2176" s="15" t="s">
        <v>22</v>
      </c>
    </row>
    <row r="2177" spans="1:11" ht="42" customHeight="1">
      <c r="A2177" s="4" t="s">
        <v>5376</v>
      </c>
      <c r="B2177" s="5" t="s">
        <v>5377</v>
      </c>
      <c r="C2177" s="5" t="s">
        <v>17</v>
      </c>
      <c r="D2177" s="5" t="s">
        <v>18</v>
      </c>
      <c r="E2177" s="5" t="s">
        <v>76</v>
      </c>
      <c r="F2177" s="9">
        <v>66</v>
      </c>
      <c r="G2177" s="9">
        <v>707</v>
      </c>
      <c r="H2177" s="5" t="s">
        <v>20</v>
      </c>
      <c r="I2177" s="5" t="s">
        <v>5380</v>
      </c>
      <c r="J2177" s="12" t="str">
        <f>HYPERLINK("https://www.boe.es/gazeta/dias/1805/08/16/pdfs/GMD-1805-66.pdf#page=7","Abrir facsímil")</f>
        <v>Abrir facsímil</v>
      </c>
      <c r="K2177" s="15" t="s">
        <v>22</v>
      </c>
    </row>
    <row r="2178" spans="1:11" ht="42" customHeight="1">
      <c r="A2178" s="4" t="s">
        <v>5376</v>
      </c>
      <c r="B2178" s="5" t="s">
        <v>5377</v>
      </c>
      <c r="C2178" s="5" t="s">
        <v>52</v>
      </c>
      <c r="D2178" s="5" t="s">
        <v>53</v>
      </c>
      <c r="E2178" s="5" t="s">
        <v>144</v>
      </c>
      <c r="F2178" s="9">
        <v>85</v>
      </c>
      <c r="G2178" s="9" t="s">
        <v>145</v>
      </c>
      <c r="H2178" s="5" t="s">
        <v>20</v>
      </c>
      <c r="I2178" s="5" t="s">
        <v>5381</v>
      </c>
      <c r="J2178" s="12" t="str">
        <f>HYPERLINK("https://www.boe.es/gazeta/dias/1805/10/22/pdfs/GMD-C-1805-85.pdf#page=2","Abrir facsímil")</f>
        <v>Abrir facsímil</v>
      </c>
      <c r="K2178" s="15" t="s">
        <v>22</v>
      </c>
    </row>
    <row r="2179" spans="1:11" ht="42" customHeight="1">
      <c r="A2179" s="4" t="s">
        <v>5376</v>
      </c>
      <c r="B2179" s="5" t="s">
        <v>5377</v>
      </c>
      <c r="C2179" s="5" t="s">
        <v>17</v>
      </c>
      <c r="D2179" s="5" t="s">
        <v>18</v>
      </c>
      <c r="E2179" s="5" t="s">
        <v>539</v>
      </c>
      <c r="F2179" s="9">
        <v>97</v>
      </c>
      <c r="G2179" s="9">
        <v>1043</v>
      </c>
      <c r="H2179" s="5" t="s">
        <v>20</v>
      </c>
      <c r="I2179" s="5" t="s">
        <v>5382</v>
      </c>
      <c r="J2179" s="12" t="str">
        <f>HYPERLINK("https://www.boe.es/gazeta/dias/1805/12/03/pdfs/GMD-1805-97.pdf#page=7","Abrir facsímil")</f>
        <v>Abrir facsímil</v>
      </c>
      <c r="K2179" s="15" t="s">
        <v>22</v>
      </c>
    </row>
    <row r="2180" spans="1:11" ht="42" customHeight="1">
      <c r="A2180" s="4" t="s">
        <v>5383</v>
      </c>
      <c r="B2180" s="5" t="s">
        <v>5384</v>
      </c>
      <c r="C2180" s="5" t="s">
        <v>264</v>
      </c>
      <c r="D2180" s="5" t="s">
        <v>265</v>
      </c>
      <c r="E2180" s="5" t="s">
        <v>261</v>
      </c>
      <c r="F2180" s="9">
        <v>18</v>
      </c>
      <c r="G2180" s="9" t="s">
        <v>159</v>
      </c>
      <c r="H2180" s="5" t="s">
        <v>20</v>
      </c>
      <c r="I2180" s="5" t="s">
        <v>5385</v>
      </c>
      <c r="J2180" s="12" t="str">
        <f>HYPERLINK("https://www.boe.es/gazeta/dias/1805/03/01/pdfs/GMD-C-1805-18.pdf#page=3","Abrir facsímil")</f>
        <v>Abrir facsímil</v>
      </c>
      <c r="K2180" s="15" t="s">
        <v>22</v>
      </c>
    </row>
    <row r="2181" spans="1:11" ht="42" customHeight="1">
      <c r="A2181" s="4" t="s">
        <v>5383</v>
      </c>
      <c r="B2181" s="5" t="s">
        <v>5384</v>
      </c>
      <c r="C2181" s="5" t="s">
        <v>17</v>
      </c>
      <c r="D2181" s="5" t="s">
        <v>18</v>
      </c>
      <c r="E2181" s="5" t="s">
        <v>399</v>
      </c>
      <c r="F2181" s="9">
        <v>39</v>
      </c>
      <c r="G2181" s="9">
        <v>422</v>
      </c>
      <c r="H2181" s="5" t="s">
        <v>20</v>
      </c>
      <c r="I2181" s="5" t="s">
        <v>5386</v>
      </c>
      <c r="J2181" s="12" t="str">
        <f>HYPERLINK("https://www.boe.es/gazeta/dias/1805/05/14/pdfs/GMD-1805-39.pdf#page=10","Abrir facsímil")</f>
        <v>Abrir facsímil</v>
      </c>
      <c r="K2181" s="15" t="s">
        <v>22</v>
      </c>
    </row>
    <row r="2182" spans="1:11" ht="42" customHeight="1">
      <c r="A2182" s="4" t="s">
        <v>5387</v>
      </c>
      <c r="B2182" s="5" t="s">
        <v>5388</v>
      </c>
      <c r="C2182" s="5" t="s">
        <v>29</v>
      </c>
      <c r="D2182" s="5" t="s">
        <v>30</v>
      </c>
      <c r="E2182" s="5" t="s">
        <v>276</v>
      </c>
      <c r="F2182" s="9">
        <v>51</v>
      </c>
      <c r="G2182" s="9">
        <v>552</v>
      </c>
      <c r="H2182" s="5" t="s">
        <v>20</v>
      </c>
      <c r="I2182" s="5" t="s">
        <v>5389</v>
      </c>
      <c r="J2182" s="12" t="str">
        <f>HYPERLINK("https://www.boe.es/gazeta/dias/1805/06/25/pdfs/GMD-1805-51.pdf#page=8","Abrir facsímil")</f>
        <v>Abrir facsímil</v>
      </c>
      <c r="K2182" s="15" t="s">
        <v>22</v>
      </c>
    </row>
    <row r="2183" spans="1:11" ht="42" customHeight="1">
      <c r="A2183" s="4" t="s">
        <v>5390</v>
      </c>
      <c r="B2183" s="5" t="s">
        <v>5391</v>
      </c>
      <c r="C2183" s="5" t="s">
        <v>35</v>
      </c>
      <c r="D2183" s="5" t="s">
        <v>36</v>
      </c>
      <c r="E2183" s="5" t="s">
        <v>567</v>
      </c>
      <c r="F2183" s="9">
        <v>49</v>
      </c>
      <c r="G2183" s="9">
        <v>530</v>
      </c>
      <c r="H2183" s="5" t="s">
        <v>20</v>
      </c>
      <c r="I2183" s="5" t="s">
        <v>5392</v>
      </c>
      <c r="J2183" s="12" t="str">
        <f>HYPERLINK("https://www.boe.es/gazeta/dias/1805/06/18/pdfs/GMD-1805-49.pdf#page=6","Abrir facsímil")</f>
        <v>Abrir facsímil</v>
      </c>
      <c r="K2183" s="15" t="s">
        <v>22</v>
      </c>
    </row>
    <row r="2184" spans="1:11" ht="42" customHeight="1">
      <c r="A2184" s="4" t="s">
        <v>5393</v>
      </c>
      <c r="B2184" s="5" t="s">
        <v>5394</v>
      </c>
      <c r="C2184" s="5" t="s">
        <v>35</v>
      </c>
      <c r="D2184" s="5" t="s">
        <v>36</v>
      </c>
      <c r="E2184" s="5" t="s">
        <v>122</v>
      </c>
      <c r="F2184" s="9">
        <v>38</v>
      </c>
      <c r="G2184" s="9">
        <v>407</v>
      </c>
      <c r="H2184" s="5" t="s">
        <v>20</v>
      </c>
      <c r="I2184" s="5" t="s">
        <v>5395</v>
      </c>
      <c r="J2184" s="12" t="str">
        <f>HYPERLINK("https://www.boe.es/gazeta/dias/1805/05/10/pdfs/GMD-1805-38.pdf#page=3","Abrir facsímil")</f>
        <v>Abrir facsímil</v>
      </c>
      <c r="K2184" s="15" t="s">
        <v>22</v>
      </c>
    </row>
    <row r="2185" spans="1:11" ht="42" customHeight="1">
      <c r="A2185" s="4" t="s">
        <v>5393</v>
      </c>
      <c r="B2185" s="5" t="s">
        <v>5394</v>
      </c>
      <c r="C2185" s="5" t="s">
        <v>184</v>
      </c>
      <c r="D2185" s="5" t="s">
        <v>86</v>
      </c>
      <c r="E2185" s="5" t="s">
        <v>144</v>
      </c>
      <c r="F2185" s="9">
        <v>85</v>
      </c>
      <c r="G2185" s="9">
        <v>895</v>
      </c>
      <c r="H2185" s="5" t="s">
        <v>20</v>
      </c>
      <c r="I2185" s="5" t="s">
        <v>5396</v>
      </c>
      <c r="J2185" s="12" t="str">
        <f>HYPERLINK("https://www.boe.es/gazeta/dias/1805/10/22/pdfs/GMD-1805-85.pdf#page=3","Abrir facsímil")</f>
        <v>Abrir facsímil</v>
      </c>
      <c r="K2185" s="15" t="s">
        <v>22</v>
      </c>
    </row>
    <row r="2186" spans="1:11" ht="42" customHeight="1">
      <c r="A2186" s="4" t="s">
        <v>5393</v>
      </c>
      <c r="B2186" s="5" t="s">
        <v>5394</v>
      </c>
      <c r="C2186" s="5" t="s">
        <v>80</v>
      </c>
      <c r="D2186" s="5" t="s">
        <v>81</v>
      </c>
      <c r="E2186" s="5" t="s">
        <v>209</v>
      </c>
      <c r="F2186" s="9">
        <v>89</v>
      </c>
      <c r="G2186" s="9">
        <v>945</v>
      </c>
      <c r="H2186" s="5" t="s">
        <v>20</v>
      </c>
      <c r="I2186" s="5" t="s">
        <v>5397</v>
      </c>
      <c r="J2186" s="12" t="str">
        <f>HYPERLINK("https://www.boe.es/gazeta/dias/1805/11/05/pdfs/GMD-1805-89.pdf#page=5","Abrir facsímil")</f>
        <v>Abrir facsímil</v>
      </c>
      <c r="K2186" s="15" t="s">
        <v>22</v>
      </c>
    </row>
    <row r="2187" spans="1:11" ht="42" customHeight="1">
      <c r="A2187" s="4" t="s">
        <v>5393</v>
      </c>
      <c r="B2187" s="5" t="s">
        <v>5394</v>
      </c>
      <c r="C2187" s="5" t="s">
        <v>80</v>
      </c>
      <c r="D2187" s="5" t="s">
        <v>81</v>
      </c>
      <c r="E2187" s="5" t="s">
        <v>181</v>
      </c>
      <c r="F2187" s="9">
        <v>90</v>
      </c>
      <c r="G2187" s="9">
        <v>961</v>
      </c>
      <c r="H2187" s="5" t="s">
        <v>20</v>
      </c>
      <c r="I2187" s="5" t="s">
        <v>5398</v>
      </c>
      <c r="J2187" s="12" t="str">
        <f>HYPERLINK("https://www.boe.es/gazeta/dias/1805/11/08/pdfs/GMD-1805-90.pdf#page=5","Abrir facsímil")</f>
        <v>Abrir facsímil</v>
      </c>
      <c r="K2187" s="15" t="s">
        <v>22</v>
      </c>
    </row>
    <row r="2188" spans="1:11" ht="42" customHeight="1">
      <c r="A2188" s="4" t="s">
        <v>5393</v>
      </c>
      <c r="B2188" s="5" t="s">
        <v>5394</v>
      </c>
      <c r="C2188" s="5" t="s">
        <v>80</v>
      </c>
      <c r="D2188" s="5" t="s">
        <v>81</v>
      </c>
      <c r="E2188" s="5" t="s">
        <v>217</v>
      </c>
      <c r="F2188" s="9">
        <v>96</v>
      </c>
      <c r="G2188" s="9">
        <v>1025</v>
      </c>
      <c r="H2188" s="5" t="s">
        <v>20</v>
      </c>
      <c r="I2188" s="5" t="s">
        <v>5399</v>
      </c>
      <c r="J2188" s="12" t="str">
        <f>HYPERLINK("https://www.boe.es/gazeta/dias/1805/11/29/pdfs/GMD-1805-96.pdf#page=1","Abrir facsímil")</f>
        <v>Abrir facsímil</v>
      </c>
      <c r="K2188" s="15" t="s">
        <v>22</v>
      </c>
    </row>
    <row r="2189" spans="1:11" ht="42" customHeight="1">
      <c r="A2189" s="4" t="s">
        <v>5393</v>
      </c>
      <c r="B2189" s="5" t="s">
        <v>5394</v>
      </c>
      <c r="C2189" s="5" t="s">
        <v>35</v>
      </c>
      <c r="D2189" s="5" t="s">
        <v>36</v>
      </c>
      <c r="E2189" s="5" t="s">
        <v>539</v>
      </c>
      <c r="F2189" s="9">
        <v>97</v>
      </c>
      <c r="G2189" s="9">
        <v>1038</v>
      </c>
      <c r="H2189" s="5" t="s">
        <v>20</v>
      </c>
      <c r="I2189" s="5" t="s">
        <v>5400</v>
      </c>
      <c r="J2189" s="12" t="str">
        <f>HYPERLINK("https://www.boe.es/gazeta/dias/1805/12/03/pdfs/GMD-1805-97.pdf#page=2","Abrir facsímil")</f>
        <v>Abrir facsímil</v>
      </c>
      <c r="K2189" s="15" t="s">
        <v>22</v>
      </c>
    </row>
    <row r="2190" spans="1:11" ht="42" customHeight="1">
      <c r="A2190" s="4" t="s">
        <v>5393</v>
      </c>
      <c r="B2190" s="5" t="s">
        <v>5394</v>
      </c>
      <c r="C2190" s="5" t="s">
        <v>80</v>
      </c>
      <c r="D2190" s="5" t="s">
        <v>81</v>
      </c>
      <c r="E2190" s="5" t="s">
        <v>54</v>
      </c>
      <c r="F2190" s="9">
        <v>99</v>
      </c>
      <c r="G2190" s="9">
        <v>1063</v>
      </c>
      <c r="H2190" s="5" t="s">
        <v>20</v>
      </c>
      <c r="I2190" s="5" t="s">
        <v>5401</v>
      </c>
      <c r="J2190" s="12" t="str">
        <f>HYPERLINK("https://www.boe.es/gazeta/dias/1805/12/10/pdfs/GMD-1805-99.pdf#page=3","Abrir facsímil")</f>
        <v>Abrir facsímil</v>
      </c>
      <c r="K2190" s="15" t="s">
        <v>22</v>
      </c>
    </row>
    <row r="2191" spans="1:11" ht="42" customHeight="1">
      <c r="A2191" s="4" t="s">
        <v>5393</v>
      </c>
      <c r="B2191" s="5" t="s">
        <v>5394</v>
      </c>
      <c r="C2191" s="5" t="s">
        <v>35</v>
      </c>
      <c r="D2191" s="5" t="s">
        <v>36</v>
      </c>
      <c r="E2191" s="5" t="s">
        <v>138</v>
      </c>
      <c r="F2191" s="9">
        <v>102</v>
      </c>
      <c r="G2191" s="9">
        <v>1097</v>
      </c>
      <c r="H2191" s="5" t="s">
        <v>20</v>
      </c>
      <c r="I2191" s="5" t="s">
        <v>5402</v>
      </c>
      <c r="J2191" s="12" t="str">
        <f>HYPERLINK("https://www.boe.es/gazeta/dias/1805/12/20/pdfs/GMD-1805-102.pdf#page=1","Abrir facsímil")</f>
        <v>Abrir facsímil</v>
      </c>
      <c r="K2191" s="15" t="s">
        <v>22</v>
      </c>
    </row>
    <row r="2192" spans="1:11" ht="42" customHeight="1">
      <c r="A2192" s="4" t="s">
        <v>5393</v>
      </c>
      <c r="B2192" s="5" t="s">
        <v>5394</v>
      </c>
      <c r="C2192" s="5" t="s">
        <v>80</v>
      </c>
      <c r="D2192" s="5" t="s">
        <v>81</v>
      </c>
      <c r="E2192" s="5" t="s">
        <v>192</v>
      </c>
      <c r="F2192" s="9">
        <v>105</v>
      </c>
      <c r="G2192" s="9">
        <v>1135</v>
      </c>
      <c r="H2192" s="5" t="s">
        <v>20</v>
      </c>
      <c r="I2192" s="5" t="s">
        <v>5403</v>
      </c>
      <c r="J2192" s="12" t="str">
        <f>HYPERLINK("https://www.boe.es/gazeta/dias/1805/12/31/pdfs/GMD-1805-105.pdf#page=7","Abrir facsímil")</f>
        <v>Abrir facsímil</v>
      </c>
      <c r="K2192" s="15" t="s">
        <v>22</v>
      </c>
    </row>
    <row r="2193" spans="1:11" ht="42" customHeight="1">
      <c r="A2193" s="4" t="s">
        <v>5404</v>
      </c>
      <c r="B2193" s="5" t="s">
        <v>5405</v>
      </c>
      <c r="C2193" s="5" t="s">
        <v>35</v>
      </c>
      <c r="D2193" s="5" t="s">
        <v>36</v>
      </c>
      <c r="E2193" s="5" t="s">
        <v>393</v>
      </c>
      <c r="F2193" s="9">
        <v>44</v>
      </c>
      <c r="G2193" s="9">
        <v>465</v>
      </c>
      <c r="H2193" s="5" t="s">
        <v>20</v>
      </c>
      <c r="I2193" s="5" t="s">
        <v>5406</v>
      </c>
      <c r="J2193" s="12" t="str">
        <f>HYPERLINK("https://www.boe.es/gazeta/dias/1805/05/31/pdfs/GMD-1805-44.pdf#page=1","Abrir facsímil")</f>
        <v>Abrir facsímil</v>
      </c>
      <c r="K2193" s="15" t="s">
        <v>22</v>
      </c>
    </row>
    <row r="2194" spans="1:11" ht="42" customHeight="1">
      <c r="A2194" s="4" t="s">
        <v>5404</v>
      </c>
      <c r="B2194" s="5" t="s">
        <v>5405</v>
      </c>
      <c r="C2194" s="5" t="s">
        <v>80</v>
      </c>
      <c r="D2194" s="5" t="s">
        <v>81</v>
      </c>
      <c r="E2194" s="5" t="s">
        <v>335</v>
      </c>
      <c r="F2194" s="9">
        <v>79</v>
      </c>
      <c r="G2194" s="9">
        <v>832</v>
      </c>
      <c r="H2194" s="5" t="s">
        <v>20</v>
      </c>
      <c r="I2194" s="5" t="s">
        <v>5407</v>
      </c>
      <c r="J2194" s="12" t="str">
        <f>HYPERLINK("https://www.boe.es/gazeta/dias/1805/10/01/pdfs/GMD-1805-79.pdf#page=4","Abrir facsímil")</f>
        <v>Abrir facsímil</v>
      </c>
      <c r="K2194" s="15" t="s">
        <v>22</v>
      </c>
    </row>
    <row r="2195" spans="1:11" ht="42" customHeight="1">
      <c r="A2195" s="4" t="s">
        <v>5404</v>
      </c>
      <c r="B2195" s="5" t="s">
        <v>5405</v>
      </c>
      <c r="C2195" s="5" t="s">
        <v>80</v>
      </c>
      <c r="D2195" s="5" t="s">
        <v>81</v>
      </c>
      <c r="E2195" s="5" t="s">
        <v>669</v>
      </c>
      <c r="F2195" s="9">
        <v>84</v>
      </c>
      <c r="G2195" s="9">
        <v>888</v>
      </c>
      <c r="H2195" s="5" t="s">
        <v>20</v>
      </c>
      <c r="I2195" s="5" t="s">
        <v>5408</v>
      </c>
      <c r="J2195" s="12" t="str">
        <f>HYPERLINK("https://www.boe.es/gazeta/dias/1805/10/18/pdfs/GMD-1805-84.pdf#page=4","Abrir facsímil")</f>
        <v>Abrir facsímil</v>
      </c>
      <c r="K2195" s="15" t="s">
        <v>22</v>
      </c>
    </row>
    <row r="2196" spans="1:11" ht="42" customHeight="1">
      <c r="A2196" s="4" t="s">
        <v>5404</v>
      </c>
      <c r="B2196" s="5" t="s">
        <v>5405</v>
      </c>
      <c r="C2196" s="5" t="s">
        <v>80</v>
      </c>
      <c r="D2196" s="5" t="s">
        <v>81</v>
      </c>
      <c r="E2196" s="5" t="s">
        <v>864</v>
      </c>
      <c r="F2196" s="9">
        <v>88</v>
      </c>
      <c r="G2196" s="9">
        <v>931</v>
      </c>
      <c r="H2196" s="5" t="s">
        <v>20</v>
      </c>
      <c r="I2196" s="5" t="s">
        <v>5409</v>
      </c>
      <c r="J2196" s="12" t="str">
        <f>HYPERLINK("https://www.boe.es/gazeta/dias/1805/11/01/pdfs/GMD-1805-88.pdf#page=3","Abrir facsímil")</f>
        <v>Abrir facsímil</v>
      </c>
      <c r="K2196" s="15" t="s">
        <v>22</v>
      </c>
    </row>
    <row r="2197" spans="1:11" ht="42" customHeight="1">
      <c r="A2197" s="4" t="s">
        <v>5404</v>
      </c>
      <c r="B2197" s="5" t="s">
        <v>5405</v>
      </c>
      <c r="C2197" s="5" t="s">
        <v>85</v>
      </c>
      <c r="D2197" s="5" t="s">
        <v>86</v>
      </c>
      <c r="E2197" s="5" t="s">
        <v>864</v>
      </c>
      <c r="F2197" s="9">
        <v>88</v>
      </c>
      <c r="G2197" s="9">
        <v>933</v>
      </c>
      <c r="H2197" s="5" t="s">
        <v>20</v>
      </c>
      <c r="I2197" s="5" t="s">
        <v>5410</v>
      </c>
      <c r="J2197" s="12" t="str">
        <f>HYPERLINK("https://www.boe.es/gazeta/dias/1805/11/01/pdfs/GMD-1805-88.pdf#page=5","Abrir facsímil")</f>
        <v>Abrir facsímil</v>
      </c>
      <c r="K2197" s="15" t="s">
        <v>22</v>
      </c>
    </row>
    <row r="2198" spans="1:11" ht="42" customHeight="1">
      <c r="A2198" s="4" t="s">
        <v>5404</v>
      </c>
      <c r="B2198" s="5" t="s">
        <v>5405</v>
      </c>
      <c r="C2198" s="5" t="s">
        <v>80</v>
      </c>
      <c r="D2198" s="5" t="s">
        <v>81</v>
      </c>
      <c r="E2198" s="5" t="s">
        <v>864</v>
      </c>
      <c r="F2198" s="9">
        <v>88</v>
      </c>
      <c r="G2198" s="9">
        <v>934</v>
      </c>
      <c r="H2198" s="5" t="s">
        <v>20</v>
      </c>
      <c r="I2198" s="5" t="s">
        <v>5411</v>
      </c>
      <c r="J2198" s="12" t="str">
        <f>HYPERLINK("https://www.boe.es/gazeta/dias/1805/11/01/pdfs/GMD-1805-88.pdf#page=6","Abrir facsímil")</f>
        <v>Abrir facsímil</v>
      </c>
      <c r="K2198" s="15" t="s">
        <v>22</v>
      </c>
    </row>
    <row r="2199" spans="1:11" ht="42" customHeight="1">
      <c r="A2199" s="4" t="s">
        <v>5404</v>
      </c>
      <c r="B2199" s="5" t="s">
        <v>5405</v>
      </c>
      <c r="C2199" s="5" t="s">
        <v>80</v>
      </c>
      <c r="D2199" s="5" t="s">
        <v>81</v>
      </c>
      <c r="E2199" s="5" t="s">
        <v>864</v>
      </c>
      <c r="F2199" s="9">
        <v>88</v>
      </c>
      <c r="G2199" s="9">
        <v>935</v>
      </c>
      <c r="H2199" s="5" t="s">
        <v>20</v>
      </c>
      <c r="I2199" s="5" t="s">
        <v>5412</v>
      </c>
      <c r="J2199" s="12" t="str">
        <f>HYPERLINK("https://www.boe.es/gazeta/dias/1805/11/01/pdfs/GMD-1805-88.pdf#page=7","Abrir facsímil")</f>
        <v>Abrir facsímil</v>
      </c>
      <c r="K2199" s="15" t="s">
        <v>22</v>
      </c>
    </row>
    <row r="2200" spans="1:11" ht="42" customHeight="1">
      <c r="A2200" s="4" t="s">
        <v>5404</v>
      </c>
      <c r="B2200" s="5" t="s">
        <v>5405</v>
      </c>
      <c r="C2200" s="5" t="s">
        <v>80</v>
      </c>
      <c r="D2200" s="5" t="s">
        <v>81</v>
      </c>
      <c r="E2200" s="5" t="s">
        <v>209</v>
      </c>
      <c r="F2200" s="9">
        <v>89</v>
      </c>
      <c r="G2200" s="9">
        <v>943</v>
      </c>
      <c r="H2200" s="5" t="s">
        <v>20</v>
      </c>
      <c r="I2200" s="5" t="s">
        <v>5413</v>
      </c>
      <c r="J2200" s="12" t="str">
        <f>HYPERLINK("https://www.boe.es/gazeta/dias/1805/11/05/pdfs/GMD-1805-89.pdf#page=3","Abrir facsímil")</f>
        <v>Abrir facsímil</v>
      </c>
      <c r="K2200" s="15" t="s">
        <v>22</v>
      </c>
    </row>
    <row r="2201" spans="1:11" ht="42" customHeight="1">
      <c r="A2201" s="4" t="s">
        <v>5404</v>
      </c>
      <c r="B2201" s="5" t="s">
        <v>5405</v>
      </c>
      <c r="C2201" s="5" t="s">
        <v>80</v>
      </c>
      <c r="D2201" s="5" t="s">
        <v>81</v>
      </c>
      <c r="E2201" s="5" t="s">
        <v>209</v>
      </c>
      <c r="F2201" s="9">
        <v>89</v>
      </c>
      <c r="G2201" s="9">
        <v>945</v>
      </c>
      <c r="H2201" s="5" t="s">
        <v>20</v>
      </c>
      <c r="I2201" s="5" t="s">
        <v>5414</v>
      </c>
      <c r="J2201" s="12" t="str">
        <f>HYPERLINK("https://www.boe.es/gazeta/dias/1805/11/05/pdfs/GMD-1805-89.pdf#page=5","Abrir facsímil")</f>
        <v>Abrir facsímil</v>
      </c>
      <c r="K2201" s="15" t="s">
        <v>22</v>
      </c>
    </row>
    <row r="2202" spans="1:11" ht="42" customHeight="1">
      <c r="A2202" s="4" t="s">
        <v>5404</v>
      </c>
      <c r="B2202" s="5" t="s">
        <v>5405</v>
      </c>
      <c r="C2202" s="5" t="s">
        <v>80</v>
      </c>
      <c r="D2202" s="5" t="s">
        <v>81</v>
      </c>
      <c r="E2202" s="5" t="s">
        <v>209</v>
      </c>
      <c r="F2202" s="9">
        <v>89</v>
      </c>
      <c r="G2202" s="9">
        <v>946</v>
      </c>
      <c r="H2202" s="5" t="s">
        <v>20</v>
      </c>
      <c r="I2202" s="5" t="s">
        <v>5415</v>
      </c>
      <c r="J2202" s="12" t="str">
        <f>HYPERLINK("https://www.boe.es/gazeta/dias/1805/11/05/pdfs/GMD-1805-89.pdf#page=6","Abrir facsímil")</f>
        <v>Abrir facsímil</v>
      </c>
      <c r="K2202" s="15" t="s">
        <v>22</v>
      </c>
    </row>
    <row r="2203" spans="1:11" ht="42" customHeight="1">
      <c r="A2203" s="4" t="s">
        <v>5404</v>
      </c>
      <c r="B2203" s="5" t="s">
        <v>5405</v>
      </c>
      <c r="C2203" s="5" t="s">
        <v>80</v>
      </c>
      <c r="D2203" s="5" t="s">
        <v>81</v>
      </c>
      <c r="E2203" s="5" t="s">
        <v>209</v>
      </c>
      <c r="F2203" s="9">
        <v>89</v>
      </c>
      <c r="G2203" s="9">
        <v>947</v>
      </c>
      <c r="H2203" s="5" t="s">
        <v>20</v>
      </c>
      <c r="I2203" s="5" t="s">
        <v>5416</v>
      </c>
      <c r="J2203" s="12" t="str">
        <f>HYPERLINK("https://www.boe.es/gazeta/dias/1805/11/05/pdfs/GMD-1805-89.pdf#page=7","Abrir facsímil")</f>
        <v>Abrir facsímil</v>
      </c>
      <c r="K2203" s="15" t="s">
        <v>22</v>
      </c>
    </row>
    <row r="2204" spans="1:11" ht="42" customHeight="1">
      <c r="A2204" s="4" t="s">
        <v>5404</v>
      </c>
      <c r="B2204" s="5" t="s">
        <v>5405</v>
      </c>
      <c r="C2204" s="5" t="s">
        <v>80</v>
      </c>
      <c r="D2204" s="5" t="s">
        <v>81</v>
      </c>
      <c r="E2204" s="5" t="s">
        <v>209</v>
      </c>
      <c r="F2204" s="9">
        <v>89</v>
      </c>
      <c r="G2204" s="9">
        <v>948</v>
      </c>
      <c r="H2204" s="5" t="s">
        <v>20</v>
      </c>
      <c r="I2204" s="5" t="s">
        <v>5417</v>
      </c>
      <c r="J2204" s="12" t="str">
        <f>HYPERLINK("https://www.boe.es/gazeta/dias/1805/11/05/pdfs/GMD-1805-89.pdf#page=8","Abrir facsímil")</f>
        <v>Abrir facsímil</v>
      </c>
      <c r="K2204" s="15" t="s">
        <v>22</v>
      </c>
    </row>
    <row r="2205" spans="1:11" ht="42" customHeight="1">
      <c r="A2205" s="4" t="s">
        <v>5404</v>
      </c>
      <c r="B2205" s="5" t="s">
        <v>5405</v>
      </c>
      <c r="C2205" s="5" t="s">
        <v>80</v>
      </c>
      <c r="D2205" s="5" t="s">
        <v>81</v>
      </c>
      <c r="E2205" s="5" t="s">
        <v>209</v>
      </c>
      <c r="F2205" s="9">
        <v>89</v>
      </c>
      <c r="G2205" s="9">
        <v>950</v>
      </c>
      <c r="H2205" s="5" t="s">
        <v>20</v>
      </c>
      <c r="I2205" s="5" t="s">
        <v>5418</v>
      </c>
      <c r="J2205" s="12" t="str">
        <f>HYPERLINK("https://www.boe.es/gazeta/dias/1805/11/05/pdfs/GMD-1805-89.pdf#page=10","Abrir facsímil")</f>
        <v>Abrir facsímil</v>
      </c>
      <c r="K2205" s="15" t="s">
        <v>22</v>
      </c>
    </row>
    <row r="2206" spans="1:11" ht="42" customHeight="1">
      <c r="A2206" s="4" t="s">
        <v>5404</v>
      </c>
      <c r="B2206" s="5" t="s">
        <v>5405</v>
      </c>
      <c r="C2206" s="5" t="s">
        <v>35</v>
      </c>
      <c r="D2206" s="5" t="s">
        <v>36</v>
      </c>
      <c r="E2206" s="5" t="s">
        <v>209</v>
      </c>
      <c r="F2206" s="9">
        <v>89</v>
      </c>
      <c r="G2206" s="9">
        <v>951</v>
      </c>
      <c r="H2206" s="5" t="s">
        <v>20</v>
      </c>
      <c r="I2206" s="5" t="s">
        <v>5419</v>
      </c>
      <c r="J2206" s="12" t="str">
        <f>HYPERLINK("https://www.boe.es/gazeta/dias/1805/11/05/pdfs/GMD-1805-89.pdf#page=11","Abrir facsímil")</f>
        <v>Abrir facsímil</v>
      </c>
      <c r="K2206" s="15" t="s">
        <v>22</v>
      </c>
    </row>
    <row r="2207" spans="1:11" ht="42" customHeight="1">
      <c r="A2207" s="4" t="s">
        <v>5404</v>
      </c>
      <c r="B2207" s="5" t="s">
        <v>5405</v>
      </c>
      <c r="C2207" s="5" t="s">
        <v>80</v>
      </c>
      <c r="D2207" s="5" t="s">
        <v>81</v>
      </c>
      <c r="E2207" s="5" t="s">
        <v>200</v>
      </c>
      <c r="F2207" s="9">
        <v>91</v>
      </c>
      <c r="G2207" s="9">
        <v>974</v>
      </c>
      <c r="H2207" s="5" t="s">
        <v>20</v>
      </c>
      <c r="I2207" s="5" t="s">
        <v>5420</v>
      </c>
      <c r="J2207" s="12" t="str">
        <f>HYPERLINK("https://www.boe.es/gazeta/dias/1805/11/12/pdfs/GMD-1805-91.pdf#page=6","Abrir facsímil")</f>
        <v>Abrir facsímil</v>
      </c>
      <c r="K2207" s="15" t="s">
        <v>22</v>
      </c>
    </row>
    <row r="2208" spans="1:11" ht="42" customHeight="1">
      <c r="A2208" s="4" t="s">
        <v>5404</v>
      </c>
      <c r="B2208" s="5" t="s">
        <v>5405</v>
      </c>
      <c r="C2208" s="5" t="s">
        <v>35</v>
      </c>
      <c r="D2208" s="5" t="s">
        <v>36</v>
      </c>
      <c r="E2208" s="5" t="s">
        <v>817</v>
      </c>
      <c r="F2208" s="9">
        <v>92</v>
      </c>
      <c r="G2208" s="9">
        <v>987</v>
      </c>
      <c r="H2208" s="5" t="s">
        <v>20</v>
      </c>
      <c r="I2208" s="5" t="s">
        <v>5421</v>
      </c>
      <c r="J2208" s="12" t="str">
        <f>HYPERLINK("https://www.boe.es/gazeta/dias/1805/11/15/pdfs/GMD-1805-92.pdf#page=7","Abrir facsímil")</f>
        <v>Abrir facsímil</v>
      </c>
      <c r="K2208" s="15" t="s">
        <v>22</v>
      </c>
    </row>
    <row r="2209" spans="1:11" ht="42" customHeight="1">
      <c r="A2209" s="4" t="s">
        <v>5404</v>
      </c>
      <c r="B2209" s="5" t="s">
        <v>5405</v>
      </c>
      <c r="C2209" s="5" t="s">
        <v>80</v>
      </c>
      <c r="D2209" s="5" t="s">
        <v>81</v>
      </c>
      <c r="E2209" s="5" t="s">
        <v>787</v>
      </c>
      <c r="F2209" s="9">
        <v>95</v>
      </c>
      <c r="G2209" s="9">
        <v>1015</v>
      </c>
      <c r="H2209" s="5" t="s">
        <v>20</v>
      </c>
      <c r="I2209" s="5" t="s">
        <v>5422</v>
      </c>
      <c r="J2209" s="12" t="str">
        <f>HYPERLINK("https://www.boe.es/gazeta/dias/1805/11/26/pdfs/GMD-1805-95.pdf#page=3","Abrir facsímil")</f>
        <v>Abrir facsímil</v>
      </c>
      <c r="K2209" s="15" t="s">
        <v>22</v>
      </c>
    </row>
    <row r="2210" spans="1:11" ht="42" customHeight="1">
      <c r="A2210" s="4" t="s">
        <v>5404</v>
      </c>
      <c r="B2210" s="5" t="s">
        <v>5405</v>
      </c>
      <c r="C2210" s="5" t="s">
        <v>17</v>
      </c>
      <c r="D2210" s="5" t="s">
        <v>18</v>
      </c>
      <c r="E2210" s="5" t="s">
        <v>787</v>
      </c>
      <c r="F2210" s="9">
        <v>95</v>
      </c>
      <c r="G2210" s="9">
        <v>1016</v>
      </c>
      <c r="H2210" s="5" t="s">
        <v>20</v>
      </c>
      <c r="I2210" s="5" t="s">
        <v>5423</v>
      </c>
      <c r="J2210" s="12" t="str">
        <f>HYPERLINK("https://www.boe.es/gazeta/dias/1805/11/26/pdfs/GMD-1805-95.pdf#page=4","Abrir facsímil")</f>
        <v>Abrir facsímil</v>
      </c>
      <c r="K2210" s="15" t="s">
        <v>22</v>
      </c>
    </row>
    <row r="2211" spans="1:11" ht="42" customHeight="1">
      <c r="A2211" s="4" t="s">
        <v>5424</v>
      </c>
      <c r="B2211" s="5" t="s">
        <v>5425</v>
      </c>
      <c r="C2211" s="5" t="s">
        <v>35</v>
      </c>
      <c r="D2211" s="5" t="s">
        <v>36</v>
      </c>
      <c r="E2211" s="5" t="s">
        <v>141</v>
      </c>
      <c r="F2211" s="9">
        <v>82</v>
      </c>
      <c r="G2211" s="9">
        <v>870</v>
      </c>
      <c r="H2211" s="5" t="s">
        <v>20</v>
      </c>
      <c r="I2211" s="5" t="s">
        <v>5426</v>
      </c>
      <c r="J2211" s="12" t="str">
        <f>HYPERLINK("https://www.boe.es/gazeta/dias/1805/10/11/pdfs/GMD-1805-82.pdf#page=10","Abrir facsímil")</f>
        <v>Abrir facsímil</v>
      </c>
      <c r="K2211" s="15" t="s">
        <v>22</v>
      </c>
    </row>
    <row r="2212" spans="1:11" ht="42" customHeight="1">
      <c r="A2212" s="4" t="s">
        <v>5427</v>
      </c>
      <c r="B2212" s="5" t="s">
        <v>5428</v>
      </c>
      <c r="C2212" s="5" t="s">
        <v>35</v>
      </c>
      <c r="D2212" s="5" t="s">
        <v>36</v>
      </c>
      <c r="E2212" s="5" t="s">
        <v>787</v>
      </c>
      <c r="F2212" s="9">
        <v>95</v>
      </c>
      <c r="G2212" s="9">
        <v>1021</v>
      </c>
      <c r="H2212" s="5" t="s">
        <v>20</v>
      </c>
      <c r="I2212" s="5" t="s">
        <v>5429</v>
      </c>
      <c r="J2212" s="12" t="str">
        <f>HYPERLINK("https://www.boe.es/gazeta/dias/1805/11/26/pdfs/GMD-1805-95.pdf#page=9","Abrir facsímil")</f>
        <v>Abrir facsímil</v>
      </c>
      <c r="K2212" s="15" t="s">
        <v>22</v>
      </c>
    </row>
    <row r="2213" spans="1:11" ht="42" customHeight="1">
      <c r="A2213" s="4" t="s">
        <v>5430</v>
      </c>
      <c r="B2213" s="5" t="s">
        <v>5431</v>
      </c>
      <c r="C2213" s="5" t="s">
        <v>17</v>
      </c>
      <c r="D2213" s="5" t="s">
        <v>18</v>
      </c>
      <c r="E2213" s="5" t="s">
        <v>76</v>
      </c>
      <c r="F2213" s="9">
        <v>66</v>
      </c>
      <c r="G2213" s="9">
        <v>707</v>
      </c>
      <c r="H2213" s="5" t="s">
        <v>20</v>
      </c>
      <c r="I2213" s="5" t="s">
        <v>5432</v>
      </c>
      <c r="J2213" s="12" t="str">
        <f>HYPERLINK("https://www.boe.es/gazeta/dias/1805/08/16/pdfs/GMD-1805-66.pdf#page=7","Abrir facsímil")</f>
        <v>Abrir facsímil</v>
      </c>
      <c r="K2213" s="15" t="s">
        <v>22</v>
      </c>
    </row>
    <row r="2214" spans="1:11" ht="42" customHeight="1">
      <c r="A2214" s="4" t="s">
        <v>5433</v>
      </c>
      <c r="B2214" s="5" t="s">
        <v>5434</v>
      </c>
      <c r="C2214" s="5" t="s">
        <v>17</v>
      </c>
      <c r="D2214" s="5" t="s">
        <v>18</v>
      </c>
      <c r="E2214" s="5" t="s">
        <v>1292</v>
      </c>
      <c r="F2214" s="9">
        <v>43</v>
      </c>
      <c r="G2214" s="9">
        <v>461</v>
      </c>
      <c r="H2214" s="5" t="s">
        <v>20</v>
      </c>
      <c r="I2214" s="5" t="s">
        <v>5435</v>
      </c>
      <c r="J2214" s="12" t="str">
        <f>HYPERLINK("https://www.boe.es/gazeta/dias/1805/05/28/pdfs/GMD-1805-43.pdf#page=5","Abrir facsímil")</f>
        <v>Abrir facsímil</v>
      </c>
      <c r="K2214" s="15" t="s">
        <v>22</v>
      </c>
    </row>
    <row r="2215" spans="1:11" ht="42" customHeight="1">
      <c r="A2215" s="4" t="s">
        <v>5436</v>
      </c>
      <c r="B2215" s="5" t="s">
        <v>5437</v>
      </c>
      <c r="C2215" s="5" t="s">
        <v>35</v>
      </c>
      <c r="D2215" s="5" t="s">
        <v>36</v>
      </c>
      <c r="E2215" s="5" t="s">
        <v>170</v>
      </c>
      <c r="F2215" s="9">
        <v>9</v>
      </c>
      <c r="G2215" s="9">
        <v>99</v>
      </c>
      <c r="H2215" s="5" t="s">
        <v>20</v>
      </c>
      <c r="I2215" s="5" t="s">
        <v>5438</v>
      </c>
      <c r="J2215" s="12" t="str">
        <f>HYPERLINK("https://www.boe.es/gazeta/dias/1805/01/29/pdfs/GMD-1805-9.pdf#page=7","Abrir facsímil")</f>
        <v>Abrir facsímil</v>
      </c>
      <c r="K2215" s="15" t="s">
        <v>22</v>
      </c>
    </row>
    <row r="2216" spans="1:11" ht="42" customHeight="1">
      <c r="A2216" s="4" t="s">
        <v>5439</v>
      </c>
      <c r="B2216" s="5" t="s">
        <v>5440</v>
      </c>
      <c r="C2216" s="5" t="s">
        <v>35</v>
      </c>
      <c r="D2216" s="5" t="s">
        <v>36</v>
      </c>
      <c r="E2216" s="5" t="s">
        <v>300</v>
      </c>
      <c r="F2216" s="9">
        <v>81</v>
      </c>
      <c r="G2216" s="9">
        <v>858</v>
      </c>
      <c r="H2216" s="5" t="s">
        <v>20</v>
      </c>
      <c r="I2216" s="5" t="s">
        <v>5441</v>
      </c>
      <c r="J2216" s="12" t="str">
        <f>HYPERLINK("https://www.boe.es/gazeta/dias/1805/10/08/pdfs/GMD-1805-81.pdf#page=6","Abrir facsímil")</f>
        <v>Abrir facsímil</v>
      </c>
      <c r="K2216" s="15" t="s">
        <v>22</v>
      </c>
    </row>
    <row r="2217" spans="1:11" ht="42" customHeight="1">
      <c r="A2217" s="4" t="s">
        <v>5442</v>
      </c>
      <c r="B2217" s="5" t="s">
        <v>5443</v>
      </c>
      <c r="C2217" s="5" t="s">
        <v>35</v>
      </c>
      <c r="D2217" s="5" t="s">
        <v>36</v>
      </c>
      <c r="E2217" s="5" t="s">
        <v>24</v>
      </c>
      <c r="F2217" s="9">
        <v>11</v>
      </c>
      <c r="G2217" s="9">
        <v>121</v>
      </c>
      <c r="H2217" s="5" t="s">
        <v>20</v>
      </c>
      <c r="I2217" s="5" t="s">
        <v>5444</v>
      </c>
      <c r="J2217" s="12" t="str">
        <f>HYPERLINK("https://www.boe.es/gazeta/dias/1805/02/05/pdfs/GMD-1805-11.pdf#page=9","Abrir facsímil")</f>
        <v>Abrir facsímil</v>
      </c>
      <c r="K2217" s="15" t="s">
        <v>22</v>
      </c>
    </row>
    <row r="2218" spans="1:11" ht="42" customHeight="1">
      <c r="A2218" s="4" t="s">
        <v>5442</v>
      </c>
      <c r="B2218" s="5" t="s">
        <v>5443</v>
      </c>
      <c r="C2218" s="5" t="s">
        <v>52</v>
      </c>
      <c r="D2218" s="5" t="s">
        <v>53</v>
      </c>
      <c r="E2218" s="5" t="s">
        <v>82</v>
      </c>
      <c r="F2218" s="9">
        <v>25</v>
      </c>
      <c r="G2218" s="9" t="s">
        <v>145</v>
      </c>
      <c r="H2218" s="5" t="s">
        <v>20</v>
      </c>
      <c r="I2218" s="5" t="s">
        <v>5445</v>
      </c>
      <c r="J2218" s="12" t="str">
        <f>HYPERLINK("https://www.boe.es/gazeta/dias/1805/03/26/pdfs/GMD-C-1805-25.pdf#page=2","Abrir facsímil")</f>
        <v>Abrir facsímil</v>
      </c>
      <c r="K2218" s="15" t="s">
        <v>22</v>
      </c>
    </row>
    <row r="2219" spans="1:11" ht="42" customHeight="1">
      <c r="A2219" s="4" t="s">
        <v>5446</v>
      </c>
      <c r="B2219" s="5" t="s">
        <v>5447</v>
      </c>
      <c r="C2219" s="5" t="s">
        <v>52</v>
      </c>
      <c r="D2219" s="5" t="s">
        <v>53</v>
      </c>
      <c r="E2219" s="5" t="s">
        <v>82</v>
      </c>
      <c r="F2219" s="9">
        <v>25</v>
      </c>
      <c r="G2219" s="9" t="s">
        <v>145</v>
      </c>
      <c r="H2219" s="5" t="s">
        <v>20</v>
      </c>
      <c r="I2219" s="5" t="s">
        <v>5448</v>
      </c>
      <c r="J2219" s="12" t="str">
        <f>HYPERLINK("https://www.boe.es/gazeta/dias/1805/03/26/pdfs/GMD-C-1805-25.pdf#page=2","Abrir facsímil")</f>
        <v>Abrir facsímil</v>
      </c>
      <c r="K2219" s="15" t="s">
        <v>22</v>
      </c>
    </row>
    <row r="2220" spans="1:11" ht="42" customHeight="1">
      <c r="A2220" s="4" t="s">
        <v>5449</v>
      </c>
      <c r="B2220" s="5" t="s">
        <v>5450</v>
      </c>
      <c r="C2220" s="5" t="s">
        <v>35</v>
      </c>
      <c r="D2220" s="5" t="s">
        <v>36</v>
      </c>
      <c r="E2220" s="5" t="s">
        <v>114</v>
      </c>
      <c r="F2220" s="9">
        <v>17</v>
      </c>
      <c r="G2220" s="9">
        <v>176</v>
      </c>
      <c r="H2220" s="5" t="s">
        <v>20</v>
      </c>
      <c r="I2220" s="5" t="s">
        <v>5451</v>
      </c>
      <c r="J2220" s="12" t="str">
        <f>HYPERLINK("https://www.boe.es/gazeta/dias/1805/02/26/pdfs/GMD-1805-17.pdf#page=8","Abrir facsímil")</f>
        <v>Abrir facsímil</v>
      </c>
      <c r="K2220" s="15" t="s">
        <v>22</v>
      </c>
    </row>
    <row r="2221" spans="1:11" ht="42" customHeight="1">
      <c r="A2221" s="4" t="s">
        <v>5449</v>
      </c>
      <c r="B2221" s="5" t="s">
        <v>5450</v>
      </c>
      <c r="C2221" s="5" t="s">
        <v>17</v>
      </c>
      <c r="D2221" s="5" t="s">
        <v>18</v>
      </c>
      <c r="E2221" s="5" t="s">
        <v>673</v>
      </c>
      <c r="F2221" s="9">
        <v>32</v>
      </c>
      <c r="G2221" s="9">
        <v>342</v>
      </c>
      <c r="H2221" s="5" t="s">
        <v>20</v>
      </c>
      <c r="I2221" s="5" t="s">
        <v>5452</v>
      </c>
      <c r="J2221" s="12" t="str">
        <f>HYPERLINK("https://www.boe.es/gazeta/dias/1805/04/19/pdfs/GMD-1805-32.pdf#page=6","Abrir facsímil")</f>
        <v>Abrir facsímil</v>
      </c>
      <c r="K2221" s="15" t="s">
        <v>22</v>
      </c>
    </row>
    <row r="2222" spans="1:11" ht="42" customHeight="1">
      <c r="A2222" s="4" t="s">
        <v>5449</v>
      </c>
      <c r="B2222" s="5" t="s">
        <v>5450</v>
      </c>
      <c r="C2222" s="5" t="s">
        <v>80</v>
      </c>
      <c r="D2222" s="5" t="s">
        <v>81</v>
      </c>
      <c r="E2222" s="5" t="s">
        <v>122</v>
      </c>
      <c r="F2222" s="9">
        <v>38</v>
      </c>
      <c r="G2222" s="9">
        <v>410</v>
      </c>
      <c r="H2222" s="5" t="s">
        <v>20</v>
      </c>
      <c r="I2222" s="5" t="s">
        <v>5453</v>
      </c>
      <c r="J2222" s="12" t="str">
        <f>HYPERLINK("https://www.boe.es/gazeta/dias/1805/05/10/pdfs/GMD-1805-38.pdf#page=6","Abrir facsímil")</f>
        <v>Abrir facsímil</v>
      </c>
      <c r="K2222" s="15" t="s">
        <v>22</v>
      </c>
    </row>
    <row r="2223" spans="1:11" ht="42" customHeight="1">
      <c r="A2223" s="4" t="s">
        <v>5454</v>
      </c>
      <c r="B2223" s="5" t="s">
        <v>5455</v>
      </c>
      <c r="C2223" s="5" t="s">
        <v>29</v>
      </c>
      <c r="D2223" s="5" t="s">
        <v>30</v>
      </c>
      <c r="E2223" s="5" t="s">
        <v>40</v>
      </c>
      <c r="F2223" s="9">
        <v>59</v>
      </c>
      <c r="G2223" s="9">
        <v>630</v>
      </c>
      <c r="H2223" s="5" t="s">
        <v>20</v>
      </c>
      <c r="I2223" s="5" t="s">
        <v>5456</v>
      </c>
      <c r="J2223" s="12" t="str">
        <f>HYPERLINK("https://www.boe.es/gazeta/dias/1805/07/23/pdfs/GMD-1805-59.pdf#page=6","Abrir facsímil")</f>
        <v>Abrir facsímil</v>
      </c>
      <c r="K2223" s="15" t="s">
        <v>22</v>
      </c>
    </row>
    <row r="2224" spans="1:11" ht="42" customHeight="1">
      <c r="A2224" s="4" t="s">
        <v>5457</v>
      </c>
      <c r="B2224" s="5" t="s">
        <v>5457</v>
      </c>
      <c r="C2224" s="5" t="s">
        <v>35</v>
      </c>
      <c r="D2224" s="5" t="s">
        <v>36</v>
      </c>
      <c r="E2224" s="5" t="s">
        <v>226</v>
      </c>
      <c r="F2224" s="9">
        <v>73</v>
      </c>
      <c r="G2224" s="9">
        <v>774</v>
      </c>
      <c r="H2224" s="5" t="s">
        <v>20</v>
      </c>
      <c r="I2224" s="5" t="s">
        <v>5458</v>
      </c>
      <c r="J2224" s="12" t="str">
        <f>HYPERLINK("https://www.boe.es/gazeta/dias/1805/09/10/pdfs/GMD-1805-73.pdf#page=6","Abrir facsímil")</f>
        <v>Abrir facsímil</v>
      </c>
      <c r="K2224" s="15" t="s">
        <v>22</v>
      </c>
    </row>
    <row r="2225" spans="1:11" ht="42" customHeight="1">
      <c r="A2225" s="4" t="s">
        <v>5459</v>
      </c>
      <c r="B2225" s="5" t="s">
        <v>5459</v>
      </c>
      <c r="C2225" s="5" t="s">
        <v>85</v>
      </c>
      <c r="D2225" s="5" t="s">
        <v>86</v>
      </c>
      <c r="E2225" s="5" t="s">
        <v>71</v>
      </c>
      <c r="F2225" s="9">
        <v>33</v>
      </c>
      <c r="G2225" s="9">
        <v>355</v>
      </c>
      <c r="H2225" s="5" t="s">
        <v>20</v>
      </c>
      <c r="I2225" s="5" t="s">
        <v>5460</v>
      </c>
      <c r="J2225" s="12" t="str">
        <f>HYPERLINK("https://www.boe.es/gazeta/dias/1805/04/23/pdfs/GMD-1805-33.pdf#page=11","Abrir facsímil")</f>
        <v>Abrir facsímil</v>
      </c>
      <c r="K2225" s="15" t="s">
        <v>22</v>
      </c>
    </row>
    <row r="2226" spans="1:11" ht="42" customHeight="1">
      <c r="A2226" s="4" t="s">
        <v>5461</v>
      </c>
      <c r="B2226" s="5" t="s">
        <v>5462</v>
      </c>
      <c r="C2226" s="5" t="s">
        <v>52</v>
      </c>
      <c r="D2226" s="5" t="s">
        <v>53</v>
      </c>
      <c r="E2226" s="5" t="s">
        <v>82</v>
      </c>
      <c r="F2226" s="9">
        <v>25</v>
      </c>
      <c r="G2226" s="9" t="s">
        <v>145</v>
      </c>
      <c r="H2226" s="5" t="s">
        <v>20</v>
      </c>
      <c r="I2226" s="5" t="s">
        <v>5463</v>
      </c>
      <c r="J2226" s="12" t="str">
        <f>HYPERLINK("https://www.boe.es/gazeta/dias/1805/03/26/pdfs/GMD-C-1805-25.pdf#page=2","Abrir facsímil")</f>
        <v>Abrir facsímil</v>
      </c>
      <c r="K2226" s="15" t="s">
        <v>22</v>
      </c>
    </row>
    <row r="2227" spans="1:11" ht="42" customHeight="1">
      <c r="A2227" s="4" t="s">
        <v>5464</v>
      </c>
      <c r="B2227" s="5" t="s">
        <v>5465</v>
      </c>
      <c r="C2227" s="5" t="s">
        <v>80</v>
      </c>
      <c r="D2227" s="5" t="s">
        <v>81</v>
      </c>
      <c r="E2227" s="5" t="s">
        <v>293</v>
      </c>
      <c r="F2227" s="9">
        <v>5</v>
      </c>
      <c r="G2227" s="9">
        <v>46</v>
      </c>
      <c r="H2227" s="5" t="s">
        <v>20</v>
      </c>
      <c r="I2227" s="5" t="s">
        <v>5466</v>
      </c>
      <c r="J2227" s="12" t="str">
        <f>HYPERLINK("https://www.boe.es/gazeta/dias/1805/01/15/pdfs/GMD-1805-5.pdf#page=2","Abrir facsímil")</f>
        <v>Abrir facsímil</v>
      </c>
      <c r="K2227" s="15" t="s">
        <v>22</v>
      </c>
    </row>
    <row r="2228" spans="1:11" ht="42" customHeight="1">
      <c r="A2228" s="4" t="s">
        <v>5464</v>
      </c>
      <c r="B2228" s="5" t="s">
        <v>5465</v>
      </c>
      <c r="C2228" s="5" t="s">
        <v>80</v>
      </c>
      <c r="D2228" s="5" t="s">
        <v>81</v>
      </c>
      <c r="E2228" s="5" t="s">
        <v>1494</v>
      </c>
      <c r="F2228" s="9">
        <v>31</v>
      </c>
      <c r="G2228" s="9">
        <v>329</v>
      </c>
      <c r="H2228" s="5" t="s">
        <v>20</v>
      </c>
      <c r="I2228" s="5" t="s">
        <v>5467</v>
      </c>
      <c r="J2228" s="12" t="str">
        <f>HYPERLINK("https://www.boe.es/gazeta/dias/1805/04/16/pdfs/GMD-1805-31.pdf#page=5","Abrir facsímil")</f>
        <v>Abrir facsímil</v>
      </c>
      <c r="K2228" s="15" t="s">
        <v>22</v>
      </c>
    </row>
    <row r="2229" spans="1:11" ht="42" customHeight="1">
      <c r="A2229" s="4" t="s">
        <v>5468</v>
      </c>
      <c r="B2229" s="5" t="s">
        <v>5468</v>
      </c>
      <c r="C2229" s="5" t="s">
        <v>35</v>
      </c>
      <c r="D2229" s="5" t="s">
        <v>36</v>
      </c>
      <c r="E2229" s="5" t="s">
        <v>19</v>
      </c>
      <c r="F2229" s="9">
        <v>86</v>
      </c>
      <c r="G2229" s="9">
        <v>910</v>
      </c>
      <c r="H2229" s="5" t="s">
        <v>20</v>
      </c>
      <c r="I2229" s="5" t="s">
        <v>5469</v>
      </c>
      <c r="J2229" s="12" t="str">
        <f>HYPERLINK("https://www.boe.es/gazeta/dias/1805/10/25/pdfs/GMD-1805-86.pdf#page=6","Abrir facsímil")</f>
        <v>Abrir facsímil</v>
      </c>
      <c r="K2229" s="15" t="s">
        <v>22</v>
      </c>
    </row>
    <row r="2230" spans="1:11" ht="42" customHeight="1">
      <c r="A2230" s="4" t="s">
        <v>5470</v>
      </c>
      <c r="B2230" s="5" t="s">
        <v>5471</v>
      </c>
      <c r="C2230" s="5" t="s">
        <v>80</v>
      </c>
      <c r="D2230" s="5" t="s">
        <v>81</v>
      </c>
      <c r="E2230" s="5" t="s">
        <v>886</v>
      </c>
      <c r="F2230" s="9">
        <v>93</v>
      </c>
      <c r="G2230" s="9">
        <v>994</v>
      </c>
      <c r="H2230" s="5" t="s">
        <v>20</v>
      </c>
      <c r="I2230" s="5" t="s">
        <v>5472</v>
      </c>
      <c r="J2230" s="12" t="str">
        <f>HYPERLINK("https://www.boe.es/gazeta/dias/1805/11/19/pdfs/GMD-1805-93.pdf#page=6","Abrir facsímil")</f>
        <v>Abrir facsímil</v>
      </c>
      <c r="K2230" s="15" t="s">
        <v>22</v>
      </c>
    </row>
    <row r="2231" spans="1:11" ht="42" customHeight="1">
      <c r="A2231" s="4" t="s">
        <v>5473</v>
      </c>
      <c r="B2231" s="5" t="s">
        <v>5474</v>
      </c>
      <c r="C2231" s="5" t="s">
        <v>80</v>
      </c>
      <c r="D2231" s="5" t="s">
        <v>81</v>
      </c>
      <c r="E2231" s="5" t="s">
        <v>148</v>
      </c>
      <c r="F2231" s="9">
        <v>50</v>
      </c>
      <c r="G2231" s="9">
        <v>536</v>
      </c>
      <c r="H2231" s="5" t="s">
        <v>20</v>
      </c>
      <c r="I2231" s="5" t="s">
        <v>5475</v>
      </c>
      <c r="J2231" s="12" t="str">
        <f>HYPERLINK("https://www.boe.es/gazeta/dias/1805/06/21/pdfs/GMD-1805-50.pdf#page=4","Abrir facsímil")</f>
        <v>Abrir facsímil</v>
      </c>
      <c r="K2231" s="15" t="s">
        <v>22</v>
      </c>
    </row>
    <row r="2232" spans="1:11" ht="42" customHeight="1">
      <c r="A2232" s="4" t="s">
        <v>5476</v>
      </c>
      <c r="B2232" s="5" t="s">
        <v>5477</v>
      </c>
      <c r="C2232" s="5" t="s">
        <v>35</v>
      </c>
      <c r="D2232" s="5" t="s">
        <v>36</v>
      </c>
      <c r="E2232" s="5" t="s">
        <v>365</v>
      </c>
      <c r="F2232" s="9">
        <v>3</v>
      </c>
      <c r="G2232" s="9">
        <v>29</v>
      </c>
      <c r="H2232" s="5" t="s">
        <v>20</v>
      </c>
      <c r="I2232" s="5" t="s">
        <v>5478</v>
      </c>
      <c r="J2232" s="12" t="str">
        <f>HYPERLINK("https://www.boe.es/gazeta/dias/1805/01/08/pdfs/GMD-1805-3.pdf#page=5","Abrir facsímil")</f>
        <v>Abrir facsímil</v>
      </c>
      <c r="K2232" s="15" t="s">
        <v>22</v>
      </c>
    </row>
    <row r="2233" spans="1:11" ht="42" customHeight="1">
      <c r="A2233" s="4" t="s">
        <v>5479</v>
      </c>
      <c r="B2233" s="5" t="s">
        <v>5480</v>
      </c>
      <c r="C2233" s="5" t="s">
        <v>17</v>
      </c>
      <c r="D2233" s="5" t="s">
        <v>18</v>
      </c>
      <c r="E2233" s="5" t="s">
        <v>506</v>
      </c>
      <c r="F2233" s="9">
        <v>80</v>
      </c>
      <c r="G2233" s="9">
        <v>848</v>
      </c>
      <c r="H2233" s="5" t="s">
        <v>20</v>
      </c>
      <c r="I2233" s="5" t="s">
        <v>5481</v>
      </c>
      <c r="J2233" s="12" t="str">
        <f>HYPERLINK("https://www.boe.es/gazeta/dias/1805/10/04/pdfs/GMD-1805-80.pdf#page=8","Abrir facsímil")</f>
        <v>Abrir facsímil</v>
      </c>
      <c r="K2233" s="15" t="s">
        <v>22</v>
      </c>
    </row>
    <row r="2234" spans="1:11" ht="42" customHeight="1">
      <c r="A2234" s="4" t="s">
        <v>5482</v>
      </c>
      <c r="B2234" s="5" t="s">
        <v>5483</v>
      </c>
      <c r="C2234" s="5" t="s">
        <v>17</v>
      </c>
      <c r="D2234" s="5" t="s">
        <v>18</v>
      </c>
      <c r="E2234" s="5" t="s">
        <v>958</v>
      </c>
      <c r="F2234" s="9">
        <v>58</v>
      </c>
      <c r="G2234" s="9">
        <v>621</v>
      </c>
      <c r="H2234" s="5" t="s">
        <v>20</v>
      </c>
      <c r="I2234" s="5" t="s">
        <v>5484</v>
      </c>
      <c r="J2234" s="12" t="str">
        <f>HYPERLINK("https://www.boe.es/gazeta/dias/1805/07/19/pdfs/GMD-1805-58.pdf#page=5","Abrir facsímil")</f>
        <v>Abrir facsímil</v>
      </c>
      <c r="K2234" s="15" t="s">
        <v>22</v>
      </c>
    </row>
    <row r="2235" spans="1:11" ht="42" customHeight="1">
      <c r="A2235" s="4" t="s">
        <v>5485</v>
      </c>
      <c r="B2235" s="5" t="s">
        <v>5485</v>
      </c>
      <c r="C2235" s="5" t="s">
        <v>35</v>
      </c>
      <c r="D2235" s="5" t="s">
        <v>36</v>
      </c>
      <c r="E2235" s="5" t="s">
        <v>904</v>
      </c>
      <c r="F2235" s="9">
        <v>47</v>
      </c>
      <c r="G2235" s="9">
        <v>512</v>
      </c>
      <c r="H2235" s="5" t="s">
        <v>20</v>
      </c>
      <c r="I2235" s="5" t="s">
        <v>5486</v>
      </c>
      <c r="J2235" s="12" t="str">
        <f>HYPERLINK("https://www.boe.es/gazeta/dias/1805/06/11/pdfs/GMD-1805-47.pdf#page=12","Abrir facsímil")</f>
        <v>Abrir facsímil</v>
      </c>
      <c r="K2235" s="15" t="s">
        <v>22</v>
      </c>
    </row>
    <row r="2236" spans="1:11" ht="42" customHeight="1">
      <c r="A2236" s="4" t="s">
        <v>5487</v>
      </c>
      <c r="B2236" s="5" t="s">
        <v>5488</v>
      </c>
      <c r="C2236" s="5" t="s">
        <v>35</v>
      </c>
      <c r="D2236" s="5" t="s">
        <v>36</v>
      </c>
      <c r="E2236" s="5" t="s">
        <v>19</v>
      </c>
      <c r="F2236" s="9">
        <v>86</v>
      </c>
      <c r="G2236" s="9">
        <v>914</v>
      </c>
      <c r="H2236" s="5" t="s">
        <v>20</v>
      </c>
      <c r="I2236" s="5" t="s">
        <v>5489</v>
      </c>
      <c r="J2236" s="12" t="str">
        <f>HYPERLINK("https://www.boe.es/gazeta/dias/1805/10/25/pdfs/GMD-1805-86.pdf#page=10","Abrir facsímil")</f>
        <v>Abrir facsímil</v>
      </c>
      <c r="K2236" s="15" t="s">
        <v>22</v>
      </c>
    </row>
    <row r="2237" spans="1:11" ht="42" customHeight="1">
      <c r="A2237" s="4" t="s">
        <v>5490</v>
      </c>
      <c r="B2237" s="5" t="s">
        <v>5491</v>
      </c>
      <c r="C2237" s="5" t="s">
        <v>35</v>
      </c>
      <c r="D2237" s="5" t="s">
        <v>36</v>
      </c>
      <c r="E2237" s="5" t="s">
        <v>19</v>
      </c>
      <c r="F2237" s="9">
        <v>86</v>
      </c>
      <c r="G2237" s="9">
        <v>914</v>
      </c>
      <c r="H2237" s="5" t="s">
        <v>20</v>
      </c>
      <c r="I2237" s="5" t="s">
        <v>5492</v>
      </c>
      <c r="J2237" s="12" t="str">
        <f>HYPERLINK("https://www.boe.es/gazeta/dias/1805/10/25/pdfs/GMD-1805-86.pdf#page=10","Abrir facsímil")</f>
        <v>Abrir facsímil</v>
      </c>
      <c r="K2237" s="15" t="s">
        <v>22</v>
      </c>
    </row>
    <row r="2238" spans="1:11" ht="42" customHeight="1">
      <c r="A2238" s="4" t="s">
        <v>5493</v>
      </c>
      <c r="B2238" s="5" t="s">
        <v>5494</v>
      </c>
      <c r="C2238" s="5" t="s">
        <v>35</v>
      </c>
      <c r="D2238" s="5" t="s">
        <v>36</v>
      </c>
      <c r="E2238" s="5" t="s">
        <v>335</v>
      </c>
      <c r="F2238" s="9">
        <v>79</v>
      </c>
      <c r="G2238" s="9">
        <v>838</v>
      </c>
      <c r="H2238" s="5" t="s">
        <v>20</v>
      </c>
      <c r="I2238" s="5" t="s">
        <v>5495</v>
      </c>
      <c r="J2238" s="12" t="str">
        <f>HYPERLINK("https://www.boe.es/gazeta/dias/1805/10/01/pdfs/GMD-1805-79.pdf#page=10","Abrir facsímil")</f>
        <v>Abrir facsímil</v>
      </c>
      <c r="K2238" s="15" t="s">
        <v>22</v>
      </c>
    </row>
    <row r="2239" spans="1:11" ht="42" customHeight="1">
      <c r="A2239" s="4" t="s">
        <v>5496</v>
      </c>
      <c r="B2239" s="5" t="s">
        <v>5497</v>
      </c>
      <c r="C2239" s="5" t="s">
        <v>35</v>
      </c>
      <c r="D2239" s="5" t="s">
        <v>36</v>
      </c>
      <c r="E2239" s="5" t="s">
        <v>114</v>
      </c>
      <c r="F2239" s="9">
        <v>17</v>
      </c>
      <c r="G2239" s="9">
        <v>177</v>
      </c>
      <c r="H2239" s="5" t="s">
        <v>20</v>
      </c>
      <c r="I2239" s="5" t="s">
        <v>5498</v>
      </c>
      <c r="J2239" s="12" t="str">
        <f>HYPERLINK("https://www.boe.es/gazeta/dias/1805/02/26/pdfs/GMD-1805-17.pdf#page=9","Abrir facsímil")</f>
        <v>Abrir facsímil</v>
      </c>
      <c r="K2239" s="15" t="s">
        <v>22</v>
      </c>
    </row>
    <row r="2240" spans="1:11" ht="42" customHeight="1">
      <c r="A2240" s="4" t="s">
        <v>5499</v>
      </c>
      <c r="B2240" s="5" t="s">
        <v>5499</v>
      </c>
      <c r="C2240" s="5" t="s">
        <v>17</v>
      </c>
      <c r="D2240" s="5" t="s">
        <v>18</v>
      </c>
      <c r="E2240" s="5" t="s">
        <v>112</v>
      </c>
      <c r="F2240" s="9">
        <v>16</v>
      </c>
      <c r="G2240" s="9">
        <v>165</v>
      </c>
      <c r="H2240" s="5" t="s">
        <v>20</v>
      </c>
      <c r="I2240" s="5" t="s">
        <v>5500</v>
      </c>
      <c r="J2240" s="12" t="str">
        <f>HYPERLINK("https://www.boe.es/gazeta/dias/1805/02/22/pdfs/GMD-1805-16.pdf#page=5","Abrir facsímil")</f>
        <v>Abrir facsímil</v>
      </c>
      <c r="K2240" s="15" t="s">
        <v>22</v>
      </c>
    </row>
    <row r="2241" spans="1:11" ht="42" customHeight="1">
      <c r="A2241" s="4" t="s">
        <v>5501</v>
      </c>
      <c r="B2241" s="5" t="s">
        <v>5502</v>
      </c>
      <c r="C2241" s="5" t="s">
        <v>35</v>
      </c>
      <c r="D2241" s="5" t="s">
        <v>36</v>
      </c>
      <c r="E2241" s="5" t="s">
        <v>539</v>
      </c>
      <c r="F2241" s="9">
        <v>97</v>
      </c>
      <c r="G2241" s="9">
        <v>1043</v>
      </c>
      <c r="H2241" s="5" t="s">
        <v>20</v>
      </c>
      <c r="I2241" s="5" t="s">
        <v>5503</v>
      </c>
      <c r="J2241" s="12" t="str">
        <f>HYPERLINK("https://www.boe.es/gazeta/dias/1805/12/03/pdfs/GMD-1805-97.pdf#page=7","Abrir facsímil")</f>
        <v>Abrir facsímil</v>
      </c>
      <c r="K2241" s="15" t="s">
        <v>22</v>
      </c>
    </row>
    <row r="2242" spans="1:11" ht="42" customHeight="1">
      <c r="A2242" s="4" t="s">
        <v>5504</v>
      </c>
      <c r="B2242" s="5" t="s">
        <v>5505</v>
      </c>
      <c r="C2242" s="5" t="s">
        <v>29</v>
      </c>
      <c r="D2242" s="5" t="s">
        <v>30</v>
      </c>
      <c r="E2242" s="5" t="s">
        <v>456</v>
      </c>
      <c r="F2242" s="9">
        <v>70</v>
      </c>
      <c r="G2242" s="9">
        <v>748</v>
      </c>
      <c r="H2242" s="5" t="s">
        <v>20</v>
      </c>
      <c r="I2242" s="5" t="s">
        <v>5506</v>
      </c>
      <c r="J2242" s="12" t="str">
        <f>HYPERLINK("https://www.boe.es/gazeta/dias/1805/08/30/pdfs/GMD-1805-70.pdf#page=8","Abrir facsímil")</f>
        <v>Abrir facsímil</v>
      </c>
      <c r="K2242" s="15" t="s">
        <v>22</v>
      </c>
    </row>
    <row r="2243" spans="1:11" ht="42" customHeight="1">
      <c r="A2243" s="4" t="s">
        <v>5507</v>
      </c>
      <c r="B2243" s="5" t="s">
        <v>5507</v>
      </c>
      <c r="C2243" s="5" t="s">
        <v>17</v>
      </c>
      <c r="D2243" s="5" t="s">
        <v>18</v>
      </c>
      <c r="E2243" s="5" t="s">
        <v>170</v>
      </c>
      <c r="F2243" s="9">
        <v>9</v>
      </c>
      <c r="G2243" s="9">
        <v>98</v>
      </c>
      <c r="H2243" s="5" t="s">
        <v>20</v>
      </c>
      <c r="I2243" s="5" t="s">
        <v>5508</v>
      </c>
      <c r="J2243" s="12" t="str">
        <f>HYPERLINK("https://www.boe.es/gazeta/dias/1805/01/29/pdfs/GMD-1805-9.pdf#page=6","Abrir facsímil")</f>
        <v>Abrir facsímil</v>
      </c>
      <c r="K2243" s="15" t="s">
        <v>22</v>
      </c>
    </row>
    <row r="2244" spans="1:11" ht="42" customHeight="1">
      <c r="A2244" s="4" t="s">
        <v>5509</v>
      </c>
      <c r="B2244" s="5" t="s">
        <v>5510</v>
      </c>
      <c r="C2244" s="5" t="s">
        <v>17</v>
      </c>
      <c r="D2244" s="5" t="s">
        <v>18</v>
      </c>
      <c r="E2244" s="5" t="s">
        <v>729</v>
      </c>
      <c r="F2244" s="9">
        <v>61</v>
      </c>
      <c r="G2244" s="9">
        <v>655</v>
      </c>
      <c r="H2244" s="5" t="s">
        <v>20</v>
      </c>
      <c r="I2244" s="5" t="s">
        <v>5511</v>
      </c>
      <c r="J2244" s="12" t="str">
        <f>HYPERLINK("https://www.boe.es/gazeta/dias/1805/07/30/pdfs/GMD-1805-61.pdf#page=7","Abrir facsímil")</f>
        <v>Abrir facsímil</v>
      </c>
      <c r="K2244" s="15" t="s">
        <v>22</v>
      </c>
    </row>
    <row r="2245" spans="1:11" ht="42" customHeight="1">
      <c r="A2245" s="4" t="s">
        <v>5512</v>
      </c>
      <c r="B2245" s="5" t="s">
        <v>5513</v>
      </c>
      <c r="C2245" s="5" t="s">
        <v>52</v>
      </c>
      <c r="D2245" s="5" t="s">
        <v>53</v>
      </c>
      <c r="E2245" s="5" t="s">
        <v>82</v>
      </c>
      <c r="F2245" s="9">
        <v>25</v>
      </c>
      <c r="G2245" s="9" t="s">
        <v>222</v>
      </c>
      <c r="H2245" s="5" t="s">
        <v>20</v>
      </c>
      <c r="I2245" s="5" t="s">
        <v>5514</v>
      </c>
      <c r="J2245" s="12" t="str">
        <f>HYPERLINK("https://www.boe.es/gazeta/dias/1805/03/26/pdfs/GMD-C-1805-25.pdf#page=1","Abrir facsímil")</f>
        <v>Abrir facsímil</v>
      </c>
      <c r="K2245" s="15" t="s">
        <v>22</v>
      </c>
    </row>
    <row r="2246" spans="1:11" ht="42" customHeight="1">
      <c r="A2246" s="4" t="s">
        <v>5515</v>
      </c>
      <c r="B2246" s="5" t="s">
        <v>5516</v>
      </c>
      <c r="C2246" s="5" t="s">
        <v>52</v>
      </c>
      <c r="D2246" s="5" t="s">
        <v>53</v>
      </c>
      <c r="E2246" s="5" t="s">
        <v>144</v>
      </c>
      <c r="F2246" s="9">
        <v>85</v>
      </c>
      <c r="G2246" s="9" t="s">
        <v>159</v>
      </c>
      <c r="H2246" s="5" t="s">
        <v>20</v>
      </c>
      <c r="I2246" s="5" t="s">
        <v>5517</v>
      </c>
      <c r="J2246" s="12" t="str">
        <f>HYPERLINK("https://www.boe.es/gazeta/dias/1805/10/22/pdfs/GMD-C-1805-85.pdf#page=3","Abrir facsímil")</f>
        <v>Abrir facsímil</v>
      </c>
      <c r="K2246" s="15" t="s">
        <v>22</v>
      </c>
    </row>
    <row r="2247" spans="1:11" ht="42" customHeight="1">
      <c r="A2247" s="4" t="s">
        <v>5518</v>
      </c>
      <c r="B2247" s="5" t="s">
        <v>5519</v>
      </c>
      <c r="C2247" s="5" t="s">
        <v>85</v>
      </c>
      <c r="D2247" s="5" t="s">
        <v>86</v>
      </c>
      <c r="E2247" s="5" t="s">
        <v>48</v>
      </c>
      <c r="F2247" s="9">
        <v>35</v>
      </c>
      <c r="G2247" s="9">
        <v>378</v>
      </c>
      <c r="H2247" s="5" t="s">
        <v>20</v>
      </c>
      <c r="I2247" s="5" t="s">
        <v>5520</v>
      </c>
      <c r="J2247" s="12" t="str">
        <f>HYPERLINK("https://www.boe.es/gazeta/dias/1805/04/30/pdfs/GMD-1805-35.pdf#page=10","Abrir facsímil")</f>
        <v>Abrir facsímil</v>
      </c>
      <c r="K2247" s="15" t="s">
        <v>22</v>
      </c>
    </row>
    <row r="2248" spans="1:11" ht="42" customHeight="1">
      <c r="A2248" s="4" t="s">
        <v>5521</v>
      </c>
      <c r="B2248" s="5" t="s">
        <v>5522</v>
      </c>
      <c r="C2248" s="5" t="s">
        <v>17</v>
      </c>
      <c r="D2248" s="5" t="s">
        <v>18</v>
      </c>
      <c r="E2248" s="5" t="s">
        <v>112</v>
      </c>
      <c r="F2248" s="9">
        <v>16</v>
      </c>
      <c r="G2248" s="9">
        <v>168</v>
      </c>
      <c r="H2248" s="5" t="s">
        <v>20</v>
      </c>
      <c r="I2248" s="5" t="s">
        <v>5523</v>
      </c>
      <c r="J2248" s="12" t="str">
        <f>HYPERLINK("https://www.boe.es/gazeta/dias/1805/02/22/pdfs/GMD-1805-16.pdf#page=8","Abrir facsímil")</f>
        <v>Abrir facsímil</v>
      </c>
      <c r="K2248" s="15" t="s">
        <v>22</v>
      </c>
    </row>
    <row r="2249" spans="1:11" ht="42" customHeight="1">
      <c r="A2249" s="4" t="s">
        <v>5524</v>
      </c>
      <c r="B2249" s="5" t="s">
        <v>5525</v>
      </c>
      <c r="C2249" s="5" t="s">
        <v>17</v>
      </c>
      <c r="D2249" s="5" t="s">
        <v>18</v>
      </c>
      <c r="E2249" s="5" t="s">
        <v>352</v>
      </c>
      <c r="F2249" s="9">
        <v>60</v>
      </c>
      <c r="G2249" s="9">
        <v>647</v>
      </c>
      <c r="H2249" s="5" t="s">
        <v>20</v>
      </c>
      <c r="I2249" s="5" t="s">
        <v>5526</v>
      </c>
      <c r="J2249" s="12" t="str">
        <f>HYPERLINK("https://www.boe.es/gazeta/dias/1805/07/26/pdfs/GMD-1805-60.pdf#page=11","Abrir facsímil")</f>
        <v>Abrir facsímil</v>
      </c>
      <c r="K2249" s="15" t="s">
        <v>22</v>
      </c>
    </row>
    <row r="2250" spans="1:11" ht="42" customHeight="1">
      <c r="A2250" s="4" t="s">
        <v>5527</v>
      </c>
      <c r="B2250" s="5" t="s">
        <v>5527</v>
      </c>
      <c r="C2250" s="5" t="s">
        <v>17</v>
      </c>
      <c r="D2250" s="5" t="s">
        <v>18</v>
      </c>
      <c r="E2250" s="5" t="s">
        <v>1471</v>
      </c>
      <c r="F2250" s="9">
        <v>34</v>
      </c>
      <c r="G2250" s="9">
        <v>359</v>
      </c>
      <c r="H2250" s="5" t="s">
        <v>20</v>
      </c>
      <c r="I2250" s="5" t="s">
        <v>5528</v>
      </c>
      <c r="J2250" s="12" t="str">
        <f>HYPERLINK("https://www.boe.es/gazeta/dias/1805/04/26/pdfs/GMD-1805-34.pdf#page=3","Abrir facsímil")</f>
        <v>Abrir facsímil</v>
      </c>
      <c r="K2250" s="15" t="s">
        <v>22</v>
      </c>
    </row>
    <row r="2251" spans="1:11" ht="42" customHeight="1">
      <c r="A2251" s="4" t="s">
        <v>5529</v>
      </c>
      <c r="B2251" s="5" t="s">
        <v>5530</v>
      </c>
      <c r="C2251" s="5" t="s">
        <v>17</v>
      </c>
      <c r="D2251" s="5" t="s">
        <v>18</v>
      </c>
      <c r="E2251" s="5" t="s">
        <v>135</v>
      </c>
      <c r="F2251" s="9">
        <v>71</v>
      </c>
      <c r="G2251" s="9">
        <v>756</v>
      </c>
      <c r="H2251" s="5" t="s">
        <v>20</v>
      </c>
      <c r="I2251" s="5" t="s">
        <v>5531</v>
      </c>
      <c r="J2251" s="12" t="str">
        <f>HYPERLINK("https://www.boe.es/gazeta/dias/1805/09/03/pdfs/GMD-1805-71.pdf#page=8","Abrir facsímil")</f>
        <v>Abrir facsímil</v>
      </c>
      <c r="K2251" s="15" t="s">
        <v>22</v>
      </c>
    </row>
    <row r="2252" spans="1:11" ht="42" customHeight="1">
      <c r="A2252" s="4" t="s">
        <v>5532</v>
      </c>
      <c r="B2252" s="5" t="s">
        <v>5533</v>
      </c>
      <c r="C2252" s="5" t="s">
        <v>35</v>
      </c>
      <c r="D2252" s="5" t="s">
        <v>36</v>
      </c>
      <c r="E2252" s="5" t="s">
        <v>163</v>
      </c>
      <c r="F2252" s="9">
        <v>77</v>
      </c>
      <c r="G2252" s="9">
        <v>817</v>
      </c>
      <c r="H2252" s="5" t="s">
        <v>20</v>
      </c>
      <c r="I2252" s="5" t="s">
        <v>5534</v>
      </c>
      <c r="J2252" s="12" t="str">
        <f>HYPERLINK("https://www.boe.es/gazeta/dias/1805/09/24/pdfs/GMD-1805-77.pdf#page=9","Abrir facsímil")</f>
        <v>Abrir facsímil</v>
      </c>
      <c r="K2252" s="15" t="s">
        <v>22</v>
      </c>
    </row>
    <row r="2253" spans="1:11" ht="42" customHeight="1">
      <c r="A2253" s="4" t="s">
        <v>5535</v>
      </c>
      <c r="B2253" s="5" t="s">
        <v>5535</v>
      </c>
      <c r="C2253" s="5" t="s">
        <v>80</v>
      </c>
      <c r="D2253" s="5" t="s">
        <v>81</v>
      </c>
      <c r="E2253" s="5" t="s">
        <v>1022</v>
      </c>
      <c r="F2253" s="9">
        <v>52</v>
      </c>
      <c r="G2253" s="9">
        <v>555</v>
      </c>
      <c r="H2253" s="5" t="s">
        <v>20</v>
      </c>
      <c r="I2253" s="5" t="s">
        <v>5536</v>
      </c>
      <c r="J2253" s="12" t="str">
        <f>HYPERLINK("https://www.boe.es/gazeta/dias/1805/06/28/pdfs/GMD-1805-52.pdf#page=3","Abrir facsímil")</f>
        <v>Abrir facsímil</v>
      </c>
      <c r="K2253" s="15" t="s">
        <v>22</v>
      </c>
    </row>
    <row r="2254" spans="1:11" ht="42" customHeight="1">
      <c r="A2254" s="4" t="s">
        <v>5537</v>
      </c>
      <c r="B2254" s="5" t="s">
        <v>5537</v>
      </c>
      <c r="C2254" s="5" t="s">
        <v>80</v>
      </c>
      <c r="D2254" s="5" t="s">
        <v>81</v>
      </c>
      <c r="E2254" s="5" t="s">
        <v>132</v>
      </c>
      <c r="F2254" s="9">
        <v>2</v>
      </c>
      <c r="G2254" s="9">
        <v>16</v>
      </c>
      <c r="H2254" s="5" t="s">
        <v>20</v>
      </c>
      <c r="I2254" s="5" t="s">
        <v>5538</v>
      </c>
      <c r="J2254" s="12" t="str">
        <f>HYPERLINK("https://www.boe.es/gazeta/dias/1805/01/04/pdfs/GMD-1805-2.pdf#page=4","Abrir facsímil")</f>
        <v>Abrir facsímil</v>
      </c>
      <c r="K2254" s="15" t="s">
        <v>22</v>
      </c>
    </row>
    <row r="2255" spans="1:11" ht="42" customHeight="1">
      <c r="A2255" s="4" t="s">
        <v>5537</v>
      </c>
      <c r="B2255" s="5" t="s">
        <v>5537</v>
      </c>
      <c r="C2255" s="5" t="s">
        <v>17</v>
      </c>
      <c r="D2255" s="5" t="s">
        <v>18</v>
      </c>
      <c r="E2255" s="5" t="s">
        <v>107</v>
      </c>
      <c r="F2255" s="9">
        <v>19</v>
      </c>
      <c r="G2255" s="9">
        <v>192</v>
      </c>
      <c r="H2255" s="5" t="s">
        <v>20</v>
      </c>
      <c r="I2255" s="5" t="s">
        <v>5539</v>
      </c>
      <c r="J2255" s="12" t="str">
        <f>HYPERLINK("https://www.boe.es/gazeta/dias/1805/03/05/pdfs/GMD-1805-19.pdf#page=4","Abrir facsímil")</f>
        <v>Abrir facsímil</v>
      </c>
      <c r="K2255" s="15" t="s">
        <v>22</v>
      </c>
    </row>
    <row r="2256" spans="1:11" ht="42" customHeight="1">
      <c r="A2256" s="4" t="s">
        <v>5537</v>
      </c>
      <c r="B2256" s="5" t="s">
        <v>5537</v>
      </c>
      <c r="C2256" s="5" t="s">
        <v>17</v>
      </c>
      <c r="D2256" s="5" t="s">
        <v>18</v>
      </c>
      <c r="E2256" s="5" t="s">
        <v>471</v>
      </c>
      <c r="F2256" s="9">
        <v>22</v>
      </c>
      <c r="G2256" s="9">
        <v>227</v>
      </c>
      <c r="H2256" s="5" t="s">
        <v>20</v>
      </c>
      <c r="I2256" s="5" t="s">
        <v>5540</v>
      </c>
      <c r="J2256" s="12" t="str">
        <f>HYPERLINK("https://www.boe.es/gazeta/dias/1805/03/15/pdfs/GMD-1805-22.pdf#page=3","Abrir facsímil")</f>
        <v>Abrir facsímil</v>
      </c>
      <c r="K2256" s="15" t="s">
        <v>22</v>
      </c>
    </row>
    <row r="2257" spans="1:11" ht="42" customHeight="1">
      <c r="A2257" s="4" t="s">
        <v>5537</v>
      </c>
      <c r="B2257" s="5" t="s">
        <v>5537</v>
      </c>
      <c r="C2257" s="5" t="s">
        <v>85</v>
      </c>
      <c r="D2257" s="5" t="s">
        <v>86</v>
      </c>
      <c r="E2257" s="5" t="s">
        <v>91</v>
      </c>
      <c r="F2257" s="9">
        <v>28</v>
      </c>
      <c r="G2257" s="9">
        <v>296</v>
      </c>
      <c r="H2257" s="5" t="s">
        <v>20</v>
      </c>
      <c r="I2257" s="5" t="s">
        <v>5541</v>
      </c>
      <c r="J2257" s="12" t="str">
        <f>HYPERLINK("https://www.boe.es/gazeta/dias/1805/04/05/pdfs/GMD-1805-28.pdf#page=4","Abrir facsímil")</f>
        <v>Abrir facsímil</v>
      </c>
      <c r="K2257" s="15" t="s">
        <v>22</v>
      </c>
    </row>
    <row r="2258" spans="1:11" ht="42" customHeight="1">
      <c r="A2258" s="4" t="s">
        <v>5537</v>
      </c>
      <c r="B2258" s="5" t="s">
        <v>5537</v>
      </c>
      <c r="C2258" s="5" t="s">
        <v>17</v>
      </c>
      <c r="D2258" s="5" t="s">
        <v>18</v>
      </c>
      <c r="E2258" s="5" t="s">
        <v>91</v>
      </c>
      <c r="F2258" s="9">
        <v>28</v>
      </c>
      <c r="G2258" s="9">
        <v>297</v>
      </c>
      <c r="H2258" s="5" t="s">
        <v>20</v>
      </c>
      <c r="I2258" s="5" t="s">
        <v>5542</v>
      </c>
      <c r="J2258" s="12" t="str">
        <f>HYPERLINK("https://www.boe.es/gazeta/dias/1805/04/05/pdfs/GMD-1805-28.pdf#page=5","Abrir facsímil")</f>
        <v>Abrir facsímil</v>
      </c>
      <c r="K2258" s="15" t="s">
        <v>22</v>
      </c>
    </row>
    <row r="2259" spans="1:11" ht="42" customHeight="1">
      <c r="A2259" s="4" t="s">
        <v>5537</v>
      </c>
      <c r="B2259" s="5" t="s">
        <v>5537</v>
      </c>
      <c r="C2259" s="5" t="s">
        <v>80</v>
      </c>
      <c r="D2259" s="5" t="s">
        <v>81</v>
      </c>
      <c r="E2259" s="5" t="s">
        <v>48</v>
      </c>
      <c r="F2259" s="9">
        <v>35</v>
      </c>
      <c r="G2259" s="9">
        <v>374</v>
      </c>
      <c r="H2259" s="5" t="s">
        <v>20</v>
      </c>
      <c r="I2259" s="5" t="s">
        <v>5543</v>
      </c>
      <c r="J2259" s="12" t="str">
        <f>HYPERLINK("https://www.boe.es/gazeta/dias/1805/04/30/pdfs/GMD-1805-35.pdf#page=6","Abrir facsímil")</f>
        <v>Abrir facsímil</v>
      </c>
      <c r="K2259" s="15" t="s">
        <v>22</v>
      </c>
    </row>
    <row r="2260" spans="1:11" ht="42" customHeight="1">
      <c r="A2260" s="4" t="s">
        <v>5537</v>
      </c>
      <c r="B2260" s="5" t="s">
        <v>5537</v>
      </c>
      <c r="C2260" s="5" t="s">
        <v>35</v>
      </c>
      <c r="D2260" s="5" t="s">
        <v>36</v>
      </c>
      <c r="E2260" s="5" t="s">
        <v>27</v>
      </c>
      <c r="F2260" s="9">
        <v>37</v>
      </c>
      <c r="G2260" s="9">
        <v>398</v>
      </c>
      <c r="H2260" s="5" t="s">
        <v>20</v>
      </c>
      <c r="I2260" s="5" t="s">
        <v>5544</v>
      </c>
      <c r="J2260" s="12" t="str">
        <f>HYPERLINK("https://www.boe.es/gazeta/dias/1805/05/07/pdfs/GMD-1805-37.pdf#page=6","Abrir facsímil")</f>
        <v>Abrir facsímil</v>
      </c>
      <c r="K2260" s="15" t="s">
        <v>22</v>
      </c>
    </row>
    <row r="2261" spans="1:11" ht="42" customHeight="1">
      <c r="A2261" s="4" t="s">
        <v>5537</v>
      </c>
      <c r="B2261" s="5" t="s">
        <v>5537</v>
      </c>
      <c r="C2261" s="5" t="s">
        <v>80</v>
      </c>
      <c r="D2261" s="5" t="s">
        <v>81</v>
      </c>
      <c r="E2261" s="5" t="s">
        <v>122</v>
      </c>
      <c r="F2261" s="9">
        <v>38</v>
      </c>
      <c r="G2261" s="9">
        <v>407</v>
      </c>
      <c r="H2261" s="5" t="s">
        <v>20</v>
      </c>
      <c r="I2261" s="5" t="s">
        <v>5545</v>
      </c>
      <c r="J2261" s="12" t="str">
        <f>HYPERLINK("https://www.boe.es/gazeta/dias/1805/05/10/pdfs/GMD-1805-38.pdf#page=3","Abrir facsímil")</f>
        <v>Abrir facsímil</v>
      </c>
      <c r="K2261" s="15" t="s">
        <v>22</v>
      </c>
    </row>
    <row r="2262" spans="1:11" ht="42" customHeight="1">
      <c r="A2262" s="4" t="s">
        <v>5537</v>
      </c>
      <c r="B2262" s="5" t="s">
        <v>5537</v>
      </c>
      <c r="C2262" s="5" t="s">
        <v>80</v>
      </c>
      <c r="D2262" s="5" t="s">
        <v>81</v>
      </c>
      <c r="E2262" s="5" t="s">
        <v>122</v>
      </c>
      <c r="F2262" s="9">
        <v>38</v>
      </c>
      <c r="G2262" s="9">
        <v>408</v>
      </c>
      <c r="H2262" s="5" t="s">
        <v>20</v>
      </c>
      <c r="I2262" s="5" t="s">
        <v>5546</v>
      </c>
      <c r="J2262" s="12" t="str">
        <f>HYPERLINK("https://www.boe.es/gazeta/dias/1805/05/10/pdfs/GMD-1805-38.pdf#page=4","Abrir facsímil")</f>
        <v>Abrir facsímil</v>
      </c>
      <c r="K2262" s="15" t="s">
        <v>22</v>
      </c>
    </row>
    <row r="2263" spans="1:11" ht="42" customHeight="1">
      <c r="A2263" s="4" t="s">
        <v>5537</v>
      </c>
      <c r="B2263" s="5" t="s">
        <v>5537</v>
      </c>
      <c r="C2263" s="5" t="s">
        <v>35</v>
      </c>
      <c r="D2263" s="5" t="s">
        <v>36</v>
      </c>
      <c r="E2263" s="5" t="s">
        <v>850</v>
      </c>
      <c r="F2263" s="9">
        <v>42</v>
      </c>
      <c r="G2263" s="9">
        <v>449</v>
      </c>
      <c r="H2263" s="5" t="s">
        <v>20</v>
      </c>
      <c r="I2263" s="5" t="s">
        <v>5547</v>
      </c>
      <c r="J2263" s="12" t="str">
        <f>HYPERLINK("https://www.boe.es/gazeta/dias/1805/05/24/pdfs/GMD-1805-42.pdf#page=5","Abrir facsímil")</f>
        <v>Abrir facsímil</v>
      </c>
      <c r="K2263" s="15" t="s">
        <v>22</v>
      </c>
    </row>
    <row r="2264" spans="1:11" ht="42" customHeight="1">
      <c r="A2264" s="4" t="s">
        <v>5537</v>
      </c>
      <c r="B2264" s="5" t="s">
        <v>5537</v>
      </c>
      <c r="C2264" s="5" t="s">
        <v>17</v>
      </c>
      <c r="D2264" s="5" t="s">
        <v>18</v>
      </c>
      <c r="E2264" s="5" t="s">
        <v>1292</v>
      </c>
      <c r="F2264" s="9">
        <v>43</v>
      </c>
      <c r="G2264" s="9">
        <v>459</v>
      </c>
      <c r="H2264" s="5" t="s">
        <v>20</v>
      </c>
      <c r="I2264" s="5" t="s">
        <v>5548</v>
      </c>
      <c r="J2264" s="12" t="str">
        <f>HYPERLINK("https://www.boe.es/gazeta/dias/1805/05/28/pdfs/GMD-1805-43.pdf#page=3","Abrir facsímil")</f>
        <v>Abrir facsímil</v>
      </c>
      <c r="K2264" s="15" t="s">
        <v>22</v>
      </c>
    </row>
    <row r="2265" spans="1:11" ht="42" customHeight="1">
      <c r="A2265" s="4" t="s">
        <v>5537</v>
      </c>
      <c r="B2265" s="5" t="s">
        <v>5537</v>
      </c>
      <c r="C2265" s="5" t="s">
        <v>80</v>
      </c>
      <c r="D2265" s="5" t="s">
        <v>81</v>
      </c>
      <c r="E2265" s="5" t="s">
        <v>733</v>
      </c>
      <c r="F2265" s="9">
        <v>45</v>
      </c>
      <c r="G2265" s="9">
        <v>480</v>
      </c>
      <c r="H2265" s="5" t="s">
        <v>20</v>
      </c>
      <c r="I2265" s="5" t="s">
        <v>5549</v>
      </c>
      <c r="J2265" s="12" t="str">
        <f>HYPERLINK("https://www.boe.es/gazeta/dias/1805/06/04/pdfs/GMD-1805-45.pdf#page=4","Abrir facsímil")</f>
        <v>Abrir facsímil</v>
      </c>
      <c r="K2265" s="15" t="s">
        <v>22</v>
      </c>
    </row>
    <row r="2266" spans="1:11" ht="42" customHeight="1">
      <c r="A2266" s="4" t="s">
        <v>5537</v>
      </c>
      <c r="B2266" s="5" t="s">
        <v>5537</v>
      </c>
      <c r="C2266" s="5" t="s">
        <v>80</v>
      </c>
      <c r="D2266" s="5" t="s">
        <v>81</v>
      </c>
      <c r="E2266" s="5" t="s">
        <v>904</v>
      </c>
      <c r="F2266" s="9">
        <v>47</v>
      </c>
      <c r="G2266" s="9">
        <v>504</v>
      </c>
      <c r="H2266" s="5" t="s">
        <v>20</v>
      </c>
      <c r="I2266" s="5" t="s">
        <v>5550</v>
      </c>
      <c r="J2266" s="12" t="str">
        <f>HYPERLINK("https://www.boe.es/gazeta/dias/1805/06/11/pdfs/GMD-1805-47.pdf#page=4","Abrir facsímil")</f>
        <v>Abrir facsímil</v>
      </c>
      <c r="K2266" s="15" t="s">
        <v>22</v>
      </c>
    </row>
    <row r="2267" spans="1:11" ht="42" customHeight="1">
      <c r="A2267" s="4" t="s">
        <v>5537</v>
      </c>
      <c r="B2267" s="5" t="s">
        <v>5537</v>
      </c>
      <c r="C2267" s="5" t="s">
        <v>80</v>
      </c>
      <c r="D2267" s="5" t="s">
        <v>81</v>
      </c>
      <c r="E2267" s="5" t="s">
        <v>904</v>
      </c>
      <c r="F2267" s="9">
        <v>47</v>
      </c>
      <c r="G2267" s="9">
        <v>505</v>
      </c>
      <c r="H2267" s="5" t="s">
        <v>20</v>
      </c>
      <c r="I2267" s="5" t="s">
        <v>5551</v>
      </c>
      <c r="J2267" s="12" t="str">
        <f>HYPERLINK("https://www.boe.es/gazeta/dias/1805/06/11/pdfs/GMD-1805-47.pdf#page=5","Abrir facsímil")</f>
        <v>Abrir facsímil</v>
      </c>
      <c r="K2267" s="15" t="s">
        <v>22</v>
      </c>
    </row>
    <row r="2268" spans="1:11" ht="42" customHeight="1">
      <c r="A2268" s="4" t="s">
        <v>5537</v>
      </c>
      <c r="B2268" s="5" t="s">
        <v>5537</v>
      </c>
      <c r="C2268" s="5" t="s">
        <v>80</v>
      </c>
      <c r="D2268" s="5" t="s">
        <v>81</v>
      </c>
      <c r="E2268" s="5" t="s">
        <v>148</v>
      </c>
      <c r="F2268" s="9">
        <v>50</v>
      </c>
      <c r="G2268" s="9">
        <v>537</v>
      </c>
      <c r="H2268" s="5" t="s">
        <v>20</v>
      </c>
      <c r="I2268" s="5" t="s">
        <v>5552</v>
      </c>
      <c r="J2268" s="12" t="str">
        <f>HYPERLINK("https://www.boe.es/gazeta/dias/1805/06/21/pdfs/GMD-1805-50.pdf#page=5","Abrir facsímil")</f>
        <v>Abrir facsímil</v>
      </c>
      <c r="K2268" s="15" t="s">
        <v>22</v>
      </c>
    </row>
    <row r="2269" spans="1:11" ht="42" customHeight="1">
      <c r="A2269" s="4" t="s">
        <v>5537</v>
      </c>
      <c r="B2269" s="5" t="s">
        <v>5537</v>
      </c>
      <c r="C2269" s="5" t="s">
        <v>80</v>
      </c>
      <c r="D2269" s="5" t="s">
        <v>81</v>
      </c>
      <c r="E2269" s="5" t="s">
        <v>276</v>
      </c>
      <c r="F2269" s="9">
        <v>51</v>
      </c>
      <c r="G2269" s="9">
        <v>547</v>
      </c>
      <c r="H2269" s="5" t="s">
        <v>20</v>
      </c>
      <c r="I2269" s="5" t="s">
        <v>5553</v>
      </c>
      <c r="J2269" s="12" t="str">
        <f>HYPERLINK("https://www.boe.es/gazeta/dias/1805/06/25/pdfs/GMD-1805-51.pdf#page=3","Abrir facsímil")</f>
        <v>Abrir facsímil</v>
      </c>
      <c r="K2269" s="15" t="s">
        <v>22</v>
      </c>
    </row>
    <row r="2270" spans="1:11" ht="42" customHeight="1">
      <c r="A2270" s="4" t="s">
        <v>5537</v>
      </c>
      <c r="B2270" s="5" t="s">
        <v>5537</v>
      </c>
      <c r="C2270" s="5" t="s">
        <v>17</v>
      </c>
      <c r="D2270" s="5" t="s">
        <v>18</v>
      </c>
      <c r="E2270" s="5" t="s">
        <v>352</v>
      </c>
      <c r="F2270" s="9">
        <v>60</v>
      </c>
      <c r="G2270" s="9">
        <v>642</v>
      </c>
      <c r="H2270" s="5" t="s">
        <v>20</v>
      </c>
      <c r="I2270" s="5" t="s">
        <v>5554</v>
      </c>
      <c r="J2270" s="12" t="str">
        <f>HYPERLINK("https://www.boe.es/gazeta/dias/1805/07/26/pdfs/GMD-1805-60.pdf#page=6","Abrir facsímil")</f>
        <v>Abrir facsímil</v>
      </c>
      <c r="K2270" s="15" t="s">
        <v>22</v>
      </c>
    </row>
    <row r="2271" spans="1:11" ht="42" customHeight="1">
      <c r="A2271" s="4" t="s">
        <v>5537</v>
      </c>
      <c r="B2271" s="5" t="s">
        <v>5537</v>
      </c>
      <c r="C2271" s="5" t="s">
        <v>80</v>
      </c>
      <c r="D2271" s="5" t="s">
        <v>81</v>
      </c>
      <c r="E2271" s="5" t="s">
        <v>729</v>
      </c>
      <c r="F2271" s="9">
        <v>61</v>
      </c>
      <c r="G2271" s="9">
        <v>651</v>
      </c>
      <c r="H2271" s="5" t="s">
        <v>20</v>
      </c>
      <c r="I2271" s="5" t="s">
        <v>5555</v>
      </c>
      <c r="J2271" s="12" t="str">
        <f>HYPERLINK("https://www.boe.es/gazeta/dias/1805/07/30/pdfs/GMD-1805-61.pdf#page=3","Abrir facsímil")</f>
        <v>Abrir facsímil</v>
      </c>
      <c r="K2271" s="15" t="s">
        <v>22</v>
      </c>
    </row>
    <row r="2272" spans="1:11" ht="42" customHeight="1">
      <c r="A2272" s="4" t="s">
        <v>5537</v>
      </c>
      <c r="B2272" s="5" t="s">
        <v>5537</v>
      </c>
      <c r="C2272" s="5" t="s">
        <v>35</v>
      </c>
      <c r="D2272" s="5" t="s">
        <v>36</v>
      </c>
      <c r="E2272" s="5" t="s">
        <v>729</v>
      </c>
      <c r="F2272" s="9">
        <v>61</v>
      </c>
      <c r="G2272" s="9">
        <v>652</v>
      </c>
      <c r="H2272" s="5" t="s">
        <v>20</v>
      </c>
      <c r="I2272" s="5" t="s">
        <v>5556</v>
      </c>
      <c r="J2272" s="12" t="str">
        <f>HYPERLINK("https://www.boe.es/gazeta/dias/1805/07/30/pdfs/GMD-1805-61.pdf#page=4","Abrir facsímil")</f>
        <v>Abrir facsímil</v>
      </c>
      <c r="K2272" s="15" t="s">
        <v>22</v>
      </c>
    </row>
    <row r="2273" spans="1:11" ht="42" customHeight="1">
      <c r="A2273" s="4" t="s">
        <v>5537</v>
      </c>
      <c r="B2273" s="5" t="s">
        <v>5537</v>
      </c>
      <c r="C2273" s="5" t="s">
        <v>80</v>
      </c>
      <c r="D2273" s="5" t="s">
        <v>81</v>
      </c>
      <c r="E2273" s="5" t="s">
        <v>831</v>
      </c>
      <c r="F2273" s="9">
        <v>62</v>
      </c>
      <c r="G2273" s="9">
        <v>659</v>
      </c>
      <c r="H2273" s="5" t="s">
        <v>20</v>
      </c>
      <c r="I2273" s="5" t="s">
        <v>5557</v>
      </c>
      <c r="J2273" s="12" t="str">
        <f>HYPERLINK("https://www.boe.es/gazeta/dias/1805/08/02/pdfs/GMD-1805-62.pdf#page=3","Abrir facsímil")</f>
        <v>Abrir facsímil</v>
      </c>
      <c r="K2273" s="15" t="s">
        <v>22</v>
      </c>
    </row>
    <row r="2274" spans="1:11" ht="42" customHeight="1">
      <c r="A2274" s="4" t="s">
        <v>5537</v>
      </c>
      <c r="B2274" s="5" t="s">
        <v>5537</v>
      </c>
      <c r="C2274" s="5" t="s">
        <v>80</v>
      </c>
      <c r="D2274" s="5" t="s">
        <v>81</v>
      </c>
      <c r="E2274" s="5" t="s">
        <v>711</v>
      </c>
      <c r="F2274" s="9">
        <v>63</v>
      </c>
      <c r="G2274" s="9">
        <v>668</v>
      </c>
      <c r="H2274" s="5" t="s">
        <v>20</v>
      </c>
      <c r="I2274" s="5" t="s">
        <v>5558</v>
      </c>
      <c r="J2274" s="12" t="str">
        <f>HYPERLINK("https://www.boe.es/gazeta/dias/1805/08/06/pdfs/GMD-1805-63.pdf#page=4","Abrir facsímil")</f>
        <v>Abrir facsímil</v>
      </c>
      <c r="K2274" s="15" t="s">
        <v>22</v>
      </c>
    </row>
    <row r="2275" spans="1:11" ht="42" customHeight="1">
      <c r="A2275" s="4" t="s">
        <v>5537</v>
      </c>
      <c r="B2275" s="5" t="s">
        <v>5537</v>
      </c>
      <c r="C2275" s="5" t="s">
        <v>35</v>
      </c>
      <c r="D2275" s="5" t="s">
        <v>36</v>
      </c>
      <c r="E2275" s="5" t="s">
        <v>669</v>
      </c>
      <c r="F2275" s="9">
        <v>84</v>
      </c>
      <c r="G2275" s="9">
        <v>888</v>
      </c>
      <c r="H2275" s="5" t="s">
        <v>20</v>
      </c>
      <c r="I2275" s="5" t="s">
        <v>5559</v>
      </c>
      <c r="J2275" s="12" t="str">
        <f>HYPERLINK("https://www.boe.es/gazeta/dias/1805/10/18/pdfs/GMD-1805-84.pdf#page=4","Abrir facsímil")</f>
        <v>Abrir facsímil</v>
      </c>
      <c r="K2275" s="15" t="s">
        <v>22</v>
      </c>
    </row>
    <row r="2276" spans="1:11" ht="42" customHeight="1">
      <c r="A2276" s="4" t="s">
        <v>5560</v>
      </c>
      <c r="B2276" s="5" t="s">
        <v>5561</v>
      </c>
      <c r="C2276" s="5" t="s">
        <v>17</v>
      </c>
      <c r="D2276" s="5" t="s">
        <v>18</v>
      </c>
      <c r="E2276" s="5" t="s">
        <v>1432</v>
      </c>
      <c r="F2276" s="9">
        <v>53</v>
      </c>
      <c r="G2276" s="9">
        <v>567</v>
      </c>
      <c r="H2276" s="5" t="s">
        <v>20</v>
      </c>
      <c r="I2276" s="5" t="s">
        <v>5562</v>
      </c>
      <c r="J2276" s="12" t="str">
        <f>HYPERLINK("https://www.boe.es/gazeta/dias/1805/07/02/pdfs/GMD-1805-53.pdf#page=3","Abrir facsímil")</f>
        <v>Abrir facsímil</v>
      </c>
      <c r="K2276" s="15" t="s">
        <v>22</v>
      </c>
    </row>
    <row r="2277" spans="1:11" ht="42" customHeight="1">
      <c r="A2277" s="4" t="s">
        <v>5563</v>
      </c>
      <c r="B2277" s="5" t="s">
        <v>5564</v>
      </c>
      <c r="C2277" s="5" t="s">
        <v>35</v>
      </c>
      <c r="D2277" s="5" t="s">
        <v>36</v>
      </c>
      <c r="E2277" s="5" t="s">
        <v>71</v>
      </c>
      <c r="F2277" s="9">
        <v>33</v>
      </c>
      <c r="G2277" s="9">
        <v>352</v>
      </c>
      <c r="H2277" s="5" t="s">
        <v>20</v>
      </c>
      <c r="I2277" s="5" t="s">
        <v>5565</v>
      </c>
      <c r="J2277" s="12" t="str">
        <f>HYPERLINK("https://www.boe.es/gazeta/dias/1805/04/23/pdfs/GMD-1805-33.pdf#page=8","Abrir facsímil")</f>
        <v>Abrir facsímil</v>
      </c>
      <c r="K2277" s="15" t="s">
        <v>22</v>
      </c>
    </row>
    <row r="2278" spans="1:11" ht="42" customHeight="1">
      <c r="A2278" s="4" t="s">
        <v>5566</v>
      </c>
      <c r="B2278" s="5" t="s">
        <v>5566</v>
      </c>
      <c r="C2278" s="5" t="s">
        <v>17</v>
      </c>
      <c r="D2278" s="5" t="s">
        <v>18</v>
      </c>
      <c r="E2278" s="5" t="s">
        <v>729</v>
      </c>
      <c r="F2278" s="9">
        <v>61</v>
      </c>
      <c r="G2278" s="9">
        <v>655</v>
      </c>
      <c r="H2278" s="5" t="s">
        <v>20</v>
      </c>
      <c r="I2278" s="5" t="s">
        <v>5567</v>
      </c>
      <c r="J2278" s="12" t="str">
        <f>HYPERLINK("https://www.boe.es/gazeta/dias/1805/07/30/pdfs/GMD-1805-61.pdf#page=7","Abrir facsímil")</f>
        <v>Abrir facsímil</v>
      </c>
      <c r="K2278" s="15" t="s">
        <v>22</v>
      </c>
    </row>
    <row r="2279" spans="1:11" ht="42" customHeight="1">
      <c r="A2279" s="4" t="s">
        <v>5568</v>
      </c>
      <c r="B2279" s="5" t="s">
        <v>5568</v>
      </c>
      <c r="C2279" s="5" t="s">
        <v>29</v>
      </c>
      <c r="D2279" s="5" t="s">
        <v>30</v>
      </c>
      <c r="E2279" s="5" t="s">
        <v>365</v>
      </c>
      <c r="F2279" s="9">
        <v>3</v>
      </c>
      <c r="G2279" s="9">
        <v>32</v>
      </c>
      <c r="H2279" s="5" t="s">
        <v>20</v>
      </c>
      <c r="I2279" s="5" t="s">
        <v>5569</v>
      </c>
      <c r="J2279" s="12" t="str">
        <f>HYPERLINK("https://www.boe.es/gazeta/dias/1805/01/08/pdfs/GMD-1805-3.pdf#page=8","Abrir facsímil")</f>
        <v>Abrir facsímil</v>
      </c>
      <c r="K2279" s="15" t="s">
        <v>22</v>
      </c>
    </row>
    <row r="2280" spans="1:11" ht="42" customHeight="1">
      <c r="A2280" s="4" t="s">
        <v>5570</v>
      </c>
      <c r="B2280" s="5" t="s">
        <v>5570</v>
      </c>
      <c r="C2280" s="5" t="s">
        <v>85</v>
      </c>
      <c r="D2280" s="5" t="s">
        <v>86</v>
      </c>
      <c r="E2280" s="5" t="s">
        <v>40</v>
      </c>
      <c r="F2280" s="9">
        <v>59</v>
      </c>
      <c r="G2280" s="9">
        <v>630</v>
      </c>
      <c r="H2280" s="5" t="s">
        <v>20</v>
      </c>
      <c r="I2280" s="5" t="s">
        <v>5571</v>
      </c>
      <c r="J2280" s="12" t="str">
        <f>HYPERLINK("https://www.boe.es/gazeta/dias/1805/07/23/pdfs/GMD-1805-59.pdf#page=6","Abrir facsímil")</f>
        <v>Abrir facsímil</v>
      </c>
      <c r="K2280" s="15" t="s">
        <v>22</v>
      </c>
    </row>
    <row r="2281" spans="1:11" ht="42" customHeight="1">
      <c r="A2281" s="4" t="s">
        <v>5572</v>
      </c>
      <c r="B2281" s="5" t="s">
        <v>5572</v>
      </c>
      <c r="C2281" s="5" t="s">
        <v>80</v>
      </c>
      <c r="D2281" s="5" t="s">
        <v>81</v>
      </c>
      <c r="E2281" s="5" t="s">
        <v>673</v>
      </c>
      <c r="F2281" s="9">
        <v>32</v>
      </c>
      <c r="G2281" s="9">
        <v>341</v>
      </c>
      <c r="H2281" s="5" t="s">
        <v>20</v>
      </c>
      <c r="I2281" s="5" t="s">
        <v>5573</v>
      </c>
      <c r="J2281" s="12" t="str">
        <f>HYPERLINK("https://www.boe.es/gazeta/dias/1805/04/19/pdfs/GMD-1805-32.pdf#page=5","Abrir facsímil")</f>
        <v>Abrir facsímil</v>
      </c>
      <c r="K2281" s="15" t="s">
        <v>22</v>
      </c>
    </row>
    <row r="2282" spans="1:11" ht="42" customHeight="1">
      <c r="A2282" s="4" t="s">
        <v>5574</v>
      </c>
      <c r="B2282" s="5" t="s">
        <v>5575</v>
      </c>
      <c r="C2282" s="5" t="s">
        <v>80</v>
      </c>
      <c r="D2282" s="5" t="s">
        <v>81</v>
      </c>
      <c r="E2282" s="5" t="s">
        <v>99</v>
      </c>
      <c r="F2282" s="9">
        <v>83</v>
      </c>
      <c r="G2282" s="9">
        <v>873</v>
      </c>
      <c r="H2282" s="5" t="s">
        <v>20</v>
      </c>
      <c r="I2282" s="5" t="s">
        <v>5576</v>
      </c>
      <c r="J2282" s="12" t="str">
        <f>HYPERLINK("https://www.boe.es/gazeta/dias/1805/10/15/pdfs/GMD-1805-83.pdf#page=1","Abrir facsímil")</f>
        <v>Abrir facsímil</v>
      </c>
      <c r="K2282" s="15" t="s">
        <v>22</v>
      </c>
    </row>
    <row r="2283" spans="1:11" ht="42" customHeight="1">
      <c r="A2283" s="4" t="s">
        <v>5574</v>
      </c>
      <c r="B2283" s="5" t="s">
        <v>5575</v>
      </c>
      <c r="C2283" s="5" t="s">
        <v>80</v>
      </c>
      <c r="D2283" s="5" t="s">
        <v>81</v>
      </c>
      <c r="E2283" s="5" t="s">
        <v>215</v>
      </c>
      <c r="F2283" s="9">
        <v>87</v>
      </c>
      <c r="G2283" s="9">
        <v>919</v>
      </c>
      <c r="H2283" s="5" t="s">
        <v>20</v>
      </c>
      <c r="I2283" s="5" t="s">
        <v>5577</v>
      </c>
      <c r="J2283" s="12" t="str">
        <f>HYPERLINK("https://www.boe.es/gazeta/dias/1805/10/29/pdfs/GMD-1805-87.pdf#page=3","Abrir facsímil")</f>
        <v>Abrir facsímil</v>
      </c>
      <c r="K2283" s="15" t="s">
        <v>22</v>
      </c>
    </row>
    <row r="2284" spans="1:11" ht="42" customHeight="1">
      <c r="A2284" s="4" t="s">
        <v>5578</v>
      </c>
      <c r="B2284" s="5" t="s">
        <v>5579</v>
      </c>
      <c r="C2284" s="5" t="s">
        <v>17</v>
      </c>
      <c r="D2284" s="5" t="s">
        <v>18</v>
      </c>
      <c r="E2284" s="5" t="s">
        <v>787</v>
      </c>
      <c r="F2284" s="9">
        <v>95</v>
      </c>
      <c r="G2284" s="9">
        <v>1016</v>
      </c>
      <c r="H2284" s="5" t="s">
        <v>20</v>
      </c>
      <c r="I2284" s="5" t="s">
        <v>5580</v>
      </c>
      <c r="J2284" s="12" t="str">
        <f>HYPERLINK("https://www.boe.es/gazeta/dias/1805/11/26/pdfs/GMD-1805-95.pdf#page=4","Abrir facsímil")</f>
        <v>Abrir facsímil</v>
      </c>
      <c r="K2284" s="15" t="s">
        <v>22</v>
      </c>
    </row>
    <row r="2285" spans="1:11" ht="42" customHeight="1">
      <c r="A2285" s="4" t="s">
        <v>5581</v>
      </c>
      <c r="B2285" s="5" t="s">
        <v>5582</v>
      </c>
      <c r="C2285" s="5" t="s">
        <v>17</v>
      </c>
      <c r="D2285" s="5" t="s">
        <v>18</v>
      </c>
      <c r="E2285" s="5" t="s">
        <v>24</v>
      </c>
      <c r="F2285" s="9">
        <v>11</v>
      </c>
      <c r="G2285" s="9">
        <v>117</v>
      </c>
      <c r="H2285" s="5" t="s">
        <v>20</v>
      </c>
      <c r="I2285" s="5" t="s">
        <v>5583</v>
      </c>
      <c r="J2285" s="12" t="str">
        <f>HYPERLINK("https://www.boe.es/gazeta/dias/1805/02/05/pdfs/GMD-1805-11.pdf#page=5","Abrir facsímil")</f>
        <v>Abrir facsímil</v>
      </c>
      <c r="K2285" s="15" t="s">
        <v>22</v>
      </c>
    </row>
    <row r="2286" spans="1:11" ht="42" customHeight="1">
      <c r="A2286" s="4" t="s">
        <v>5581</v>
      </c>
      <c r="B2286" s="5" t="s">
        <v>5582</v>
      </c>
      <c r="C2286" s="5" t="s">
        <v>17</v>
      </c>
      <c r="D2286" s="5" t="s">
        <v>18</v>
      </c>
      <c r="E2286" s="5" t="s">
        <v>112</v>
      </c>
      <c r="F2286" s="9">
        <v>16</v>
      </c>
      <c r="G2286" s="9">
        <v>164</v>
      </c>
      <c r="H2286" s="5" t="s">
        <v>20</v>
      </c>
      <c r="I2286" s="5" t="s">
        <v>5584</v>
      </c>
      <c r="J2286" s="12" t="str">
        <f>HYPERLINK("https://www.boe.es/gazeta/dias/1805/02/22/pdfs/GMD-1805-16.pdf#page=4","Abrir facsímil")</f>
        <v>Abrir facsímil</v>
      </c>
      <c r="K2286" s="15" t="s">
        <v>22</v>
      </c>
    </row>
    <row r="2287" spans="1:11" ht="42" customHeight="1">
      <c r="A2287" s="4" t="s">
        <v>5585</v>
      </c>
      <c r="B2287" s="5" t="s">
        <v>5586</v>
      </c>
      <c r="C2287" s="5" t="s">
        <v>80</v>
      </c>
      <c r="D2287" s="5" t="s">
        <v>81</v>
      </c>
      <c r="E2287" s="5" t="s">
        <v>192</v>
      </c>
      <c r="F2287" s="9">
        <v>105</v>
      </c>
      <c r="G2287" s="9">
        <v>1129</v>
      </c>
      <c r="H2287" s="5" t="s">
        <v>20</v>
      </c>
      <c r="I2287" s="5" t="s">
        <v>5587</v>
      </c>
      <c r="J2287" s="12" t="str">
        <f>HYPERLINK("https://www.boe.es/gazeta/dias/1805/12/31/pdfs/GMD-1805-105.pdf#page=1","Abrir facsímil")</f>
        <v>Abrir facsímil</v>
      </c>
      <c r="K2287" s="15" t="s">
        <v>22</v>
      </c>
    </row>
    <row r="2288" spans="1:11" ht="42" customHeight="1">
      <c r="A2288" s="4" t="s">
        <v>5588</v>
      </c>
      <c r="B2288" s="5" t="s">
        <v>5589</v>
      </c>
      <c r="C2288" s="5" t="s">
        <v>80</v>
      </c>
      <c r="D2288" s="5" t="s">
        <v>81</v>
      </c>
      <c r="E2288" s="5" t="s">
        <v>27</v>
      </c>
      <c r="F2288" s="9">
        <v>37</v>
      </c>
      <c r="G2288" s="9">
        <v>399</v>
      </c>
      <c r="H2288" s="5" t="s">
        <v>20</v>
      </c>
      <c r="I2288" s="5" t="s">
        <v>5590</v>
      </c>
      <c r="J2288" s="12" t="str">
        <f>HYPERLINK("https://www.boe.es/gazeta/dias/1805/05/07/pdfs/GMD-1805-37.pdf#page=7","Abrir facsímil")</f>
        <v>Abrir facsímil</v>
      </c>
      <c r="K2288" s="15" t="s">
        <v>22</v>
      </c>
    </row>
    <row r="2289" spans="1:11" ht="42" customHeight="1">
      <c r="A2289" s="4" t="s">
        <v>5588</v>
      </c>
      <c r="B2289" s="5" t="s">
        <v>5589</v>
      </c>
      <c r="C2289" s="5" t="s">
        <v>29</v>
      </c>
      <c r="D2289" s="5" t="s">
        <v>30</v>
      </c>
      <c r="E2289" s="5" t="s">
        <v>711</v>
      </c>
      <c r="F2289" s="9">
        <v>63</v>
      </c>
      <c r="G2289" s="9">
        <v>671</v>
      </c>
      <c r="H2289" s="5" t="s">
        <v>20</v>
      </c>
      <c r="I2289" s="5" t="s">
        <v>5591</v>
      </c>
      <c r="J2289" s="12" t="str">
        <f>HYPERLINK("https://www.boe.es/gazeta/dias/1805/08/06/pdfs/GMD-1805-63.pdf#page=7","Abrir facsímil")</f>
        <v>Abrir facsímil</v>
      </c>
      <c r="K2289" s="15" t="s">
        <v>22</v>
      </c>
    </row>
    <row r="2290" spans="1:11" ht="42" customHeight="1">
      <c r="A2290" s="4" t="s">
        <v>5588</v>
      </c>
      <c r="B2290" s="5" t="s">
        <v>5589</v>
      </c>
      <c r="C2290" s="5" t="s">
        <v>17</v>
      </c>
      <c r="D2290" s="5" t="s">
        <v>18</v>
      </c>
      <c r="E2290" s="5" t="s">
        <v>209</v>
      </c>
      <c r="F2290" s="9">
        <v>89</v>
      </c>
      <c r="G2290" s="9">
        <v>954</v>
      </c>
      <c r="H2290" s="5" t="s">
        <v>20</v>
      </c>
      <c r="I2290" s="5" t="s">
        <v>5592</v>
      </c>
      <c r="J2290" s="12" t="str">
        <f>HYPERLINK("https://www.boe.es/gazeta/dias/1805/11/05/pdfs/GMD-1805-89.pdf#page=14","Abrir facsímil")</f>
        <v>Abrir facsímil</v>
      </c>
      <c r="K2290" s="15" t="s">
        <v>22</v>
      </c>
    </row>
    <row r="2291" spans="1:11" ht="42" customHeight="1">
      <c r="A2291" s="4" t="s">
        <v>5588</v>
      </c>
      <c r="B2291" s="5" t="s">
        <v>5589</v>
      </c>
      <c r="C2291" s="5" t="s">
        <v>17</v>
      </c>
      <c r="D2291" s="5" t="s">
        <v>18</v>
      </c>
      <c r="E2291" s="5" t="s">
        <v>209</v>
      </c>
      <c r="F2291" s="9">
        <v>89</v>
      </c>
      <c r="G2291" s="9">
        <v>955</v>
      </c>
      <c r="H2291" s="5" t="s">
        <v>20</v>
      </c>
      <c r="I2291" s="5" t="s">
        <v>5593</v>
      </c>
      <c r="J2291" s="12" t="str">
        <f>HYPERLINK("https://www.boe.es/gazeta/dias/1805/11/05/pdfs/GMD-1805-89.pdf#page=15","Abrir facsímil")</f>
        <v>Abrir facsímil</v>
      </c>
      <c r="K2291" s="15" t="s">
        <v>22</v>
      </c>
    </row>
    <row r="2292" spans="1:11" ht="42" customHeight="1">
      <c r="A2292" s="4" t="s">
        <v>5594</v>
      </c>
      <c r="B2292" s="5" t="s">
        <v>5595</v>
      </c>
      <c r="C2292" s="5" t="s">
        <v>80</v>
      </c>
      <c r="D2292" s="5" t="s">
        <v>81</v>
      </c>
      <c r="E2292" s="5" t="s">
        <v>904</v>
      </c>
      <c r="F2292" s="9">
        <v>47</v>
      </c>
      <c r="G2292" s="9">
        <v>503</v>
      </c>
      <c r="H2292" s="5" t="s">
        <v>20</v>
      </c>
      <c r="I2292" s="5" t="s">
        <v>5596</v>
      </c>
      <c r="J2292" s="12" t="str">
        <f>HYPERLINK("https://www.boe.es/gazeta/dias/1805/06/11/pdfs/GMD-1805-47.pdf#page=3","Abrir facsímil")</f>
        <v>Abrir facsímil</v>
      </c>
      <c r="K2292" s="15" t="s">
        <v>22</v>
      </c>
    </row>
    <row r="2293" spans="1:11" ht="42" customHeight="1">
      <c r="A2293" s="4" t="s">
        <v>5597</v>
      </c>
      <c r="B2293" s="5" t="s">
        <v>5598</v>
      </c>
      <c r="C2293" s="5" t="s">
        <v>80</v>
      </c>
      <c r="D2293" s="5" t="s">
        <v>81</v>
      </c>
      <c r="E2293" s="5" t="s">
        <v>48</v>
      </c>
      <c r="F2293" s="9">
        <v>35</v>
      </c>
      <c r="G2293" s="9">
        <v>374</v>
      </c>
      <c r="H2293" s="5" t="s">
        <v>20</v>
      </c>
      <c r="I2293" s="5" t="s">
        <v>5599</v>
      </c>
      <c r="J2293" s="12" t="str">
        <f>HYPERLINK("https://www.boe.es/gazeta/dias/1805/04/30/pdfs/GMD-1805-35.pdf#page=6","Abrir facsímil")</f>
        <v>Abrir facsímil</v>
      </c>
      <c r="K2293" s="15" t="s">
        <v>22</v>
      </c>
    </row>
    <row r="2294" spans="1:11" ht="42" customHeight="1">
      <c r="A2294" s="4" t="s">
        <v>5597</v>
      </c>
      <c r="B2294" s="5" t="s">
        <v>5598</v>
      </c>
      <c r="C2294" s="5" t="s">
        <v>80</v>
      </c>
      <c r="D2294" s="5" t="s">
        <v>81</v>
      </c>
      <c r="E2294" s="5" t="s">
        <v>27</v>
      </c>
      <c r="F2294" s="9">
        <v>37</v>
      </c>
      <c r="G2294" s="9">
        <v>399</v>
      </c>
      <c r="H2294" s="5" t="s">
        <v>20</v>
      </c>
      <c r="I2294" s="5" t="s">
        <v>5600</v>
      </c>
      <c r="J2294" s="12" t="str">
        <f>HYPERLINK("https://www.boe.es/gazeta/dias/1805/05/07/pdfs/GMD-1805-37.pdf#page=7","Abrir facsímil")</f>
        <v>Abrir facsímil</v>
      </c>
      <c r="K2294" s="15" t="s">
        <v>22</v>
      </c>
    </row>
    <row r="2295" spans="1:11" ht="42" customHeight="1">
      <c r="A2295" s="4" t="s">
        <v>5597</v>
      </c>
      <c r="B2295" s="5" t="s">
        <v>5598</v>
      </c>
      <c r="C2295" s="5" t="s">
        <v>80</v>
      </c>
      <c r="D2295" s="5" t="s">
        <v>81</v>
      </c>
      <c r="E2295" s="5" t="s">
        <v>904</v>
      </c>
      <c r="F2295" s="9">
        <v>47</v>
      </c>
      <c r="G2295" s="9">
        <v>504</v>
      </c>
      <c r="H2295" s="5" t="s">
        <v>20</v>
      </c>
      <c r="I2295" s="5" t="s">
        <v>5601</v>
      </c>
      <c r="J2295" s="12" t="str">
        <f>HYPERLINK("https://www.boe.es/gazeta/dias/1805/06/11/pdfs/GMD-1805-47.pdf#page=4","Abrir facsímil")</f>
        <v>Abrir facsímil</v>
      </c>
      <c r="K2295" s="15" t="s">
        <v>22</v>
      </c>
    </row>
    <row r="2296" spans="1:11" ht="42" customHeight="1">
      <c r="A2296" s="4" t="s">
        <v>5597</v>
      </c>
      <c r="B2296" s="5" t="s">
        <v>5598</v>
      </c>
      <c r="C2296" s="5" t="s">
        <v>184</v>
      </c>
      <c r="D2296" s="5" t="s">
        <v>86</v>
      </c>
      <c r="E2296" s="5" t="s">
        <v>209</v>
      </c>
      <c r="F2296" s="9">
        <v>89</v>
      </c>
      <c r="G2296" s="9">
        <v>954</v>
      </c>
      <c r="H2296" s="5" t="s">
        <v>20</v>
      </c>
      <c r="I2296" s="5" t="s">
        <v>5602</v>
      </c>
      <c r="J2296" s="12" t="str">
        <f>HYPERLINK("https://www.boe.es/gazeta/dias/1805/11/05/pdfs/GMD-1805-89.pdf#page=14","Abrir facsímil")</f>
        <v>Abrir facsímil</v>
      </c>
      <c r="K2296" s="15" t="s">
        <v>22</v>
      </c>
    </row>
    <row r="2297" spans="1:11" ht="42" customHeight="1">
      <c r="A2297" s="4" t="s">
        <v>5603</v>
      </c>
      <c r="B2297" s="5" t="s">
        <v>5603</v>
      </c>
      <c r="C2297" s="5" t="s">
        <v>80</v>
      </c>
      <c r="D2297" s="5" t="s">
        <v>81</v>
      </c>
      <c r="E2297" s="5" t="s">
        <v>399</v>
      </c>
      <c r="F2297" s="9">
        <v>39</v>
      </c>
      <c r="G2297" s="9">
        <v>418</v>
      </c>
      <c r="H2297" s="5" t="s">
        <v>20</v>
      </c>
      <c r="I2297" s="5" t="s">
        <v>5604</v>
      </c>
      <c r="J2297" s="12" t="str">
        <f>HYPERLINK("https://www.boe.es/gazeta/dias/1805/05/14/pdfs/GMD-1805-39.pdf#page=6","Abrir facsímil")</f>
        <v>Abrir facsímil</v>
      </c>
      <c r="K2297" s="15" t="s">
        <v>22</v>
      </c>
    </row>
    <row r="2298" spans="1:11" ht="42" customHeight="1">
      <c r="A2298" s="4" t="s">
        <v>5605</v>
      </c>
      <c r="B2298" s="5" t="s">
        <v>5606</v>
      </c>
      <c r="C2298" s="5" t="s">
        <v>80</v>
      </c>
      <c r="D2298" s="5" t="s">
        <v>81</v>
      </c>
      <c r="E2298" s="5" t="s">
        <v>293</v>
      </c>
      <c r="F2298" s="9">
        <v>5</v>
      </c>
      <c r="G2298" s="9">
        <v>51</v>
      </c>
      <c r="H2298" s="5" t="s">
        <v>20</v>
      </c>
      <c r="I2298" s="5" t="s">
        <v>5607</v>
      </c>
      <c r="J2298" s="12" t="str">
        <f>HYPERLINK("https://www.boe.es/gazeta/dias/1805/01/15/pdfs/GMD-1805-5.pdf#page=7","Abrir facsímil")</f>
        <v>Abrir facsímil</v>
      </c>
      <c r="K2298" s="15" t="s">
        <v>22</v>
      </c>
    </row>
    <row r="2299" spans="1:11" ht="42" customHeight="1">
      <c r="A2299" s="4" t="s">
        <v>5608</v>
      </c>
      <c r="B2299" s="5" t="s">
        <v>5608</v>
      </c>
      <c r="C2299" s="5" t="s">
        <v>80</v>
      </c>
      <c r="D2299" s="5" t="s">
        <v>81</v>
      </c>
      <c r="E2299" s="5" t="s">
        <v>1221</v>
      </c>
      <c r="F2299" s="9">
        <v>41</v>
      </c>
      <c r="G2299" s="9">
        <v>439</v>
      </c>
      <c r="H2299" s="5" t="s">
        <v>20</v>
      </c>
      <c r="I2299" s="5" t="s">
        <v>5609</v>
      </c>
      <c r="J2299" s="12" t="str">
        <f>HYPERLINK("https://www.boe.es/gazeta/dias/1805/05/21/pdfs/GMD-1805-41.pdf#page=7","Abrir facsímil")</f>
        <v>Abrir facsímil</v>
      </c>
      <c r="K2299" s="15" t="s">
        <v>22</v>
      </c>
    </row>
    <row r="2300" spans="1:11" ht="42" customHeight="1">
      <c r="A2300" s="4" t="s">
        <v>5608</v>
      </c>
      <c r="B2300" s="5" t="s">
        <v>5608</v>
      </c>
      <c r="C2300" s="5" t="s">
        <v>17</v>
      </c>
      <c r="D2300" s="5" t="s">
        <v>18</v>
      </c>
      <c r="E2300" s="5" t="s">
        <v>213</v>
      </c>
      <c r="F2300" s="9">
        <v>56</v>
      </c>
      <c r="G2300" s="9">
        <v>603</v>
      </c>
      <c r="H2300" s="5" t="s">
        <v>20</v>
      </c>
      <c r="I2300" s="5" t="s">
        <v>5610</v>
      </c>
      <c r="J2300" s="12" t="str">
        <f>HYPERLINK("https://www.boe.es/gazeta/dias/1805/07/12/pdfs/GMD-1805-56.pdf#page=11","Abrir facsímil")</f>
        <v>Abrir facsímil</v>
      </c>
      <c r="K2300" s="15" t="s">
        <v>22</v>
      </c>
    </row>
    <row r="2301" spans="1:11" ht="42" customHeight="1">
      <c r="A2301" s="4" t="s">
        <v>5608</v>
      </c>
      <c r="B2301" s="5" t="s">
        <v>5608</v>
      </c>
      <c r="C2301" s="5" t="s">
        <v>80</v>
      </c>
      <c r="D2301" s="5" t="s">
        <v>81</v>
      </c>
      <c r="E2301" s="5" t="s">
        <v>831</v>
      </c>
      <c r="F2301" s="9">
        <v>62</v>
      </c>
      <c r="G2301" s="9">
        <v>659</v>
      </c>
      <c r="H2301" s="5" t="s">
        <v>20</v>
      </c>
      <c r="I2301" s="5" t="s">
        <v>5611</v>
      </c>
      <c r="J2301" s="12" t="str">
        <f>HYPERLINK("https://www.boe.es/gazeta/dias/1805/08/02/pdfs/GMD-1805-62.pdf#page=3","Abrir facsímil")</f>
        <v>Abrir facsímil</v>
      </c>
      <c r="K2301" s="15" t="s">
        <v>22</v>
      </c>
    </row>
    <row r="2302" spans="1:11" ht="42" customHeight="1">
      <c r="A2302" s="4" t="s">
        <v>5612</v>
      </c>
      <c r="B2302" s="5" t="s">
        <v>5612</v>
      </c>
      <c r="C2302" s="5" t="s">
        <v>17</v>
      </c>
      <c r="D2302" s="5" t="s">
        <v>18</v>
      </c>
      <c r="E2302" s="5" t="s">
        <v>200</v>
      </c>
      <c r="F2302" s="9">
        <v>91</v>
      </c>
      <c r="G2302" s="9">
        <v>977</v>
      </c>
      <c r="H2302" s="5" t="s">
        <v>20</v>
      </c>
      <c r="I2302" s="5" t="s">
        <v>5613</v>
      </c>
      <c r="J2302" s="12" t="str">
        <f>HYPERLINK("https://www.boe.es/gazeta/dias/1805/11/12/pdfs/GMD-1805-91.pdf#page=9","Abrir facsímil")</f>
        <v>Abrir facsímil</v>
      </c>
      <c r="K2302" s="15" t="s">
        <v>22</v>
      </c>
    </row>
    <row r="2303" spans="1:11" ht="42" customHeight="1">
      <c r="A2303" s="4" t="s">
        <v>5614</v>
      </c>
      <c r="B2303" s="5" t="s">
        <v>5614</v>
      </c>
      <c r="C2303" s="5" t="s">
        <v>35</v>
      </c>
      <c r="D2303" s="5" t="s">
        <v>36</v>
      </c>
      <c r="E2303" s="5" t="s">
        <v>91</v>
      </c>
      <c r="F2303" s="9">
        <v>28</v>
      </c>
      <c r="G2303" s="9">
        <v>299</v>
      </c>
      <c r="H2303" s="5" t="s">
        <v>20</v>
      </c>
      <c r="I2303" s="5" t="s">
        <v>5615</v>
      </c>
      <c r="J2303" s="12" t="str">
        <f>HYPERLINK("https://www.boe.es/gazeta/dias/1805/04/05/pdfs/GMD-1805-28.pdf#page=7","Abrir facsímil")</f>
        <v>Abrir facsímil</v>
      </c>
      <c r="K2303" s="15" t="s">
        <v>22</v>
      </c>
    </row>
    <row r="2304" spans="1:11" ht="42" customHeight="1">
      <c r="A2304" s="4" t="s">
        <v>5616</v>
      </c>
      <c r="B2304" s="5" t="s">
        <v>5616</v>
      </c>
      <c r="C2304" s="5" t="s">
        <v>35</v>
      </c>
      <c r="D2304" s="5" t="s">
        <v>36</v>
      </c>
      <c r="E2304" s="5" t="s">
        <v>59</v>
      </c>
      <c r="F2304" s="9">
        <v>21</v>
      </c>
      <c r="G2304" s="9">
        <v>221</v>
      </c>
      <c r="H2304" s="5" t="s">
        <v>20</v>
      </c>
      <c r="I2304" s="5" t="s">
        <v>5617</v>
      </c>
      <c r="J2304" s="12" t="str">
        <f>HYPERLINK("https://www.boe.es/gazeta/dias/1805/03/12/pdfs/GMD-1805-21.pdf#page=9","Abrir facsímil")</f>
        <v>Abrir facsímil</v>
      </c>
      <c r="K2304" s="15" t="s">
        <v>22</v>
      </c>
    </row>
    <row r="2305" spans="1:11" ht="42" customHeight="1">
      <c r="A2305" s="4" t="s">
        <v>5618</v>
      </c>
      <c r="B2305" s="5" t="s">
        <v>5618</v>
      </c>
      <c r="C2305" s="5" t="s">
        <v>17</v>
      </c>
      <c r="D2305" s="5" t="s">
        <v>18</v>
      </c>
      <c r="E2305" s="5" t="s">
        <v>163</v>
      </c>
      <c r="F2305" s="9">
        <v>77</v>
      </c>
      <c r="G2305" s="9">
        <v>818</v>
      </c>
      <c r="H2305" s="5" t="s">
        <v>20</v>
      </c>
      <c r="I2305" s="5" t="s">
        <v>5619</v>
      </c>
      <c r="J2305" s="12" t="str">
        <f>HYPERLINK("https://www.boe.es/gazeta/dias/1805/09/24/pdfs/GMD-1805-77.pdf#page=10","Abrir facsímil")</f>
        <v>Abrir facsímil</v>
      </c>
      <c r="K2305" s="15" t="s">
        <v>22</v>
      </c>
    </row>
    <row r="2306" spans="1:11" ht="42" customHeight="1">
      <c r="A2306" s="4" t="s">
        <v>5620</v>
      </c>
      <c r="B2306" s="5" t="s">
        <v>5620</v>
      </c>
      <c r="C2306" s="5" t="s">
        <v>52</v>
      </c>
      <c r="D2306" s="5" t="s">
        <v>53</v>
      </c>
      <c r="E2306" s="5" t="s">
        <v>54</v>
      </c>
      <c r="F2306" s="9">
        <v>99</v>
      </c>
      <c r="G2306" s="9" t="s">
        <v>222</v>
      </c>
      <c r="H2306" s="5" t="s">
        <v>20</v>
      </c>
      <c r="I2306" s="5" t="s">
        <v>5621</v>
      </c>
      <c r="J2306" s="12" t="str">
        <f>HYPERLINK("https://www.boe.es/gazeta/dias/1805/12/10/pdfs/GMD-C-1805-99.pdf#page=1","Abrir facsímil")</f>
        <v>Abrir facsímil</v>
      </c>
      <c r="K2306" s="15" t="s">
        <v>22</v>
      </c>
    </row>
    <row r="2307" spans="1:11" ht="42" customHeight="1">
      <c r="A2307" s="4" t="s">
        <v>5622</v>
      </c>
      <c r="B2307" s="5" t="s">
        <v>5623</v>
      </c>
      <c r="C2307" s="5" t="s">
        <v>80</v>
      </c>
      <c r="D2307" s="5" t="s">
        <v>81</v>
      </c>
      <c r="E2307" s="5" t="s">
        <v>209</v>
      </c>
      <c r="F2307" s="9">
        <v>89</v>
      </c>
      <c r="G2307" s="9">
        <v>949</v>
      </c>
      <c r="H2307" s="5" t="s">
        <v>20</v>
      </c>
      <c r="I2307" s="5" t="s">
        <v>5624</v>
      </c>
      <c r="J2307" s="12" t="str">
        <f>HYPERLINK("https://www.boe.es/gazeta/dias/1805/11/05/pdfs/GMD-1805-89.pdf#page=9","Abrir facsímil")</f>
        <v>Abrir facsímil</v>
      </c>
      <c r="K2307" s="15" t="s">
        <v>22</v>
      </c>
    </row>
    <row r="2308" spans="1:11" ht="42" customHeight="1">
      <c r="A2308" s="4" t="s">
        <v>5625</v>
      </c>
      <c r="B2308" s="5" t="s">
        <v>5625</v>
      </c>
      <c r="C2308" s="5" t="s">
        <v>35</v>
      </c>
      <c r="D2308" s="5" t="s">
        <v>36</v>
      </c>
      <c r="E2308" s="5" t="s">
        <v>567</v>
      </c>
      <c r="F2308" s="9">
        <v>49</v>
      </c>
      <c r="G2308" s="9">
        <v>530</v>
      </c>
      <c r="H2308" s="5" t="s">
        <v>20</v>
      </c>
      <c r="I2308" s="5" t="s">
        <v>5626</v>
      </c>
      <c r="J2308" s="12" t="str">
        <f>HYPERLINK("https://www.boe.es/gazeta/dias/1805/06/18/pdfs/GMD-1805-49.pdf#page=6","Abrir facsímil")</f>
        <v>Abrir facsímil</v>
      </c>
      <c r="K2308" s="15" t="s">
        <v>22</v>
      </c>
    </row>
    <row r="2309" spans="1:11" ht="42" customHeight="1">
      <c r="A2309" s="4" t="s">
        <v>5627</v>
      </c>
      <c r="B2309" s="5" t="s">
        <v>5627</v>
      </c>
      <c r="C2309" s="5" t="s">
        <v>35</v>
      </c>
      <c r="D2309" s="5" t="s">
        <v>36</v>
      </c>
      <c r="E2309" s="5" t="s">
        <v>817</v>
      </c>
      <c r="F2309" s="9">
        <v>92</v>
      </c>
      <c r="G2309" s="9">
        <v>987</v>
      </c>
      <c r="H2309" s="5" t="s">
        <v>20</v>
      </c>
      <c r="I2309" s="5" t="s">
        <v>5628</v>
      </c>
      <c r="J2309" s="12" t="str">
        <f>HYPERLINK("https://www.boe.es/gazeta/dias/1805/11/15/pdfs/GMD-1805-92.pdf#page=7","Abrir facsímil")</f>
        <v>Abrir facsímil</v>
      </c>
      <c r="K2309" s="15" t="s">
        <v>22</v>
      </c>
    </row>
    <row r="2310" spans="1:11" ht="42" customHeight="1">
      <c r="A2310" s="4" t="s">
        <v>5629</v>
      </c>
      <c r="B2310" s="5" t="s">
        <v>5630</v>
      </c>
      <c r="C2310" s="5" t="s">
        <v>35</v>
      </c>
      <c r="D2310" s="5" t="s">
        <v>36</v>
      </c>
      <c r="E2310" s="5" t="s">
        <v>196</v>
      </c>
      <c r="F2310" s="9">
        <v>67</v>
      </c>
      <c r="G2310" s="9">
        <v>717</v>
      </c>
      <c r="H2310" s="5" t="s">
        <v>20</v>
      </c>
      <c r="I2310" s="5" t="s">
        <v>5631</v>
      </c>
      <c r="J2310" s="12" t="str">
        <f>HYPERLINK("https://www.boe.es/gazeta/dias/1805/08/20/pdfs/GMD-1805-67.pdf#page=5","Abrir facsímil")</f>
        <v>Abrir facsímil</v>
      </c>
      <c r="K2310" s="15" t="s">
        <v>22</v>
      </c>
    </row>
    <row r="2311" spans="1:11" ht="42" customHeight="1">
      <c r="A2311" s="4" t="s">
        <v>5632</v>
      </c>
      <c r="B2311" s="5" t="s">
        <v>5633</v>
      </c>
      <c r="C2311" s="5" t="s">
        <v>85</v>
      </c>
      <c r="D2311" s="5" t="s">
        <v>86</v>
      </c>
      <c r="E2311" s="5" t="s">
        <v>1445</v>
      </c>
      <c r="F2311" s="9">
        <v>6</v>
      </c>
      <c r="G2311" s="9">
        <v>66</v>
      </c>
      <c r="H2311" s="5" t="s">
        <v>20</v>
      </c>
      <c r="I2311" s="5" t="s">
        <v>5634</v>
      </c>
      <c r="J2311" s="12" t="str">
        <f>HYPERLINK("https://www.boe.es/gazeta/dias/1805/01/18/pdfs/GMD-1805-6.pdf#page=10","Abrir facsímil")</f>
        <v>Abrir facsímil</v>
      </c>
      <c r="K2311" s="15" t="s">
        <v>22</v>
      </c>
    </row>
    <row r="2312" spans="1:11" ht="42" customHeight="1">
      <c r="A2312" s="4" t="s">
        <v>5635</v>
      </c>
      <c r="B2312" s="5" t="s">
        <v>5635</v>
      </c>
      <c r="C2312" s="5" t="s">
        <v>85</v>
      </c>
      <c r="D2312" s="5" t="s">
        <v>86</v>
      </c>
      <c r="E2312" s="5" t="s">
        <v>711</v>
      </c>
      <c r="F2312" s="9">
        <v>63</v>
      </c>
      <c r="G2312" s="9">
        <v>665</v>
      </c>
      <c r="H2312" s="5" t="s">
        <v>20</v>
      </c>
      <c r="I2312" s="5" t="s">
        <v>5636</v>
      </c>
      <c r="J2312" s="12" t="str">
        <f>HYPERLINK("https://www.boe.es/gazeta/dias/1805/08/06/pdfs/GMD-1805-63.pdf#page=1","Abrir facsímil")</f>
        <v>Abrir facsímil</v>
      </c>
      <c r="K2312" s="15" t="s">
        <v>22</v>
      </c>
    </row>
    <row r="2313" spans="1:11" ht="42" customHeight="1">
      <c r="A2313" s="4" t="s">
        <v>5637</v>
      </c>
      <c r="B2313" s="5" t="s">
        <v>5637</v>
      </c>
      <c r="C2313" s="5" t="s">
        <v>35</v>
      </c>
      <c r="D2313" s="5" t="s">
        <v>36</v>
      </c>
      <c r="E2313" s="5" t="s">
        <v>213</v>
      </c>
      <c r="F2313" s="9">
        <v>56</v>
      </c>
      <c r="G2313" s="9">
        <v>600</v>
      </c>
      <c r="H2313" s="5" t="s">
        <v>20</v>
      </c>
      <c r="I2313" s="5" t="s">
        <v>5638</v>
      </c>
      <c r="J2313" s="12" t="str">
        <f>HYPERLINK("https://www.boe.es/gazeta/dias/1805/07/12/pdfs/GMD-1805-56.pdf#page=8","Abrir facsímil")</f>
        <v>Abrir facsímil</v>
      </c>
      <c r="K2313" s="15" t="s">
        <v>22</v>
      </c>
    </row>
    <row r="2314" spans="1:11" ht="42" customHeight="1">
      <c r="A2314" s="4" t="s">
        <v>5639</v>
      </c>
      <c r="B2314" s="5" t="s">
        <v>5639</v>
      </c>
      <c r="C2314" s="5" t="s">
        <v>35</v>
      </c>
      <c r="D2314" s="5" t="s">
        <v>36</v>
      </c>
      <c r="E2314" s="5" t="s">
        <v>71</v>
      </c>
      <c r="F2314" s="9">
        <v>33</v>
      </c>
      <c r="G2314" s="9">
        <v>351</v>
      </c>
      <c r="H2314" s="5" t="s">
        <v>20</v>
      </c>
      <c r="I2314" s="5" t="s">
        <v>5640</v>
      </c>
      <c r="J2314" s="12" t="str">
        <f>HYPERLINK("https://www.boe.es/gazeta/dias/1805/04/23/pdfs/GMD-1805-33.pdf#page=7","Abrir facsímil")</f>
        <v>Abrir facsímil</v>
      </c>
      <c r="K2314" s="15" t="s">
        <v>22</v>
      </c>
    </row>
    <row r="2315" spans="1:11" ht="42" customHeight="1">
      <c r="A2315" s="4" t="s">
        <v>5641</v>
      </c>
      <c r="B2315" s="5" t="s">
        <v>5641</v>
      </c>
      <c r="C2315" s="5" t="s">
        <v>29</v>
      </c>
      <c r="D2315" s="5" t="s">
        <v>30</v>
      </c>
      <c r="E2315" s="5" t="s">
        <v>729</v>
      </c>
      <c r="F2315" s="9">
        <v>61</v>
      </c>
      <c r="G2315" s="9">
        <v>655</v>
      </c>
      <c r="H2315" s="5" t="s">
        <v>20</v>
      </c>
      <c r="I2315" s="5" t="s">
        <v>5642</v>
      </c>
      <c r="J2315" s="12" t="str">
        <f>HYPERLINK("https://www.boe.es/gazeta/dias/1805/07/30/pdfs/GMD-1805-61.pdf#page=7","Abrir facsímil")</f>
        <v>Abrir facsímil</v>
      </c>
      <c r="K2315" s="15" t="s">
        <v>22</v>
      </c>
    </row>
    <row r="2316" spans="1:11" ht="42" customHeight="1">
      <c r="A2316" s="4" t="s">
        <v>5643</v>
      </c>
      <c r="B2316" s="5" t="s">
        <v>5644</v>
      </c>
      <c r="C2316" s="5" t="s">
        <v>17</v>
      </c>
      <c r="D2316" s="5" t="s">
        <v>18</v>
      </c>
      <c r="E2316" s="5" t="s">
        <v>886</v>
      </c>
      <c r="F2316" s="9">
        <v>93</v>
      </c>
      <c r="G2316" s="9">
        <v>1000</v>
      </c>
      <c r="H2316" s="5" t="s">
        <v>20</v>
      </c>
      <c r="I2316" s="5" t="s">
        <v>5645</v>
      </c>
      <c r="J2316" s="12" t="str">
        <f>HYPERLINK("https://www.boe.es/gazeta/dias/1805/11/19/pdfs/GMD-1805-93.pdf#page=12","Abrir facsímil")</f>
        <v>Abrir facsímil</v>
      </c>
      <c r="K2316" s="15" t="s">
        <v>22</v>
      </c>
    </row>
    <row r="2317" spans="1:11" ht="42" customHeight="1">
      <c r="A2317" s="4" t="s">
        <v>5646</v>
      </c>
      <c r="B2317" s="5" t="s">
        <v>5647</v>
      </c>
      <c r="C2317" s="5" t="s">
        <v>17</v>
      </c>
      <c r="D2317" s="5" t="s">
        <v>18</v>
      </c>
      <c r="E2317" s="5" t="s">
        <v>958</v>
      </c>
      <c r="F2317" s="9">
        <v>58</v>
      </c>
      <c r="G2317" s="9">
        <v>621</v>
      </c>
      <c r="H2317" s="5" t="s">
        <v>20</v>
      </c>
      <c r="I2317" s="5" t="s">
        <v>5648</v>
      </c>
      <c r="J2317" s="12" t="str">
        <f>HYPERLINK("https://www.boe.es/gazeta/dias/1805/07/19/pdfs/GMD-1805-58.pdf#page=5","Abrir facsímil")</f>
        <v>Abrir facsímil</v>
      </c>
      <c r="K2317" s="15" t="s">
        <v>22</v>
      </c>
    </row>
    <row r="2318" spans="1:11" ht="42" customHeight="1">
      <c r="A2318" s="4" t="s">
        <v>5649</v>
      </c>
      <c r="B2318" s="5" t="s">
        <v>5650</v>
      </c>
      <c r="C2318" s="5" t="s">
        <v>17</v>
      </c>
      <c r="D2318" s="5" t="s">
        <v>18</v>
      </c>
      <c r="E2318" s="5" t="s">
        <v>120</v>
      </c>
      <c r="F2318" s="9">
        <v>24</v>
      </c>
      <c r="G2318" s="9">
        <v>258</v>
      </c>
      <c r="H2318" s="5" t="s">
        <v>20</v>
      </c>
      <c r="I2318" s="5" t="s">
        <v>5651</v>
      </c>
      <c r="J2318" s="12" t="str">
        <f>HYPERLINK("https://www.boe.es/gazeta/dias/1805/03/22/pdfs/GMD-1805-24.pdf#page=10","Abrir facsímil")</f>
        <v>Abrir facsímil</v>
      </c>
      <c r="K2318" s="15" t="s">
        <v>22</v>
      </c>
    </row>
    <row r="2319" spans="1:11" ht="42" customHeight="1">
      <c r="A2319" s="4" t="s">
        <v>5652</v>
      </c>
      <c r="B2319" s="5" t="s">
        <v>5652</v>
      </c>
      <c r="C2319" s="5" t="s">
        <v>17</v>
      </c>
      <c r="D2319" s="5" t="s">
        <v>18</v>
      </c>
      <c r="E2319" s="5" t="s">
        <v>107</v>
      </c>
      <c r="F2319" s="9">
        <v>19</v>
      </c>
      <c r="G2319" s="9">
        <v>190</v>
      </c>
      <c r="H2319" s="5" t="s">
        <v>20</v>
      </c>
      <c r="I2319" s="5" t="s">
        <v>5653</v>
      </c>
      <c r="J2319" s="12" t="str">
        <f>HYPERLINK("https://www.boe.es/gazeta/dias/1805/03/05/pdfs/GMD-1805-19.pdf#page=2","Abrir facsímil")</f>
        <v>Abrir facsímil</v>
      </c>
      <c r="K2319" s="15" t="s">
        <v>22</v>
      </c>
    </row>
    <row r="2320" spans="1:11" ht="42" customHeight="1">
      <c r="A2320" s="4" t="s">
        <v>5652</v>
      </c>
      <c r="B2320" s="5" t="s">
        <v>5652</v>
      </c>
      <c r="C2320" s="5" t="s">
        <v>35</v>
      </c>
      <c r="D2320" s="5" t="s">
        <v>36</v>
      </c>
      <c r="E2320" s="5" t="s">
        <v>107</v>
      </c>
      <c r="F2320" s="9">
        <v>19</v>
      </c>
      <c r="G2320" s="9">
        <v>191</v>
      </c>
      <c r="H2320" s="5" t="s">
        <v>20</v>
      </c>
      <c r="I2320" s="5" t="s">
        <v>5654</v>
      </c>
      <c r="J2320" s="12" t="str">
        <f>HYPERLINK("https://www.boe.es/gazeta/dias/1805/03/05/pdfs/GMD-1805-19.pdf#page=3","Abrir facsímil")</f>
        <v>Abrir facsímil</v>
      </c>
      <c r="K2320" s="15" t="s">
        <v>22</v>
      </c>
    </row>
    <row r="2321" spans="1:11" ht="42" customHeight="1">
      <c r="A2321" s="4" t="s">
        <v>5652</v>
      </c>
      <c r="B2321" s="5" t="s">
        <v>5652</v>
      </c>
      <c r="C2321" s="5" t="s">
        <v>35</v>
      </c>
      <c r="D2321" s="5" t="s">
        <v>36</v>
      </c>
      <c r="E2321" s="5" t="s">
        <v>471</v>
      </c>
      <c r="F2321" s="9">
        <v>22</v>
      </c>
      <c r="G2321" s="9">
        <v>226</v>
      </c>
      <c r="H2321" s="5" t="s">
        <v>20</v>
      </c>
      <c r="I2321" s="5" t="s">
        <v>5655</v>
      </c>
      <c r="J2321" s="12" t="str">
        <f>HYPERLINK("https://www.boe.es/gazeta/dias/1805/03/15/pdfs/GMD-1805-22.pdf#page=2","Abrir facsímil")</f>
        <v>Abrir facsímil</v>
      </c>
      <c r="K2321" s="15" t="s">
        <v>22</v>
      </c>
    </row>
    <row r="2322" spans="1:11" ht="42" customHeight="1">
      <c r="A2322" s="4" t="s">
        <v>5652</v>
      </c>
      <c r="B2322" s="5" t="s">
        <v>5652</v>
      </c>
      <c r="C2322" s="5" t="s">
        <v>35</v>
      </c>
      <c r="D2322" s="5" t="s">
        <v>36</v>
      </c>
      <c r="E2322" s="5" t="s">
        <v>296</v>
      </c>
      <c r="F2322" s="9">
        <v>26</v>
      </c>
      <c r="G2322" s="9">
        <v>274</v>
      </c>
      <c r="H2322" s="5" t="s">
        <v>20</v>
      </c>
      <c r="I2322" s="5" t="s">
        <v>5656</v>
      </c>
      <c r="J2322" s="12" t="str">
        <f>HYPERLINK("https://www.boe.es/gazeta/dias/1805/03/29/pdfs/GMD-1805-26.pdf#page=6","Abrir facsímil")</f>
        <v>Abrir facsímil</v>
      </c>
      <c r="K2322" s="15" t="s">
        <v>22</v>
      </c>
    </row>
    <row r="2323" spans="1:11" ht="42" customHeight="1">
      <c r="A2323" s="4" t="s">
        <v>5657</v>
      </c>
      <c r="B2323" s="5" t="s">
        <v>5658</v>
      </c>
      <c r="C2323" s="5" t="s">
        <v>29</v>
      </c>
      <c r="D2323" s="5" t="s">
        <v>30</v>
      </c>
      <c r="E2323" s="5" t="s">
        <v>1292</v>
      </c>
      <c r="F2323" s="9">
        <v>43</v>
      </c>
      <c r="G2323" s="9">
        <v>460</v>
      </c>
      <c r="H2323" s="5" t="s">
        <v>20</v>
      </c>
      <c r="I2323" s="5" t="s">
        <v>5659</v>
      </c>
      <c r="J2323" s="12" t="str">
        <f>HYPERLINK("https://www.boe.es/gazeta/dias/1805/05/28/pdfs/GMD-1805-43.pdf#page=4","Abrir facsímil")</f>
        <v>Abrir facsímil</v>
      </c>
      <c r="K2323" s="15" t="s">
        <v>22</v>
      </c>
    </row>
    <row r="2324" spans="1:11" ht="42" customHeight="1">
      <c r="A2324" s="4" t="s">
        <v>5660</v>
      </c>
      <c r="B2324" s="5" t="s">
        <v>5661</v>
      </c>
      <c r="C2324" s="5" t="s">
        <v>80</v>
      </c>
      <c r="D2324" s="5" t="s">
        <v>81</v>
      </c>
      <c r="E2324" s="5" t="s">
        <v>1187</v>
      </c>
      <c r="F2324" s="9">
        <v>40</v>
      </c>
      <c r="G2324" s="9">
        <v>427</v>
      </c>
      <c r="H2324" s="5" t="s">
        <v>20</v>
      </c>
      <c r="I2324" s="5" t="s">
        <v>5662</v>
      </c>
      <c r="J2324" s="12" t="str">
        <f>HYPERLINK("https://www.boe.es/gazeta/dias/1805/05/17/pdfs/GMD-1805-40.pdf#page=3","Abrir facsímil")</f>
        <v>Abrir facsímil</v>
      </c>
      <c r="K2324" s="15" t="s">
        <v>22</v>
      </c>
    </row>
    <row r="2325" spans="1:11" ht="42" customHeight="1">
      <c r="A2325" s="4" t="s">
        <v>5663</v>
      </c>
      <c r="B2325" s="5" t="s">
        <v>5664</v>
      </c>
      <c r="C2325" s="5" t="s">
        <v>35</v>
      </c>
      <c r="D2325" s="5" t="s">
        <v>36</v>
      </c>
      <c r="E2325" s="5" t="s">
        <v>303</v>
      </c>
      <c r="F2325" s="9">
        <v>57</v>
      </c>
      <c r="G2325" s="9">
        <v>612</v>
      </c>
      <c r="H2325" s="5" t="s">
        <v>20</v>
      </c>
      <c r="I2325" s="5" t="s">
        <v>5665</v>
      </c>
      <c r="J2325" s="12" t="str">
        <f>HYPERLINK("https://www.boe.es/gazeta/dias/1805/07/16/pdfs/GMD-1805-57.pdf#page=8","Abrir facsímil")</f>
        <v>Abrir facsímil</v>
      </c>
      <c r="K2325" s="15" t="s">
        <v>22</v>
      </c>
    </row>
    <row r="2326" spans="1:11" ht="42" customHeight="1">
      <c r="A2326" s="4" t="s">
        <v>5666</v>
      </c>
      <c r="B2326" s="5" t="s">
        <v>5667</v>
      </c>
      <c r="C2326" s="5" t="s">
        <v>80</v>
      </c>
      <c r="D2326" s="5" t="s">
        <v>81</v>
      </c>
      <c r="E2326" s="5" t="s">
        <v>789</v>
      </c>
      <c r="F2326" s="9">
        <v>104</v>
      </c>
      <c r="G2326" s="9">
        <v>1126</v>
      </c>
      <c r="H2326" s="5" t="s">
        <v>20</v>
      </c>
      <c r="I2326" s="5" t="s">
        <v>5668</v>
      </c>
      <c r="J2326" s="12" t="str">
        <f>HYPERLINK("https://www.boe.es/gazeta/dias/1805/12/27/pdfs/GMD-1805-104.pdf#page=10","Abrir facsímil")</f>
        <v>Abrir facsímil</v>
      </c>
      <c r="K2326" s="15" t="s">
        <v>22</v>
      </c>
    </row>
    <row r="2327" spans="1:11" ht="42" customHeight="1">
      <c r="A2327" s="4" t="s">
        <v>5669</v>
      </c>
      <c r="B2327" s="5" t="s">
        <v>5670</v>
      </c>
      <c r="C2327" s="5" t="s">
        <v>35</v>
      </c>
      <c r="D2327" s="5" t="s">
        <v>36</v>
      </c>
      <c r="E2327" s="5" t="s">
        <v>120</v>
      </c>
      <c r="F2327" s="9">
        <v>24</v>
      </c>
      <c r="G2327" s="9">
        <v>256</v>
      </c>
      <c r="H2327" s="5" t="s">
        <v>20</v>
      </c>
      <c r="I2327" s="5" t="s">
        <v>5671</v>
      </c>
      <c r="J2327" s="12" t="str">
        <f>HYPERLINK("https://www.boe.es/gazeta/dias/1805/03/22/pdfs/GMD-1805-24.pdf#page=8","Abrir facsímil")</f>
        <v>Abrir facsímil</v>
      </c>
      <c r="K2327" s="15" t="s">
        <v>22</v>
      </c>
    </row>
    <row r="2328" spans="1:11" ht="42" customHeight="1">
      <c r="A2328" s="4" t="s">
        <v>5672</v>
      </c>
      <c r="B2328" s="5" t="s">
        <v>5672</v>
      </c>
      <c r="C2328" s="5" t="s">
        <v>35</v>
      </c>
      <c r="D2328" s="5" t="s">
        <v>36</v>
      </c>
      <c r="E2328" s="5" t="s">
        <v>44</v>
      </c>
      <c r="F2328" s="9">
        <v>29</v>
      </c>
      <c r="G2328" s="9">
        <v>312</v>
      </c>
      <c r="H2328" s="5" t="s">
        <v>20</v>
      </c>
      <c r="I2328" s="5" t="s">
        <v>5673</v>
      </c>
      <c r="J2328" s="12" t="str">
        <f>HYPERLINK("https://www.boe.es/gazeta/dias/1805/04/09/pdfs/GMD-1805-29.pdf#page=8","Abrir facsímil")</f>
        <v>Abrir facsímil</v>
      </c>
      <c r="K2328" s="15" t="s">
        <v>22</v>
      </c>
    </row>
    <row r="2329" spans="1:11" ht="42" customHeight="1">
      <c r="A2329" s="4" t="s">
        <v>5674</v>
      </c>
      <c r="B2329" s="5" t="s">
        <v>5675</v>
      </c>
      <c r="C2329" s="5" t="s">
        <v>80</v>
      </c>
      <c r="D2329" s="5" t="s">
        <v>81</v>
      </c>
      <c r="E2329" s="5" t="s">
        <v>213</v>
      </c>
      <c r="F2329" s="9">
        <v>56</v>
      </c>
      <c r="G2329" s="9">
        <v>594</v>
      </c>
      <c r="H2329" s="5" t="s">
        <v>20</v>
      </c>
      <c r="I2329" s="5" t="s">
        <v>5676</v>
      </c>
      <c r="J2329" s="12" t="str">
        <f>HYPERLINK("https://www.boe.es/gazeta/dias/1805/07/12/pdfs/GMD-1805-56.pdf#page=2","Abrir facsímil")</f>
        <v>Abrir facsímil</v>
      </c>
      <c r="K2329" s="15" t="s">
        <v>22</v>
      </c>
    </row>
    <row r="2330" spans="1:11" ht="42" customHeight="1">
      <c r="A2330" s="4" t="s">
        <v>5677</v>
      </c>
      <c r="B2330" s="5" t="s">
        <v>5678</v>
      </c>
      <c r="C2330" s="5" t="s">
        <v>17</v>
      </c>
      <c r="D2330" s="5" t="s">
        <v>18</v>
      </c>
      <c r="E2330" s="5" t="s">
        <v>399</v>
      </c>
      <c r="F2330" s="9">
        <v>39</v>
      </c>
      <c r="G2330" s="9">
        <v>422</v>
      </c>
      <c r="H2330" s="5" t="s">
        <v>20</v>
      </c>
      <c r="I2330" s="5" t="s">
        <v>5679</v>
      </c>
      <c r="J2330" s="12" t="str">
        <f>HYPERLINK("https://www.boe.es/gazeta/dias/1805/05/14/pdfs/GMD-1805-39.pdf#page=10","Abrir facsímil")</f>
        <v>Abrir facsímil</v>
      </c>
      <c r="K2330" s="15" t="s">
        <v>22</v>
      </c>
    </row>
    <row r="2331" spans="1:11" ht="42" customHeight="1">
      <c r="A2331" s="4" t="s">
        <v>5680</v>
      </c>
      <c r="B2331" s="5" t="s">
        <v>5681</v>
      </c>
      <c r="C2331" s="5" t="s">
        <v>29</v>
      </c>
      <c r="D2331" s="5" t="s">
        <v>30</v>
      </c>
      <c r="E2331" s="5" t="s">
        <v>215</v>
      </c>
      <c r="F2331" s="9">
        <v>87</v>
      </c>
      <c r="G2331" s="9">
        <v>927</v>
      </c>
      <c r="H2331" s="5" t="s">
        <v>20</v>
      </c>
      <c r="I2331" s="5" t="s">
        <v>5682</v>
      </c>
      <c r="J2331" s="12" t="str">
        <f>HYPERLINK("https://www.boe.es/gazeta/dias/1805/10/29/pdfs/GMD-1805-87.pdf#page=11","Abrir facsímil")</f>
        <v>Abrir facsímil</v>
      </c>
      <c r="K2331" s="15" t="s">
        <v>22</v>
      </c>
    </row>
    <row r="2332" spans="1:11" ht="42" customHeight="1">
      <c r="A2332" s="4" t="s">
        <v>5683</v>
      </c>
      <c r="B2332" s="5" t="s">
        <v>5684</v>
      </c>
      <c r="C2332" s="5" t="s">
        <v>35</v>
      </c>
      <c r="D2332" s="5" t="s">
        <v>36</v>
      </c>
      <c r="E2332" s="5" t="s">
        <v>67</v>
      </c>
      <c r="F2332" s="9">
        <v>98</v>
      </c>
      <c r="G2332" s="9">
        <v>1059</v>
      </c>
      <c r="H2332" s="5" t="s">
        <v>20</v>
      </c>
      <c r="I2332" s="5" t="s">
        <v>5685</v>
      </c>
      <c r="J2332" s="12" t="str">
        <f>HYPERLINK("https://www.boe.es/gazeta/dias/1805/12/06/pdfs/GMD-1805-98.pdf#page=11","Abrir facsímil")</f>
        <v>Abrir facsímil</v>
      </c>
      <c r="K2332" s="15" t="s">
        <v>22</v>
      </c>
    </row>
    <row r="2333" spans="1:11" ht="42" customHeight="1">
      <c r="A2333" s="4" t="s">
        <v>5686</v>
      </c>
      <c r="B2333" s="5" t="s">
        <v>5687</v>
      </c>
      <c r="C2333" s="5" t="s">
        <v>17</v>
      </c>
      <c r="D2333" s="5" t="s">
        <v>18</v>
      </c>
      <c r="E2333" s="5" t="s">
        <v>107</v>
      </c>
      <c r="F2333" s="9">
        <v>19</v>
      </c>
      <c r="G2333" s="9">
        <v>197</v>
      </c>
      <c r="H2333" s="5" t="s">
        <v>20</v>
      </c>
      <c r="I2333" s="5" t="s">
        <v>5688</v>
      </c>
      <c r="J2333" s="12" t="str">
        <f>HYPERLINK("https://www.boe.es/gazeta/dias/1805/03/05/pdfs/GMD-1805-19.pdf#page=9","Abrir facsímil")</f>
        <v>Abrir facsímil</v>
      </c>
      <c r="K2333" s="15" t="s">
        <v>22</v>
      </c>
    </row>
    <row r="2334" spans="1:11" ht="42" customHeight="1">
      <c r="A2334" s="4" t="s">
        <v>5689</v>
      </c>
      <c r="B2334" s="5" t="s">
        <v>5690</v>
      </c>
      <c r="C2334" s="5" t="s">
        <v>17</v>
      </c>
      <c r="D2334" s="5" t="s">
        <v>18</v>
      </c>
      <c r="E2334" s="5" t="s">
        <v>71</v>
      </c>
      <c r="F2334" s="9">
        <v>33</v>
      </c>
      <c r="G2334" s="9">
        <v>352</v>
      </c>
      <c r="H2334" s="5" t="s">
        <v>20</v>
      </c>
      <c r="I2334" s="5" t="s">
        <v>5691</v>
      </c>
      <c r="J2334" s="12" t="str">
        <f>HYPERLINK("https://www.boe.es/gazeta/dias/1805/04/23/pdfs/GMD-1805-33.pdf#page=8","Abrir facsímil")</f>
        <v>Abrir facsímil</v>
      </c>
      <c r="K2334" s="15" t="s">
        <v>22</v>
      </c>
    </row>
    <row r="2335" spans="1:11" ht="42" customHeight="1">
      <c r="A2335" s="4" t="s">
        <v>5692</v>
      </c>
      <c r="B2335" s="5" t="s">
        <v>5693</v>
      </c>
      <c r="C2335" s="5" t="s">
        <v>17</v>
      </c>
      <c r="D2335" s="5" t="s">
        <v>18</v>
      </c>
      <c r="E2335" s="5" t="s">
        <v>290</v>
      </c>
      <c r="F2335" s="9">
        <v>36</v>
      </c>
      <c r="G2335" s="9">
        <v>387</v>
      </c>
      <c r="H2335" s="5" t="s">
        <v>20</v>
      </c>
      <c r="I2335" s="5" t="s">
        <v>5694</v>
      </c>
      <c r="J2335" s="12" t="str">
        <f>HYPERLINK("https://www.boe.es/gazeta/dias/1805/05/03/pdfs/GMD-1805-36.pdf#page=7","Abrir facsímil")</f>
        <v>Abrir facsímil</v>
      </c>
      <c r="K2335" s="15" t="s">
        <v>22</v>
      </c>
    </row>
    <row r="2336" spans="1:11" ht="42" customHeight="1">
      <c r="A2336" s="4" t="s">
        <v>5695</v>
      </c>
      <c r="B2336" s="5" t="s">
        <v>5696</v>
      </c>
      <c r="C2336" s="5" t="s">
        <v>52</v>
      </c>
      <c r="D2336" s="5" t="s">
        <v>53</v>
      </c>
      <c r="E2336" s="5" t="s">
        <v>144</v>
      </c>
      <c r="F2336" s="9">
        <v>85</v>
      </c>
      <c r="G2336" s="9" t="s">
        <v>1153</v>
      </c>
      <c r="H2336" s="5" t="s">
        <v>20</v>
      </c>
      <c r="I2336" s="5" t="s">
        <v>5697</v>
      </c>
      <c r="J2336" s="12" t="str">
        <f>HYPERLINK("https://www.boe.es/gazeta/dias/1805/10/22/pdfs/GMD-C-1805-85.pdf#page=8","Abrir facsímil")</f>
        <v>Abrir facsímil</v>
      </c>
      <c r="K2336" s="15" t="s">
        <v>22</v>
      </c>
    </row>
    <row r="2337" spans="1:11" ht="42" customHeight="1">
      <c r="A2337" s="4" t="s">
        <v>5698</v>
      </c>
      <c r="B2337" s="5" t="s">
        <v>5699</v>
      </c>
      <c r="C2337" s="5" t="s">
        <v>35</v>
      </c>
      <c r="D2337" s="5" t="s">
        <v>36</v>
      </c>
      <c r="E2337" s="5" t="s">
        <v>261</v>
      </c>
      <c r="F2337" s="9">
        <v>18</v>
      </c>
      <c r="G2337" s="9">
        <v>186</v>
      </c>
      <c r="H2337" s="5" t="s">
        <v>20</v>
      </c>
      <c r="I2337" s="5" t="s">
        <v>5700</v>
      </c>
      <c r="J2337" s="12" t="str">
        <f>HYPERLINK("https://www.boe.es/gazeta/dias/1805/03/01/pdfs/GMD-1805-18.pdf#page=6","Abrir facsímil")</f>
        <v>Abrir facsímil</v>
      </c>
      <c r="K2337" s="15" t="s">
        <v>22</v>
      </c>
    </row>
    <row r="2338" spans="1:11" ht="42" customHeight="1">
      <c r="A2338" s="4" t="s">
        <v>5701</v>
      </c>
      <c r="B2338" s="5" t="s">
        <v>5702</v>
      </c>
      <c r="C2338" s="5" t="s">
        <v>35</v>
      </c>
      <c r="D2338" s="5" t="s">
        <v>36</v>
      </c>
      <c r="E2338" s="5" t="s">
        <v>281</v>
      </c>
      <c r="F2338" s="9">
        <v>15</v>
      </c>
      <c r="G2338" s="9">
        <v>156</v>
      </c>
      <c r="H2338" s="5" t="s">
        <v>20</v>
      </c>
      <c r="I2338" s="5" t="s">
        <v>5703</v>
      </c>
      <c r="J2338" s="12" t="str">
        <f>HYPERLINK("https://www.boe.es/gazeta/dias/1805/02/19/pdfs/GMD-1805-15.pdf#page=8","Abrir facsímil")</f>
        <v>Abrir facsímil</v>
      </c>
      <c r="K2338" s="15" t="s">
        <v>22</v>
      </c>
    </row>
    <row r="2339" spans="1:11" ht="42" customHeight="1">
      <c r="A2339" s="4" t="s">
        <v>5704</v>
      </c>
      <c r="B2339" s="5" t="s">
        <v>5705</v>
      </c>
      <c r="C2339" s="5" t="s">
        <v>17</v>
      </c>
      <c r="D2339" s="5" t="s">
        <v>18</v>
      </c>
      <c r="E2339" s="5" t="s">
        <v>112</v>
      </c>
      <c r="F2339" s="9">
        <v>16</v>
      </c>
      <c r="G2339" s="9">
        <v>167</v>
      </c>
      <c r="H2339" s="5" t="s">
        <v>20</v>
      </c>
      <c r="I2339" s="5" t="s">
        <v>5706</v>
      </c>
      <c r="J2339" s="12" t="str">
        <f>HYPERLINK("https://www.boe.es/gazeta/dias/1805/02/22/pdfs/GMD-1805-16.pdf#page=7","Abrir facsímil")</f>
        <v>Abrir facsímil</v>
      </c>
      <c r="K2339" s="15" t="s">
        <v>22</v>
      </c>
    </row>
    <row r="2340" spans="1:11" ht="42" customHeight="1">
      <c r="A2340" s="4" t="s">
        <v>5707</v>
      </c>
      <c r="B2340" s="5" t="s">
        <v>5708</v>
      </c>
      <c r="C2340" s="5" t="s">
        <v>29</v>
      </c>
      <c r="D2340" s="5" t="s">
        <v>30</v>
      </c>
      <c r="E2340" s="5" t="s">
        <v>112</v>
      </c>
      <c r="F2340" s="9">
        <v>16</v>
      </c>
      <c r="G2340" s="9">
        <v>167</v>
      </c>
      <c r="H2340" s="5" t="s">
        <v>20</v>
      </c>
      <c r="I2340" s="5" t="s">
        <v>5709</v>
      </c>
      <c r="J2340" s="12" t="str">
        <f>HYPERLINK("https://www.boe.es/gazeta/dias/1805/02/22/pdfs/GMD-1805-16.pdf#page=7","Abrir facsímil")</f>
        <v>Abrir facsímil</v>
      </c>
      <c r="K2340" s="15" t="s">
        <v>22</v>
      </c>
    </row>
    <row r="2341" spans="1:11" ht="42" customHeight="1">
      <c r="A2341" s="4" t="s">
        <v>5710</v>
      </c>
      <c r="B2341" s="5" t="s">
        <v>5711</v>
      </c>
      <c r="C2341" s="5" t="s">
        <v>17</v>
      </c>
      <c r="D2341" s="5" t="s">
        <v>18</v>
      </c>
      <c r="E2341" s="5" t="s">
        <v>495</v>
      </c>
      <c r="F2341" s="9">
        <v>103</v>
      </c>
      <c r="G2341" s="9">
        <v>1113</v>
      </c>
      <c r="H2341" s="5" t="s">
        <v>20</v>
      </c>
      <c r="I2341" s="5" t="s">
        <v>5712</v>
      </c>
      <c r="J2341" s="12" t="str">
        <f>HYPERLINK("https://www.boe.es/gazeta/dias/1805/12/24/pdfs/GMD-1805-103.pdf#page=5","Abrir facsímil")</f>
        <v>Abrir facsímil</v>
      </c>
      <c r="K2341" s="15" t="s">
        <v>22</v>
      </c>
    </row>
    <row r="2342" spans="1:11" ht="42" customHeight="1">
      <c r="A2342" s="4" t="s">
        <v>5713</v>
      </c>
      <c r="B2342" s="5" t="s">
        <v>5713</v>
      </c>
      <c r="C2342" s="5" t="s">
        <v>184</v>
      </c>
      <c r="D2342" s="5" t="s">
        <v>86</v>
      </c>
      <c r="E2342" s="5" t="s">
        <v>1471</v>
      </c>
      <c r="F2342" s="9">
        <v>34</v>
      </c>
      <c r="G2342" s="9">
        <v>358</v>
      </c>
      <c r="H2342" s="5" t="s">
        <v>20</v>
      </c>
      <c r="I2342" s="5" t="s">
        <v>5714</v>
      </c>
      <c r="J2342" s="12" t="str">
        <f>HYPERLINK("https://www.boe.es/gazeta/dias/1805/04/26/pdfs/GMD-1805-34.pdf#page=2","Abrir facsímil")</f>
        <v>Abrir facsímil</v>
      </c>
      <c r="K2342" s="15" t="s">
        <v>22</v>
      </c>
    </row>
    <row r="2343" spans="1:11" ht="42" customHeight="1">
      <c r="A2343" s="4" t="s">
        <v>5713</v>
      </c>
      <c r="B2343" s="5" t="s">
        <v>5713</v>
      </c>
      <c r="C2343" s="5" t="s">
        <v>80</v>
      </c>
      <c r="D2343" s="5" t="s">
        <v>81</v>
      </c>
      <c r="E2343" s="5" t="s">
        <v>290</v>
      </c>
      <c r="F2343" s="9">
        <v>36</v>
      </c>
      <c r="G2343" s="9">
        <v>382</v>
      </c>
      <c r="H2343" s="5" t="s">
        <v>20</v>
      </c>
      <c r="I2343" s="5" t="s">
        <v>5715</v>
      </c>
      <c r="J2343" s="12" t="str">
        <f>HYPERLINK("https://www.boe.es/gazeta/dias/1805/05/03/pdfs/GMD-1805-36.pdf#page=2","Abrir facsímil")</f>
        <v>Abrir facsímil</v>
      </c>
      <c r="K2343" s="15" t="s">
        <v>22</v>
      </c>
    </row>
    <row r="2344" spans="1:11" ht="42" customHeight="1">
      <c r="A2344" s="4" t="s">
        <v>5713</v>
      </c>
      <c r="B2344" s="5" t="s">
        <v>5713</v>
      </c>
      <c r="C2344" s="5" t="s">
        <v>80</v>
      </c>
      <c r="D2344" s="5" t="s">
        <v>81</v>
      </c>
      <c r="E2344" s="5" t="s">
        <v>904</v>
      </c>
      <c r="F2344" s="9">
        <v>47</v>
      </c>
      <c r="G2344" s="9">
        <v>502</v>
      </c>
      <c r="H2344" s="5" t="s">
        <v>20</v>
      </c>
      <c r="I2344" s="5" t="s">
        <v>5716</v>
      </c>
      <c r="J2344" s="12" t="str">
        <f>HYPERLINK("https://www.boe.es/gazeta/dias/1805/06/11/pdfs/GMD-1805-47.pdf#page=2","Abrir facsímil")</f>
        <v>Abrir facsímil</v>
      </c>
      <c r="K2344" s="15" t="s">
        <v>22</v>
      </c>
    </row>
    <row r="2345" spans="1:11" ht="42" customHeight="1">
      <c r="A2345" s="4" t="s">
        <v>5713</v>
      </c>
      <c r="B2345" s="5" t="s">
        <v>5713</v>
      </c>
      <c r="C2345" s="5" t="s">
        <v>80</v>
      </c>
      <c r="D2345" s="5" t="s">
        <v>81</v>
      </c>
      <c r="E2345" s="5" t="s">
        <v>1022</v>
      </c>
      <c r="F2345" s="9">
        <v>52</v>
      </c>
      <c r="G2345" s="9">
        <v>554</v>
      </c>
      <c r="H2345" s="5" t="s">
        <v>20</v>
      </c>
      <c r="I2345" s="5" t="s">
        <v>5717</v>
      </c>
      <c r="J2345" s="12" t="str">
        <f>HYPERLINK("https://www.boe.es/gazeta/dias/1805/06/28/pdfs/GMD-1805-52.pdf#page=2","Abrir facsímil")</f>
        <v>Abrir facsímil</v>
      </c>
      <c r="K2345" s="15" t="s">
        <v>22</v>
      </c>
    </row>
    <row r="2346" spans="1:11" ht="42" customHeight="1">
      <c r="A2346" s="4" t="s">
        <v>5713</v>
      </c>
      <c r="B2346" s="5" t="s">
        <v>5713</v>
      </c>
      <c r="C2346" s="5" t="s">
        <v>85</v>
      </c>
      <c r="D2346" s="5" t="s">
        <v>86</v>
      </c>
      <c r="E2346" s="5" t="s">
        <v>40</v>
      </c>
      <c r="F2346" s="9">
        <v>59</v>
      </c>
      <c r="G2346" s="9">
        <v>626</v>
      </c>
      <c r="H2346" s="5" t="s">
        <v>20</v>
      </c>
      <c r="I2346" s="5" t="s">
        <v>5718</v>
      </c>
      <c r="J2346" s="12" t="str">
        <f>HYPERLINK("https://www.boe.es/gazeta/dias/1805/07/23/pdfs/GMD-1805-59.pdf#page=2","Abrir facsímil")</f>
        <v>Abrir facsímil</v>
      </c>
      <c r="K2346" s="15" t="s">
        <v>22</v>
      </c>
    </row>
    <row r="2347" spans="1:11" ht="42" customHeight="1">
      <c r="A2347" s="4" t="s">
        <v>5713</v>
      </c>
      <c r="B2347" s="5" t="s">
        <v>5713</v>
      </c>
      <c r="C2347" s="5" t="s">
        <v>29</v>
      </c>
      <c r="D2347" s="5" t="s">
        <v>30</v>
      </c>
      <c r="E2347" s="5" t="s">
        <v>585</v>
      </c>
      <c r="F2347" s="9">
        <v>64</v>
      </c>
      <c r="G2347" s="9">
        <v>678</v>
      </c>
      <c r="H2347" s="5" t="s">
        <v>20</v>
      </c>
      <c r="I2347" s="5" t="s">
        <v>5719</v>
      </c>
      <c r="J2347" s="12" t="str">
        <f>HYPERLINK("https://www.boe.es/gazeta/dias/1805/08/09/pdfs/GMD-1805-64.pdf#page=2","Abrir facsímil")</f>
        <v>Abrir facsímil</v>
      </c>
      <c r="K2347" s="15" t="s">
        <v>22</v>
      </c>
    </row>
    <row r="2348" spans="1:11" ht="42" customHeight="1">
      <c r="A2348" s="4" t="s">
        <v>5713</v>
      </c>
      <c r="B2348" s="5" t="s">
        <v>5713</v>
      </c>
      <c r="C2348" s="5" t="s">
        <v>29</v>
      </c>
      <c r="D2348" s="5" t="s">
        <v>30</v>
      </c>
      <c r="E2348" s="5" t="s">
        <v>196</v>
      </c>
      <c r="F2348" s="9">
        <v>67</v>
      </c>
      <c r="G2348" s="9">
        <v>720</v>
      </c>
      <c r="H2348" s="5" t="s">
        <v>20</v>
      </c>
      <c r="I2348" s="5" t="s">
        <v>5720</v>
      </c>
      <c r="J2348" s="12" t="str">
        <f>HYPERLINK("https://www.boe.es/gazeta/dias/1805/08/20/pdfs/GMD-1805-67.pdf#page=8","Abrir facsímil")</f>
        <v>Abrir facsímil</v>
      </c>
      <c r="K2348" s="15" t="s">
        <v>22</v>
      </c>
    </row>
    <row r="2349" spans="1:11" ht="42" customHeight="1">
      <c r="A2349" s="4" t="s">
        <v>5713</v>
      </c>
      <c r="B2349" s="5" t="s">
        <v>5713</v>
      </c>
      <c r="C2349" s="5" t="s">
        <v>35</v>
      </c>
      <c r="D2349" s="5" t="s">
        <v>36</v>
      </c>
      <c r="E2349" s="5" t="s">
        <v>426</v>
      </c>
      <c r="F2349" s="9">
        <v>75</v>
      </c>
      <c r="G2349" s="9">
        <v>791</v>
      </c>
      <c r="H2349" s="5" t="s">
        <v>20</v>
      </c>
      <c r="I2349" s="5" t="s">
        <v>5721</v>
      </c>
      <c r="J2349" s="12" t="str">
        <f>HYPERLINK("https://www.boe.es/gazeta/dias/1805/09/17/pdfs/GMD-1805-75.pdf#page=3","Abrir facsímil")</f>
        <v>Abrir facsímil</v>
      </c>
      <c r="K2349" s="15" t="s">
        <v>22</v>
      </c>
    </row>
    <row r="2350" spans="1:11" ht="42" customHeight="1">
      <c r="A2350" s="4" t="s">
        <v>5713</v>
      </c>
      <c r="B2350" s="5" t="s">
        <v>5713</v>
      </c>
      <c r="C2350" s="5" t="s">
        <v>80</v>
      </c>
      <c r="D2350" s="5" t="s">
        <v>81</v>
      </c>
      <c r="E2350" s="5" t="s">
        <v>426</v>
      </c>
      <c r="F2350" s="9">
        <v>75</v>
      </c>
      <c r="G2350" s="9">
        <v>792</v>
      </c>
      <c r="H2350" s="5" t="s">
        <v>20</v>
      </c>
      <c r="I2350" s="5" t="s">
        <v>5722</v>
      </c>
      <c r="J2350" s="12" t="str">
        <f>HYPERLINK("https://www.boe.es/gazeta/dias/1805/09/17/pdfs/GMD-1805-75.pdf#page=4","Abrir facsímil")</f>
        <v>Abrir facsímil</v>
      </c>
      <c r="K2350" s="15" t="s">
        <v>22</v>
      </c>
    </row>
    <row r="2351" spans="1:11" ht="42" customHeight="1">
      <c r="A2351" s="4" t="s">
        <v>5723</v>
      </c>
      <c r="B2351" s="5" t="s">
        <v>5724</v>
      </c>
      <c r="C2351" s="5" t="s">
        <v>35</v>
      </c>
      <c r="D2351" s="5" t="s">
        <v>36</v>
      </c>
      <c r="E2351" s="5" t="s">
        <v>850</v>
      </c>
      <c r="F2351" s="9">
        <v>42</v>
      </c>
      <c r="G2351" s="9">
        <v>454</v>
      </c>
      <c r="H2351" s="5" t="s">
        <v>20</v>
      </c>
      <c r="I2351" s="5" t="s">
        <v>5725</v>
      </c>
      <c r="J2351" s="12" t="str">
        <f>HYPERLINK("https://www.boe.es/gazeta/dias/1805/05/24/pdfs/GMD-1805-42.pdf#page=10","Abrir facsímil")</f>
        <v>Abrir facsímil</v>
      </c>
      <c r="K2351" s="15" t="s">
        <v>22</v>
      </c>
    </row>
    <row r="2352" spans="1:11" ht="42" customHeight="1">
      <c r="A2352" s="4" t="s">
        <v>5723</v>
      </c>
      <c r="B2352" s="5" t="s">
        <v>5724</v>
      </c>
      <c r="C2352" s="5" t="s">
        <v>35</v>
      </c>
      <c r="D2352" s="5" t="s">
        <v>36</v>
      </c>
      <c r="E2352" s="5" t="s">
        <v>135</v>
      </c>
      <c r="F2352" s="9">
        <v>71</v>
      </c>
      <c r="G2352" s="9">
        <v>760</v>
      </c>
      <c r="H2352" s="5" t="s">
        <v>20</v>
      </c>
      <c r="I2352" s="5" t="s">
        <v>5726</v>
      </c>
      <c r="J2352" s="12" t="str">
        <f>HYPERLINK("https://www.boe.es/gazeta/dias/1805/09/03/pdfs/GMD-1805-71.pdf#page=12","Abrir facsímil")</f>
        <v>Abrir facsímil</v>
      </c>
      <c r="K2352" s="15" t="s">
        <v>22</v>
      </c>
    </row>
    <row r="2353" spans="1:11" ht="42" customHeight="1">
      <c r="A2353" s="4" t="s">
        <v>5727</v>
      </c>
      <c r="B2353" s="5" t="s">
        <v>5728</v>
      </c>
      <c r="C2353" s="5" t="s">
        <v>85</v>
      </c>
      <c r="D2353" s="5" t="s">
        <v>86</v>
      </c>
      <c r="E2353" s="5" t="s">
        <v>107</v>
      </c>
      <c r="F2353" s="9">
        <v>19</v>
      </c>
      <c r="G2353" s="9">
        <v>198</v>
      </c>
      <c r="H2353" s="5" t="s">
        <v>20</v>
      </c>
      <c r="I2353" s="5" t="s">
        <v>5729</v>
      </c>
      <c r="J2353" s="12" t="str">
        <f>HYPERLINK("https://www.boe.es/gazeta/dias/1805/03/05/pdfs/GMD-1805-19.pdf#page=10","Abrir facsímil")</f>
        <v>Abrir facsímil</v>
      </c>
      <c r="K2353" s="15" t="s">
        <v>22</v>
      </c>
    </row>
    <row r="2354" spans="1:11" ht="42" customHeight="1">
      <c r="A2354" s="4" t="s">
        <v>5730</v>
      </c>
      <c r="B2354" s="5" t="s">
        <v>5731</v>
      </c>
      <c r="C2354" s="5" t="s">
        <v>85</v>
      </c>
      <c r="D2354" s="5" t="s">
        <v>86</v>
      </c>
      <c r="E2354" s="5" t="s">
        <v>24</v>
      </c>
      <c r="F2354" s="9">
        <v>11</v>
      </c>
      <c r="G2354" s="9">
        <v>120</v>
      </c>
      <c r="H2354" s="5" t="s">
        <v>20</v>
      </c>
      <c r="I2354" s="5" t="s">
        <v>5732</v>
      </c>
      <c r="J2354" s="12" t="str">
        <f>HYPERLINK("https://www.boe.es/gazeta/dias/1805/02/05/pdfs/GMD-1805-11.pdf#page=8","Abrir facsímil")</f>
        <v>Abrir facsímil</v>
      </c>
      <c r="K2354" s="15" t="s">
        <v>22</v>
      </c>
    </row>
    <row r="2355" spans="1:11" ht="42" customHeight="1">
      <c r="A2355" s="4" t="s">
        <v>5730</v>
      </c>
      <c r="B2355" s="5" t="s">
        <v>5731</v>
      </c>
      <c r="C2355" s="5" t="s">
        <v>17</v>
      </c>
      <c r="D2355" s="5" t="s">
        <v>18</v>
      </c>
      <c r="E2355" s="5" t="s">
        <v>585</v>
      </c>
      <c r="F2355" s="9">
        <v>64</v>
      </c>
      <c r="G2355" s="9">
        <v>688</v>
      </c>
      <c r="H2355" s="5" t="s">
        <v>20</v>
      </c>
      <c r="I2355" s="5" t="s">
        <v>5733</v>
      </c>
      <c r="J2355" s="12" t="str">
        <f>HYPERLINK("https://www.boe.es/gazeta/dias/1805/08/09/pdfs/GMD-1805-64.pdf#page=12","Abrir facsímil")</f>
        <v>Abrir facsímil</v>
      </c>
      <c r="K2355" s="15" t="s">
        <v>22</v>
      </c>
    </row>
    <row r="2356" spans="1:11" ht="42" customHeight="1">
      <c r="A2356" s="4" t="s">
        <v>5734</v>
      </c>
      <c r="B2356" s="5" t="s">
        <v>5735</v>
      </c>
      <c r="C2356" s="5" t="s">
        <v>17</v>
      </c>
      <c r="D2356" s="5" t="s">
        <v>18</v>
      </c>
      <c r="E2356" s="5" t="s">
        <v>649</v>
      </c>
      <c r="F2356" s="9">
        <v>7</v>
      </c>
      <c r="G2356" s="9">
        <v>77</v>
      </c>
      <c r="H2356" s="5" t="s">
        <v>20</v>
      </c>
      <c r="I2356" s="5" t="s">
        <v>5736</v>
      </c>
      <c r="J2356" s="12" t="str">
        <f>HYPERLINK("https://www.boe.es/gazeta/dias/1805/01/22/pdfs/GMD-1805-7.pdf#page=9","Abrir facsímil")</f>
        <v>Abrir facsímil</v>
      </c>
      <c r="K2356" s="15" t="s">
        <v>22</v>
      </c>
    </row>
    <row r="2357" spans="1:11" ht="42" customHeight="1">
      <c r="A2357" s="4" t="s">
        <v>5737</v>
      </c>
      <c r="B2357" s="5" t="s">
        <v>5738</v>
      </c>
      <c r="C2357" s="5" t="s">
        <v>85</v>
      </c>
      <c r="D2357" s="5" t="s">
        <v>86</v>
      </c>
      <c r="E2357" s="5" t="s">
        <v>296</v>
      </c>
      <c r="F2357" s="9">
        <v>26</v>
      </c>
      <c r="G2357" s="9">
        <v>277</v>
      </c>
      <c r="H2357" s="5" t="s">
        <v>20</v>
      </c>
      <c r="I2357" s="5" t="s">
        <v>5739</v>
      </c>
      <c r="J2357" s="12" t="str">
        <f>HYPERLINK("https://www.boe.es/gazeta/dias/1805/03/29/pdfs/GMD-1805-26.pdf#page=9","Abrir facsímil")</f>
        <v>Abrir facsímil</v>
      </c>
      <c r="K2357" s="15" t="s">
        <v>22</v>
      </c>
    </row>
    <row r="2358" spans="1:11" ht="42" customHeight="1">
      <c r="A2358" s="4" t="s">
        <v>5740</v>
      </c>
      <c r="B2358" s="5" t="s">
        <v>5741</v>
      </c>
      <c r="C2358" s="5" t="s">
        <v>35</v>
      </c>
      <c r="D2358" s="5" t="s">
        <v>36</v>
      </c>
      <c r="E2358" s="5" t="s">
        <v>192</v>
      </c>
      <c r="F2358" s="9">
        <v>105</v>
      </c>
      <c r="G2358" s="9">
        <v>1137</v>
      </c>
      <c r="H2358" s="5" t="s">
        <v>20</v>
      </c>
      <c r="I2358" s="5" t="s">
        <v>5742</v>
      </c>
      <c r="J2358" s="12" t="str">
        <f>HYPERLINK("https://www.boe.es/gazeta/dias/1805/12/31/pdfs/GMD-1805-105.pdf#page=9","Abrir facsímil")</f>
        <v>Abrir facsímil</v>
      </c>
      <c r="K2358" s="15" t="s">
        <v>22</v>
      </c>
    </row>
    <row r="2359" spans="1:11" ht="42" customHeight="1">
      <c r="A2359" s="4" t="s">
        <v>5743</v>
      </c>
      <c r="B2359" s="5" t="s">
        <v>5744</v>
      </c>
      <c r="C2359" s="5" t="s">
        <v>35</v>
      </c>
      <c r="D2359" s="5" t="s">
        <v>36</v>
      </c>
      <c r="E2359" s="5" t="s">
        <v>87</v>
      </c>
      <c r="F2359" s="9">
        <v>14</v>
      </c>
      <c r="G2359" s="9">
        <v>146</v>
      </c>
      <c r="H2359" s="5" t="s">
        <v>20</v>
      </c>
      <c r="I2359" s="5" t="s">
        <v>5745</v>
      </c>
      <c r="J2359" s="12" t="str">
        <f>HYPERLINK("https://www.boe.es/gazeta/dias/1805/02/15/pdfs/GMD-1805-14.pdf#page=6","Abrir facsímil")</f>
        <v>Abrir facsímil</v>
      </c>
      <c r="K2359" s="15" t="s">
        <v>22</v>
      </c>
    </row>
    <row r="2360" spans="1:11" ht="42" customHeight="1">
      <c r="A2360" s="4" t="s">
        <v>5746</v>
      </c>
      <c r="B2360" s="5" t="s">
        <v>5747</v>
      </c>
      <c r="C2360" s="5" t="s">
        <v>85</v>
      </c>
      <c r="D2360" s="5" t="s">
        <v>86</v>
      </c>
      <c r="E2360" s="5" t="s">
        <v>567</v>
      </c>
      <c r="F2360" s="9">
        <v>49</v>
      </c>
      <c r="G2360" s="9">
        <v>529</v>
      </c>
      <c r="H2360" s="5" t="s">
        <v>20</v>
      </c>
      <c r="I2360" s="5" t="s">
        <v>5748</v>
      </c>
      <c r="J2360" s="12" t="str">
        <f>HYPERLINK("https://www.boe.es/gazeta/dias/1805/06/18/pdfs/GMD-1805-49.pdf#page=5","Abrir facsímil")</f>
        <v>Abrir facsímil</v>
      </c>
      <c r="K2360" s="15" t="s">
        <v>22</v>
      </c>
    </row>
    <row r="2361" spans="1:11" ht="42" customHeight="1">
      <c r="A2361" s="4" t="s">
        <v>5749</v>
      </c>
      <c r="B2361" s="5" t="s">
        <v>5750</v>
      </c>
      <c r="C2361" s="5" t="s">
        <v>35</v>
      </c>
      <c r="D2361" s="5" t="s">
        <v>36</v>
      </c>
      <c r="E2361" s="5" t="s">
        <v>76</v>
      </c>
      <c r="F2361" s="9">
        <v>66</v>
      </c>
      <c r="G2361" s="9">
        <v>708</v>
      </c>
      <c r="H2361" s="5" t="s">
        <v>20</v>
      </c>
      <c r="I2361" s="5" t="s">
        <v>5751</v>
      </c>
      <c r="J2361" s="12" t="str">
        <f>HYPERLINK("https://www.boe.es/gazeta/dias/1805/08/16/pdfs/GMD-1805-66.pdf#page=8","Abrir facsímil")</f>
        <v>Abrir facsímil</v>
      </c>
      <c r="K2361" s="15" t="s">
        <v>22</v>
      </c>
    </row>
    <row r="2362" spans="1:11" ht="42" customHeight="1">
      <c r="A2362" s="4" t="s">
        <v>5752</v>
      </c>
      <c r="B2362" s="5" t="s">
        <v>5753</v>
      </c>
      <c r="C2362" s="5" t="s">
        <v>17</v>
      </c>
      <c r="D2362" s="5" t="s">
        <v>18</v>
      </c>
      <c r="E2362" s="5" t="s">
        <v>63</v>
      </c>
      <c r="F2362" s="9">
        <v>101</v>
      </c>
      <c r="G2362" s="9">
        <v>1093</v>
      </c>
      <c r="H2362" s="5" t="s">
        <v>20</v>
      </c>
      <c r="I2362" s="5" t="s">
        <v>5754</v>
      </c>
      <c r="J2362" s="12" t="str">
        <f>HYPERLINK("https://www.boe.es/gazeta/dias/1805/12/17/pdfs/GMD-1805-101.pdf#page=9","Abrir facsímil")</f>
        <v>Abrir facsímil</v>
      </c>
      <c r="K2362" s="15" t="s">
        <v>22</v>
      </c>
    </row>
    <row r="2363" spans="1:11" ht="42" customHeight="1">
      <c r="A2363" s="4" t="s">
        <v>5755</v>
      </c>
      <c r="B2363" s="5" t="s">
        <v>5755</v>
      </c>
      <c r="C2363" s="5" t="s">
        <v>35</v>
      </c>
      <c r="D2363" s="5" t="s">
        <v>36</v>
      </c>
      <c r="E2363" s="5" t="s">
        <v>787</v>
      </c>
      <c r="F2363" s="9">
        <v>95</v>
      </c>
      <c r="G2363" s="9">
        <v>1017</v>
      </c>
      <c r="H2363" s="5" t="s">
        <v>20</v>
      </c>
      <c r="I2363" s="5" t="s">
        <v>5756</v>
      </c>
      <c r="J2363" s="12" t="str">
        <f>HYPERLINK("https://www.boe.es/gazeta/dias/1805/11/26/pdfs/GMD-1805-95.pdf#page=5","Abrir facsímil")</f>
        <v>Abrir facsímil</v>
      </c>
      <c r="K2363" s="15" t="s">
        <v>22</v>
      </c>
    </row>
    <row r="2364" spans="1:11" ht="42" customHeight="1">
      <c r="A2364" s="4" t="s">
        <v>5757</v>
      </c>
      <c r="B2364" s="5" t="s">
        <v>5758</v>
      </c>
      <c r="C2364" s="5" t="s">
        <v>35</v>
      </c>
      <c r="D2364" s="5" t="s">
        <v>36</v>
      </c>
      <c r="E2364" s="5" t="s">
        <v>188</v>
      </c>
      <c r="F2364" s="9">
        <v>68</v>
      </c>
      <c r="G2364" s="9">
        <v>729</v>
      </c>
      <c r="H2364" s="5" t="s">
        <v>20</v>
      </c>
      <c r="I2364" s="5" t="s">
        <v>5759</v>
      </c>
      <c r="J2364" s="12" t="str">
        <f>HYPERLINK("https://www.boe.es/gazeta/dias/1805/08/23/pdfs/GMD-1805-68.pdf#page=9","Abrir facsímil")</f>
        <v>Abrir facsímil</v>
      </c>
      <c r="K2364" s="15" t="s">
        <v>22</v>
      </c>
    </row>
    <row r="2365" spans="1:11" ht="42" customHeight="1">
      <c r="A2365" s="4" t="s">
        <v>5760</v>
      </c>
      <c r="B2365" s="5" t="s">
        <v>5761</v>
      </c>
      <c r="C2365" s="5" t="s">
        <v>85</v>
      </c>
      <c r="D2365" s="5" t="s">
        <v>86</v>
      </c>
      <c r="E2365" s="5" t="s">
        <v>495</v>
      </c>
      <c r="F2365" s="9">
        <v>103</v>
      </c>
      <c r="G2365" s="9">
        <v>1113</v>
      </c>
      <c r="H2365" s="5" t="s">
        <v>20</v>
      </c>
      <c r="I2365" s="5" t="s">
        <v>5762</v>
      </c>
      <c r="J2365" s="12" t="str">
        <f>HYPERLINK("https://www.boe.es/gazeta/dias/1805/12/24/pdfs/GMD-1805-103.pdf#page=5","Abrir facsímil")</f>
        <v>Abrir facsímil</v>
      </c>
      <c r="K2365" s="15" t="s">
        <v>22</v>
      </c>
    </row>
    <row r="2366" spans="1:11" ht="42" customHeight="1">
      <c r="A2366" s="4" t="s">
        <v>5763</v>
      </c>
      <c r="B2366" s="5" t="s">
        <v>5764</v>
      </c>
      <c r="C2366" s="5" t="s">
        <v>80</v>
      </c>
      <c r="D2366" s="5" t="s">
        <v>81</v>
      </c>
      <c r="E2366" s="5" t="s">
        <v>19</v>
      </c>
      <c r="F2366" s="9">
        <v>86</v>
      </c>
      <c r="G2366" s="9">
        <v>911</v>
      </c>
      <c r="H2366" s="5" t="s">
        <v>20</v>
      </c>
      <c r="I2366" s="5" t="s">
        <v>5765</v>
      </c>
      <c r="J2366" s="12" t="str">
        <f>HYPERLINK("https://www.boe.es/gazeta/dias/1805/10/25/pdfs/GMD-1805-86.pdf#page=7","Abrir facsímil")</f>
        <v>Abrir facsímil</v>
      </c>
      <c r="K2366" s="15" t="s">
        <v>22</v>
      </c>
    </row>
    <row r="2367" spans="1:11" ht="42" customHeight="1">
      <c r="A2367" s="4" t="s">
        <v>5766</v>
      </c>
      <c r="B2367" s="5" t="s">
        <v>5767</v>
      </c>
      <c r="C2367" s="5" t="s">
        <v>35</v>
      </c>
      <c r="D2367" s="5" t="s">
        <v>36</v>
      </c>
      <c r="E2367" s="5" t="s">
        <v>91</v>
      </c>
      <c r="F2367" s="9">
        <v>28</v>
      </c>
      <c r="G2367" s="9">
        <v>301</v>
      </c>
      <c r="H2367" s="5" t="s">
        <v>20</v>
      </c>
      <c r="I2367" s="5" t="s">
        <v>5768</v>
      </c>
      <c r="J2367" s="12" t="str">
        <f>HYPERLINK("https://www.boe.es/gazeta/dias/1805/04/05/pdfs/GMD-1805-28.pdf#page=9","Abrir facsímil")</f>
        <v>Abrir facsímil</v>
      </c>
      <c r="K2367" s="15" t="s">
        <v>22</v>
      </c>
    </row>
    <row r="2368" spans="1:11" ht="42" customHeight="1">
      <c r="A2368" s="4" t="s">
        <v>5769</v>
      </c>
      <c r="B2368" s="5" t="s">
        <v>5770</v>
      </c>
      <c r="C2368" s="5" t="s">
        <v>29</v>
      </c>
      <c r="D2368" s="5" t="s">
        <v>30</v>
      </c>
      <c r="E2368" s="5" t="s">
        <v>290</v>
      </c>
      <c r="F2368" s="9">
        <v>36</v>
      </c>
      <c r="G2368" s="9">
        <v>386</v>
      </c>
      <c r="H2368" s="5" t="s">
        <v>20</v>
      </c>
      <c r="I2368" s="5" t="s">
        <v>5771</v>
      </c>
      <c r="J2368" s="12" t="str">
        <f>HYPERLINK("https://www.boe.es/gazeta/dias/1805/05/03/pdfs/GMD-1805-36.pdf#page=6","Abrir facsímil")</f>
        <v>Abrir facsímil</v>
      </c>
      <c r="K2368" s="15" t="s">
        <v>22</v>
      </c>
    </row>
    <row r="2369" spans="1:11" ht="42" customHeight="1">
      <c r="A2369" s="4" t="s">
        <v>5769</v>
      </c>
      <c r="B2369" s="5" t="s">
        <v>5770</v>
      </c>
      <c r="C2369" s="5" t="s">
        <v>80</v>
      </c>
      <c r="D2369" s="5" t="s">
        <v>81</v>
      </c>
      <c r="E2369" s="5" t="s">
        <v>207</v>
      </c>
      <c r="F2369" s="9">
        <v>76</v>
      </c>
      <c r="G2369" s="9">
        <v>805</v>
      </c>
      <c r="H2369" s="5" t="s">
        <v>20</v>
      </c>
      <c r="I2369" s="5" t="s">
        <v>5772</v>
      </c>
      <c r="J2369" s="12" t="str">
        <f>HYPERLINK("https://www.boe.es/gazeta/dias/1805/09/20/pdfs/GMD-1805-76.pdf#page=5","Abrir facsímil")</f>
        <v>Abrir facsímil</v>
      </c>
      <c r="K2369" s="15" t="s">
        <v>22</v>
      </c>
    </row>
    <row r="2370" spans="1:11" ht="42" customHeight="1">
      <c r="A2370" s="4" t="s">
        <v>5773</v>
      </c>
      <c r="B2370" s="5" t="s">
        <v>5774</v>
      </c>
      <c r="C2370" s="5" t="s">
        <v>35</v>
      </c>
      <c r="D2370" s="5" t="s">
        <v>36</v>
      </c>
      <c r="E2370" s="5" t="s">
        <v>854</v>
      </c>
      <c r="F2370" s="9">
        <v>46</v>
      </c>
      <c r="G2370" s="9">
        <v>499</v>
      </c>
      <c r="H2370" s="5" t="s">
        <v>20</v>
      </c>
      <c r="I2370" s="5" t="s">
        <v>5775</v>
      </c>
      <c r="J2370" s="12" t="str">
        <f>HYPERLINK("https://www.boe.es/gazeta/dias/1805/06/07/pdfs/GMD-1805-46.pdf#page=11","Abrir facsímil")</f>
        <v>Abrir facsímil</v>
      </c>
      <c r="K2370" s="15" t="s">
        <v>22</v>
      </c>
    </row>
    <row r="2371" spans="1:11" ht="42" customHeight="1">
      <c r="A2371" s="4" t="s">
        <v>5776</v>
      </c>
      <c r="B2371" s="5" t="s">
        <v>5777</v>
      </c>
      <c r="C2371" s="5" t="s">
        <v>35</v>
      </c>
      <c r="D2371" s="5" t="s">
        <v>36</v>
      </c>
      <c r="E2371" s="5" t="s">
        <v>426</v>
      </c>
      <c r="F2371" s="9">
        <v>75</v>
      </c>
      <c r="G2371" s="9">
        <v>799</v>
      </c>
      <c r="H2371" s="5" t="s">
        <v>20</v>
      </c>
      <c r="I2371" s="5" t="s">
        <v>5778</v>
      </c>
      <c r="J2371" s="12" t="str">
        <f>HYPERLINK("https://www.boe.es/gazeta/dias/1805/09/17/pdfs/GMD-1805-75.pdf#page=11","Abrir facsímil")</f>
        <v>Abrir facsímil</v>
      </c>
      <c r="K2371" s="15" t="s">
        <v>22</v>
      </c>
    </row>
    <row r="2372" spans="1:11" ht="42" customHeight="1">
      <c r="A2372" s="4" t="s">
        <v>5779</v>
      </c>
      <c r="B2372" s="5" t="s">
        <v>5780</v>
      </c>
      <c r="C2372" s="5" t="s">
        <v>35</v>
      </c>
      <c r="D2372" s="5" t="s">
        <v>36</v>
      </c>
      <c r="E2372" s="5" t="s">
        <v>387</v>
      </c>
      <c r="F2372" s="9">
        <v>4</v>
      </c>
      <c r="G2372" s="9">
        <v>42</v>
      </c>
      <c r="H2372" s="5" t="s">
        <v>20</v>
      </c>
      <c r="I2372" s="5" t="s">
        <v>5781</v>
      </c>
      <c r="J2372" s="12" t="str">
        <f>HYPERLINK("https://www.boe.es/gazeta/dias/1805/01/11/pdfs/GMD-1805-4.pdf#page=10","Abrir facsímil")</f>
        <v>Abrir facsímil</v>
      </c>
      <c r="K2372" s="15" t="s">
        <v>22</v>
      </c>
    </row>
    <row r="2373" spans="1:11" ht="42" customHeight="1">
      <c r="A2373" s="4" t="s">
        <v>5782</v>
      </c>
      <c r="B2373" s="5" t="s">
        <v>5783</v>
      </c>
      <c r="C2373" s="5" t="s">
        <v>17</v>
      </c>
      <c r="D2373" s="5" t="s">
        <v>18</v>
      </c>
      <c r="E2373" s="5" t="s">
        <v>76</v>
      </c>
      <c r="F2373" s="9">
        <v>66</v>
      </c>
      <c r="G2373" s="9">
        <v>709</v>
      </c>
      <c r="H2373" s="5" t="s">
        <v>20</v>
      </c>
      <c r="I2373" s="5" t="s">
        <v>5784</v>
      </c>
      <c r="J2373" s="12" t="str">
        <f>HYPERLINK("https://www.boe.es/gazeta/dias/1805/08/16/pdfs/GMD-1805-66.pdf#page=9","Abrir facsímil")</f>
        <v>Abrir facsímil</v>
      </c>
      <c r="K2373" s="15" t="s">
        <v>22</v>
      </c>
    </row>
    <row r="2374" spans="1:11" ht="42" customHeight="1">
      <c r="A2374" s="4" t="s">
        <v>5785</v>
      </c>
      <c r="B2374" s="5" t="s">
        <v>5786</v>
      </c>
      <c r="C2374" s="5" t="s">
        <v>35</v>
      </c>
      <c r="D2374" s="5" t="s">
        <v>36</v>
      </c>
      <c r="E2374" s="5" t="s">
        <v>649</v>
      </c>
      <c r="F2374" s="9">
        <v>7</v>
      </c>
      <c r="G2374" s="9">
        <v>74</v>
      </c>
      <c r="H2374" s="5" t="s">
        <v>20</v>
      </c>
      <c r="I2374" s="5" t="s">
        <v>5787</v>
      </c>
      <c r="J2374" s="12" t="str">
        <f>HYPERLINK("https://www.boe.es/gazeta/dias/1805/01/22/pdfs/GMD-1805-7.pdf#page=6","Abrir facsímil")</f>
        <v>Abrir facsímil</v>
      </c>
      <c r="K2374" s="15" t="s">
        <v>22</v>
      </c>
    </row>
    <row r="2375" spans="1:11" ht="42" customHeight="1">
      <c r="A2375" s="4" t="s">
        <v>5788</v>
      </c>
      <c r="B2375" s="5" t="s">
        <v>5789</v>
      </c>
      <c r="C2375" s="5" t="s">
        <v>85</v>
      </c>
      <c r="D2375" s="5" t="s">
        <v>86</v>
      </c>
      <c r="E2375" s="5" t="s">
        <v>226</v>
      </c>
      <c r="F2375" s="9">
        <v>73</v>
      </c>
      <c r="G2375" s="9">
        <v>773</v>
      </c>
      <c r="H2375" s="5" t="s">
        <v>20</v>
      </c>
      <c r="I2375" s="5" t="s">
        <v>5790</v>
      </c>
      <c r="J2375" s="12" t="str">
        <f>HYPERLINK("https://www.boe.es/gazeta/dias/1805/09/10/pdfs/GMD-1805-73.pdf#page=5","Abrir facsímil")</f>
        <v>Abrir facsímil</v>
      </c>
      <c r="K2375" s="15" t="s">
        <v>22</v>
      </c>
    </row>
    <row r="2376" spans="1:11" ht="42" customHeight="1">
      <c r="A2376" s="4" t="s">
        <v>5791</v>
      </c>
      <c r="B2376" s="5" t="s">
        <v>5792</v>
      </c>
      <c r="C2376" s="5" t="s">
        <v>35</v>
      </c>
      <c r="D2376" s="5" t="s">
        <v>36</v>
      </c>
      <c r="E2376" s="5" t="s">
        <v>649</v>
      </c>
      <c r="F2376" s="9">
        <v>7</v>
      </c>
      <c r="G2376" s="9">
        <v>75</v>
      </c>
      <c r="H2376" s="5" t="s">
        <v>20</v>
      </c>
      <c r="I2376" s="5" t="s">
        <v>5793</v>
      </c>
      <c r="J2376" s="12" t="str">
        <f>HYPERLINK("https://www.boe.es/gazeta/dias/1805/01/22/pdfs/GMD-1805-7.pdf#page=7","Abrir facsímil")</f>
        <v>Abrir facsímil</v>
      </c>
      <c r="K2376" s="15" t="s">
        <v>22</v>
      </c>
    </row>
    <row r="2377" spans="1:11" ht="42" customHeight="1">
      <c r="A2377" s="4" t="s">
        <v>5794</v>
      </c>
      <c r="B2377" s="5" t="s">
        <v>5795</v>
      </c>
      <c r="C2377" s="5" t="s">
        <v>17</v>
      </c>
      <c r="D2377" s="5" t="s">
        <v>18</v>
      </c>
      <c r="E2377" s="5" t="s">
        <v>399</v>
      </c>
      <c r="F2377" s="9">
        <v>39</v>
      </c>
      <c r="G2377" s="9">
        <v>421</v>
      </c>
      <c r="H2377" s="5" t="s">
        <v>20</v>
      </c>
      <c r="I2377" s="5" t="s">
        <v>5796</v>
      </c>
      <c r="J2377" s="12" t="str">
        <f>HYPERLINK("https://www.boe.es/gazeta/dias/1805/05/14/pdfs/GMD-1805-39.pdf#page=9","Abrir facsímil")</f>
        <v>Abrir facsímil</v>
      </c>
      <c r="K2377" s="15" t="s">
        <v>22</v>
      </c>
    </row>
    <row r="2378" spans="1:11" ht="42" customHeight="1">
      <c r="A2378" s="4" t="s">
        <v>5797</v>
      </c>
      <c r="B2378" s="5" t="s">
        <v>5798</v>
      </c>
      <c r="C2378" s="5" t="s">
        <v>35</v>
      </c>
      <c r="D2378" s="5" t="s">
        <v>36</v>
      </c>
      <c r="E2378" s="5" t="s">
        <v>67</v>
      </c>
      <c r="F2378" s="9">
        <v>98</v>
      </c>
      <c r="G2378" s="9">
        <v>1060</v>
      </c>
      <c r="H2378" s="5" t="s">
        <v>20</v>
      </c>
      <c r="I2378" s="5" t="s">
        <v>5799</v>
      </c>
      <c r="J2378" s="12" t="str">
        <f>HYPERLINK("https://www.boe.es/gazeta/dias/1805/12/06/pdfs/GMD-1805-98.pdf#page=12","Abrir facsímil")</f>
        <v>Abrir facsímil</v>
      </c>
      <c r="K2378" s="15" t="s">
        <v>22</v>
      </c>
    </row>
    <row r="2379" spans="1:11" ht="42" customHeight="1">
      <c r="A2379" s="4" t="s">
        <v>5800</v>
      </c>
      <c r="B2379" s="5" t="s">
        <v>5801</v>
      </c>
      <c r="C2379" s="5" t="s">
        <v>35</v>
      </c>
      <c r="D2379" s="5" t="s">
        <v>36</v>
      </c>
      <c r="E2379" s="5" t="s">
        <v>192</v>
      </c>
      <c r="F2379" s="9">
        <v>105</v>
      </c>
      <c r="G2379" s="9">
        <v>1138</v>
      </c>
      <c r="H2379" s="5" t="s">
        <v>20</v>
      </c>
      <c r="I2379" s="5" t="s">
        <v>5802</v>
      </c>
      <c r="J2379" s="12" t="str">
        <f>HYPERLINK("https://www.boe.es/gazeta/dias/1805/12/31/pdfs/GMD-1805-105.pdf#page=10","Abrir facsímil")</f>
        <v>Abrir facsímil</v>
      </c>
      <c r="K2379" s="15" t="s">
        <v>22</v>
      </c>
    </row>
    <row r="2380" spans="1:11" ht="42" customHeight="1">
      <c r="A2380" s="4" t="s">
        <v>5803</v>
      </c>
      <c r="B2380" s="5" t="s">
        <v>5804</v>
      </c>
      <c r="C2380" s="5" t="s">
        <v>85</v>
      </c>
      <c r="D2380" s="5" t="s">
        <v>86</v>
      </c>
      <c r="E2380" s="5" t="s">
        <v>1221</v>
      </c>
      <c r="F2380" s="9">
        <v>41</v>
      </c>
      <c r="G2380" s="9">
        <v>442</v>
      </c>
      <c r="H2380" s="5" t="s">
        <v>20</v>
      </c>
      <c r="I2380" s="5" t="s">
        <v>5805</v>
      </c>
      <c r="J2380" s="12" t="str">
        <f>HYPERLINK("https://www.boe.es/gazeta/dias/1805/05/21/pdfs/GMD-1805-41.pdf#page=10","Abrir facsímil")</f>
        <v>Abrir facsímil</v>
      </c>
      <c r="K2380" s="15" t="s">
        <v>22</v>
      </c>
    </row>
    <row r="2381" spans="1:11" ht="42" customHeight="1">
      <c r="A2381" s="4" t="s">
        <v>5803</v>
      </c>
      <c r="B2381" s="5" t="s">
        <v>5804</v>
      </c>
      <c r="C2381" s="5" t="s">
        <v>35</v>
      </c>
      <c r="D2381" s="5" t="s">
        <v>36</v>
      </c>
      <c r="E2381" s="5" t="s">
        <v>456</v>
      </c>
      <c r="F2381" s="9">
        <v>70</v>
      </c>
      <c r="G2381" s="9">
        <v>746</v>
      </c>
      <c r="H2381" s="5" t="s">
        <v>20</v>
      </c>
      <c r="I2381" s="5" t="s">
        <v>5806</v>
      </c>
      <c r="J2381" s="12" t="str">
        <f>HYPERLINK("https://www.boe.es/gazeta/dias/1805/08/30/pdfs/GMD-1805-70.pdf#page=6","Abrir facsímil")</f>
        <v>Abrir facsímil</v>
      </c>
      <c r="K2381" s="15" t="s">
        <v>22</v>
      </c>
    </row>
    <row r="2382" spans="1:11" ht="42" customHeight="1">
      <c r="A2382" s="4" t="s">
        <v>5807</v>
      </c>
      <c r="B2382" s="5" t="s">
        <v>5808</v>
      </c>
      <c r="C2382" s="5" t="s">
        <v>35</v>
      </c>
      <c r="D2382" s="5" t="s">
        <v>36</v>
      </c>
      <c r="E2382" s="5" t="s">
        <v>854</v>
      </c>
      <c r="F2382" s="9">
        <v>46</v>
      </c>
      <c r="G2382" s="9">
        <v>499</v>
      </c>
      <c r="H2382" s="5" t="s">
        <v>20</v>
      </c>
      <c r="I2382" s="5" t="s">
        <v>5809</v>
      </c>
      <c r="J2382" s="12" t="str">
        <f>HYPERLINK("https://www.boe.es/gazeta/dias/1805/06/07/pdfs/GMD-1805-46.pdf#page=11","Abrir facsímil")</f>
        <v>Abrir facsímil</v>
      </c>
      <c r="K2382" s="15" t="s">
        <v>22</v>
      </c>
    </row>
    <row r="2383" spans="1:11" ht="42" customHeight="1">
      <c r="A2383" s="4" t="s">
        <v>5810</v>
      </c>
      <c r="B2383" s="5" t="s">
        <v>5811</v>
      </c>
      <c r="C2383" s="5" t="s">
        <v>35</v>
      </c>
      <c r="D2383" s="5" t="s">
        <v>36</v>
      </c>
      <c r="E2383" s="5" t="s">
        <v>82</v>
      </c>
      <c r="F2383" s="9">
        <v>25</v>
      </c>
      <c r="G2383" s="9">
        <v>267</v>
      </c>
      <c r="H2383" s="5" t="s">
        <v>20</v>
      </c>
      <c r="I2383" s="5" t="s">
        <v>5812</v>
      </c>
      <c r="J2383" s="12" t="str">
        <f>HYPERLINK("https://www.boe.es/gazeta/dias/1805/03/26/pdfs/GMD-1805-25.pdf#page=7","Abrir facsímil")</f>
        <v>Abrir facsímil</v>
      </c>
      <c r="K2383" s="15" t="s">
        <v>22</v>
      </c>
    </row>
    <row r="2384" spans="1:11" ht="42" customHeight="1">
      <c r="A2384" s="4" t="s">
        <v>5813</v>
      </c>
      <c r="B2384" s="5" t="s">
        <v>5814</v>
      </c>
      <c r="C2384" s="5" t="s">
        <v>85</v>
      </c>
      <c r="D2384" s="5" t="s">
        <v>86</v>
      </c>
      <c r="E2384" s="5" t="s">
        <v>170</v>
      </c>
      <c r="F2384" s="9">
        <v>9</v>
      </c>
      <c r="G2384" s="9">
        <v>99</v>
      </c>
      <c r="H2384" s="5" t="s">
        <v>20</v>
      </c>
      <c r="I2384" s="5" t="s">
        <v>5815</v>
      </c>
      <c r="J2384" s="12" t="str">
        <f>HYPERLINK("https://www.boe.es/gazeta/dias/1805/01/29/pdfs/GMD-1805-9.pdf#page=7","Abrir facsímil")</f>
        <v>Abrir facsímil</v>
      </c>
      <c r="K2384" s="15" t="s">
        <v>22</v>
      </c>
    </row>
    <row r="2385" spans="1:11" ht="42" customHeight="1">
      <c r="A2385" s="4" t="s">
        <v>5816</v>
      </c>
      <c r="B2385" s="5" t="s">
        <v>5817</v>
      </c>
      <c r="C2385" s="5" t="s">
        <v>85</v>
      </c>
      <c r="D2385" s="5" t="s">
        <v>86</v>
      </c>
      <c r="E2385" s="5" t="s">
        <v>99</v>
      </c>
      <c r="F2385" s="9">
        <v>83</v>
      </c>
      <c r="G2385" s="9">
        <v>883</v>
      </c>
      <c r="H2385" s="5" t="s">
        <v>20</v>
      </c>
      <c r="I2385" s="5" t="s">
        <v>5818</v>
      </c>
      <c r="J2385" s="12" t="str">
        <f>HYPERLINK("https://www.boe.es/gazeta/dias/1805/10/15/pdfs/GMD-1805-83.pdf#page=11","Abrir facsímil")</f>
        <v>Abrir facsímil</v>
      </c>
      <c r="K2385" s="15" t="s">
        <v>22</v>
      </c>
    </row>
    <row r="2386" spans="1:11" ht="42" customHeight="1">
      <c r="A2386" s="4" t="s">
        <v>5816</v>
      </c>
      <c r="B2386" s="5" t="s">
        <v>5817</v>
      </c>
      <c r="C2386" s="5" t="s">
        <v>29</v>
      </c>
      <c r="D2386" s="5" t="s">
        <v>30</v>
      </c>
      <c r="E2386" s="5" t="s">
        <v>512</v>
      </c>
      <c r="F2386" s="9">
        <v>100</v>
      </c>
      <c r="G2386" s="9">
        <v>1083</v>
      </c>
      <c r="H2386" s="5" t="s">
        <v>20</v>
      </c>
      <c r="I2386" s="5" t="s">
        <v>5819</v>
      </c>
      <c r="J2386" s="12" t="str">
        <f>HYPERLINK("https://www.boe.es/gazeta/dias/1805/12/13/pdfs/GMD-1805-100.pdf#page=11","Abrir facsímil")</f>
        <v>Abrir facsímil</v>
      </c>
      <c r="K2386" s="15" t="s">
        <v>22</v>
      </c>
    </row>
    <row r="2387" spans="1:11" ht="42" customHeight="1">
      <c r="A2387" s="4" t="s">
        <v>5820</v>
      </c>
      <c r="B2387" s="5" t="s">
        <v>5821</v>
      </c>
      <c r="C2387" s="5" t="s">
        <v>35</v>
      </c>
      <c r="D2387" s="5" t="s">
        <v>36</v>
      </c>
      <c r="E2387" s="5" t="s">
        <v>117</v>
      </c>
      <c r="F2387" s="9">
        <v>20</v>
      </c>
      <c r="G2387" s="9">
        <v>209</v>
      </c>
      <c r="H2387" s="5" t="s">
        <v>20</v>
      </c>
      <c r="I2387" s="5" t="s">
        <v>5822</v>
      </c>
      <c r="J2387" s="12" t="str">
        <f>HYPERLINK("https://www.boe.es/gazeta/dias/1805/03/08/pdfs/GMD-1805-20.pdf#page=9","Abrir facsímil")</f>
        <v>Abrir facsímil</v>
      </c>
      <c r="K2387" s="15" t="s">
        <v>22</v>
      </c>
    </row>
    <row r="2388" spans="1:11" ht="42" customHeight="1">
      <c r="A2388" s="4" t="s">
        <v>5823</v>
      </c>
      <c r="B2388" s="5" t="s">
        <v>5824</v>
      </c>
      <c r="C2388" s="5" t="s">
        <v>184</v>
      </c>
      <c r="D2388" s="5" t="s">
        <v>86</v>
      </c>
      <c r="E2388" s="5" t="s">
        <v>114</v>
      </c>
      <c r="F2388" s="9">
        <v>17</v>
      </c>
      <c r="G2388" s="9">
        <v>179</v>
      </c>
      <c r="H2388" s="5" t="s">
        <v>20</v>
      </c>
      <c r="I2388" s="5" t="s">
        <v>5825</v>
      </c>
      <c r="J2388" s="12" t="str">
        <f>HYPERLINK("https://www.boe.es/gazeta/dias/1805/02/26/pdfs/GMD-1805-17.pdf#page=11","Abrir facsímil")</f>
        <v>Abrir facsímil</v>
      </c>
      <c r="K2388" s="15" t="s">
        <v>22</v>
      </c>
    </row>
    <row r="2389" spans="1:11" ht="42" customHeight="1">
      <c r="A2389" s="4" t="s">
        <v>5826</v>
      </c>
      <c r="B2389" s="5" t="s">
        <v>5827</v>
      </c>
      <c r="C2389" s="5" t="s">
        <v>29</v>
      </c>
      <c r="D2389" s="5" t="s">
        <v>30</v>
      </c>
      <c r="E2389" s="5" t="s">
        <v>506</v>
      </c>
      <c r="F2389" s="9">
        <v>80</v>
      </c>
      <c r="G2389" s="9">
        <v>852</v>
      </c>
      <c r="H2389" s="5" t="s">
        <v>20</v>
      </c>
      <c r="I2389" s="5" t="s">
        <v>5828</v>
      </c>
      <c r="J2389" s="12" t="str">
        <f>HYPERLINK("https://www.boe.es/gazeta/dias/1805/10/04/pdfs/GMD-1805-80.pdf#page=12","Abrir facsímil")</f>
        <v>Abrir facsímil</v>
      </c>
      <c r="K2389" s="15" t="s">
        <v>22</v>
      </c>
    </row>
    <row r="2390" spans="1:11" ht="42" customHeight="1">
      <c r="A2390" s="4" t="s">
        <v>5826</v>
      </c>
      <c r="B2390" s="5" t="s">
        <v>5827</v>
      </c>
      <c r="C2390" s="5" t="s">
        <v>29</v>
      </c>
      <c r="D2390" s="5" t="s">
        <v>30</v>
      </c>
      <c r="E2390" s="5" t="s">
        <v>512</v>
      </c>
      <c r="F2390" s="9">
        <v>100</v>
      </c>
      <c r="G2390" s="9">
        <v>1083</v>
      </c>
      <c r="H2390" s="5" t="s">
        <v>20</v>
      </c>
      <c r="I2390" s="5" t="s">
        <v>5829</v>
      </c>
      <c r="J2390" s="12" t="str">
        <f>HYPERLINK("https://www.boe.es/gazeta/dias/1805/12/13/pdfs/GMD-1805-100.pdf#page=11","Abrir facsímil")</f>
        <v>Abrir facsímil</v>
      </c>
      <c r="K2390" s="15" t="s">
        <v>22</v>
      </c>
    </row>
    <row r="2391" spans="1:11" ht="42" customHeight="1">
      <c r="A2391" s="4" t="s">
        <v>5830</v>
      </c>
      <c r="B2391" s="5" t="s">
        <v>5831</v>
      </c>
      <c r="C2391" s="5" t="s">
        <v>35</v>
      </c>
      <c r="D2391" s="5" t="s">
        <v>36</v>
      </c>
      <c r="E2391" s="5" t="s">
        <v>71</v>
      </c>
      <c r="F2391" s="9">
        <v>33</v>
      </c>
      <c r="G2391" s="9">
        <v>351</v>
      </c>
      <c r="H2391" s="5" t="s">
        <v>20</v>
      </c>
      <c r="I2391" s="5" t="s">
        <v>5832</v>
      </c>
      <c r="J2391" s="12" t="str">
        <f>HYPERLINK("https://www.boe.es/gazeta/dias/1805/04/23/pdfs/GMD-1805-33.pdf#page=7","Abrir facsímil")</f>
        <v>Abrir facsímil</v>
      </c>
      <c r="K2391" s="15" t="s">
        <v>22</v>
      </c>
    </row>
    <row r="2392" spans="1:11" ht="42" customHeight="1">
      <c r="A2392" s="4" t="s">
        <v>5833</v>
      </c>
      <c r="B2392" s="5" t="s">
        <v>5834</v>
      </c>
      <c r="C2392" s="5" t="s">
        <v>85</v>
      </c>
      <c r="D2392" s="5" t="s">
        <v>86</v>
      </c>
      <c r="E2392" s="5" t="s">
        <v>188</v>
      </c>
      <c r="F2392" s="9">
        <v>68</v>
      </c>
      <c r="G2392" s="9">
        <v>728</v>
      </c>
      <c r="H2392" s="5" t="s">
        <v>20</v>
      </c>
      <c r="I2392" s="5" t="s">
        <v>5835</v>
      </c>
      <c r="J2392" s="12" t="str">
        <f>HYPERLINK("https://www.boe.es/gazeta/dias/1805/08/23/pdfs/GMD-1805-68.pdf#page=8","Abrir facsímil")</f>
        <v>Abrir facsímil</v>
      </c>
      <c r="K2392" s="15" t="s">
        <v>22</v>
      </c>
    </row>
    <row r="2393" spans="1:11" ht="42" customHeight="1">
      <c r="A2393" s="4" t="s">
        <v>5836</v>
      </c>
      <c r="B2393" s="5" t="s">
        <v>5837</v>
      </c>
      <c r="C2393" s="5" t="s">
        <v>35</v>
      </c>
      <c r="D2393" s="5" t="s">
        <v>36</v>
      </c>
      <c r="E2393" s="5" t="s">
        <v>141</v>
      </c>
      <c r="F2393" s="9">
        <v>82</v>
      </c>
      <c r="G2393" s="9">
        <v>870</v>
      </c>
      <c r="H2393" s="5" t="s">
        <v>20</v>
      </c>
      <c r="I2393" s="5" t="s">
        <v>5838</v>
      </c>
      <c r="J2393" s="12" t="str">
        <f>HYPERLINK("https://www.boe.es/gazeta/dias/1805/10/11/pdfs/GMD-1805-82.pdf#page=10","Abrir facsímil")</f>
        <v>Abrir facsímil</v>
      </c>
      <c r="K2393" s="15" t="s">
        <v>22</v>
      </c>
    </row>
    <row r="2394" spans="1:11" ht="42" customHeight="1">
      <c r="A2394" s="4" t="s">
        <v>5839</v>
      </c>
      <c r="B2394" s="5" t="s">
        <v>5840</v>
      </c>
      <c r="C2394" s="5" t="s">
        <v>17</v>
      </c>
      <c r="D2394" s="5" t="s">
        <v>18</v>
      </c>
      <c r="E2394" s="5" t="s">
        <v>352</v>
      </c>
      <c r="F2394" s="9">
        <v>60</v>
      </c>
      <c r="G2394" s="9">
        <v>646</v>
      </c>
      <c r="H2394" s="5" t="s">
        <v>20</v>
      </c>
      <c r="I2394" s="5" t="s">
        <v>5841</v>
      </c>
      <c r="J2394" s="12" t="str">
        <f>HYPERLINK("https://www.boe.es/gazeta/dias/1805/07/26/pdfs/GMD-1805-60.pdf#page=10","Abrir facsímil")</f>
        <v>Abrir facsímil</v>
      </c>
      <c r="K2394" s="15" t="s">
        <v>22</v>
      </c>
    </row>
    <row r="2395" spans="1:11" ht="42" customHeight="1">
      <c r="A2395" s="4" t="s">
        <v>5842</v>
      </c>
      <c r="B2395" s="5" t="s">
        <v>5843</v>
      </c>
      <c r="C2395" s="5" t="s">
        <v>29</v>
      </c>
      <c r="D2395" s="5" t="s">
        <v>30</v>
      </c>
      <c r="E2395" s="5" t="s">
        <v>82</v>
      </c>
      <c r="F2395" s="9">
        <v>25</v>
      </c>
      <c r="G2395" s="9">
        <v>268</v>
      </c>
      <c r="H2395" s="5" t="s">
        <v>20</v>
      </c>
      <c r="I2395" s="5" t="s">
        <v>5844</v>
      </c>
      <c r="J2395" s="12" t="str">
        <f>HYPERLINK("https://www.boe.es/gazeta/dias/1805/03/26/pdfs/GMD-1805-25.pdf#page=8","Abrir facsímil")</f>
        <v>Abrir facsímil</v>
      </c>
      <c r="K2395" s="15" t="s">
        <v>22</v>
      </c>
    </row>
    <row r="2396" spans="1:11" ht="42" customHeight="1">
      <c r="A2396" s="4" t="s">
        <v>5842</v>
      </c>
      <c r="B2396" s="5" t="s">
        <v>5843</v>
      </c>
      <c r="C2396" s="5" t="s">
        <v>17</v>
      </c>
      <c r="D2396" s="5" t="s">
        <v>18</v>
      </c>
      <c r="E2396" s="5" t="s">
        <v>296</v>
      </c>
      <c r="F2396" s="9">
        <v>26</v>
      </c>
      <c r="G2396" s="9">
        <v>278</v>
      </c>
      <c r="H2396" s="5" t="s">
        <v>20</v>
      </c>
      <c r="I2396" s="5" t="s">
        <v>5845</v>
      </c>
      <c r="J2396" s="12" t="str">
        <f>HYPERLINK("https://www.boe.es/gazeta/dias/1805/03/29/pdfs/GMD-1805-26.pdf#page=10","Abrir facsímil")</f>
        <v>Abrir facsímil</v>
      </c>
      <c r="K2396" s="15" t="s">
        <v>22</v>
      </c>
    </row>
    <row r="2397" spans="1:11" ht="42" customHeight="1">
      <c r="A2397" s="4" t="s">
        <v>5842</v>
      </c>
      <c r="B2397" s="5" t="s">
        <v>5843</v>
      </c>
      <c r="C2397" s="5" t="s">
        <v>29</v>
      </c>
      <c r="D2397" s="5" t="s">
        <v>30</v>
      </c>
      <c r="E2397" s="5" t="s">
        <v>352</v>
      </c>
      <c r="F2397" s="9">
        <v>60</v>
      </c>
      <c r="G2397" s="9">
        <v>647</v>
      </c>
      <c r="H2397" s="5" t="s">
        <v>20</v>
      </c>
      <c r="I2397" s="5" t="s">
        <v>5846</v>
      </c>
      <c r="J2397" s="12" t="str">
        <f>HYPERLINK("https://www.boe.es/gazeta/dias/1805/07/26/pdfs/GMD-1805-60.pdf#page=11","Abrir facsímil")</f>
        <v>Abrir facsímil</v>
      </c>
      <c r="K2397" s="15" t="s">
        <v>22</v>
      </c>
    </row>
    <row r="2398" spans="1:11" ht="42" customHeight="1">
      <c r="A2398" s="4" t="s">
        <v>5847</v>
      </c>
      <c r="B2398" s="5" t="s">
        <v>5848</v>
      </c>
      <c r="C2398" s="5" t="s">
        <v>35</v>
      </c>
      <c r="D2398" s="5" t="s">
        <v>36</v>
      </c>
      <c r="E2398" s="5" t="s">
        <v>864</v>
      </c>
      <c r="F2398" s="9">
        <v>88</v>
      </c>
      <c r="G2398" s="9">
        <v>938</v>
      </c>
      <c r="H2398" s="5" t="s">
        <v>20</v>
      </c>
      <c r="I2398" s="5" t="s">
        <v>5849</v>
      </c>
      <c r="J2398" s="12" t="str">
        <f>HYPERLINK("https://www.boe.es/gazeta/dias/1805/11/01/pdfs/GMD-1805-88.pdf#page=10","Abrir facsímil")</f>
        <v>Abrir facsímil</v>
      </c>
      <c r="K2398" s="15" t="s">
        <v>22</v>
      </c>
    </row>
    <row r="2399" spans="1:11" ht="42" customHeight="1">
      <c r="A2399" s="4" t="s">
        <v>5847</v>
      </c>
      <c r="B2399" s="5" t="s">
        <v>5848</v>
      </c>
      <c r="C2399" s="5" t="s">
        <v>184</v>
      </c>
      <c r="D2399" s="5" t="s">
        <v>86</v>
      </c>
      <c r="E2399" s="5" t="s">
        <v>181</v>
      </c>
      <c r="F2399" s="9">
        <v>90</v>
      </c>
      <c r="G2399" s="9">
        <v>965</v>
      </c>
      <c r="H2399" s="5" t="s">
        <v>20</v>
      </c>
      <c r="I2399" s="5" t="s">
        <v>5850</v>
      </c>
      <c r="J2399" s="12" t="str">
        <f>HYPERLINK("https://www.boe.es/gazeta/dias/1805/11/08/pdfs/GMD-1805-90.pdf#page=9","Abrir facsímil")</f>
        <v>Abrir facsímil</v>
      </c>
      <c r="K2399" s="15" t="s">
        <v>22</v>
      </c>
    </row>
    <row r="2400" spans="1:11" ht="42" customHeight="1">
      <c r="A2400" s="4" t="s">
        <v>5851</v>
      </c>
      <c r="B2400" s="5" t="s">
        <v>5852</v>
      </c>
      <c r="C2400" s="5" t="s">
        <v>85</v>
      </c>
      <c r="D2400" s="5" t="s">
        <v>86</v>
      </c>
      <c r="E2400" s="5" t="s">
        <v>107</v>
      </c>
      <c r="F2400" s="9">
        <v>19</v>
      </c>
      <c r="G2400" s="9">
        <v>198</v>
      </c>
      <c r="H2400" s="5" t="s">
        <v>20</v>
      </c>
      <c r="I2400" s="5" t="s">
        <v>5853</v>
      </c>
      <c r="J2400" s="12" t="str">
        <f>HYPERLINK("https://www.boe.es/gazeta/dias/1805/03/05/pdfs/GMD-1805-19.pdf#page=10","Abrir facsímil")</f>
        <v>Abrir facsímil</v>
      </c>
      <c r="K2400" s="15" t="s">
        <v>22</v>
      </c>
    </row>
    <row r="2401" spans="1:11" ht="42" customHeight="1">
      <c r="A2401" s="4" t="s">
        <v>5854</v>
      </c>
      <c r="B2401" s="5" t="s">
        <v>5855</v>
      </c>
      <c r="C2401" s="5" t="s">
        <v>17</v>
      </c>
      <c r="D2401" s="5" t="s">
        <v>18</v>
      </c>
      <c r="E2401" s="5" t="s">
        <v>44</v>
      </c>
      <c r="F2401" s="9">
        <v>29</v>
      </c>
      <c r="G2401" s="9">
        <v>313</v>
      </c>
      <c r="H2401" s="5" t="s">
        <v>20</v>
      </c>
      <c r="I2401" s="5" t="s">
        <v>5856</v>
      </c>
      <c r="J2401" s="12" t="str">
        <f>HYPERLINK("https://www.boe.es/gazeta/dias/1805/04/09/pdfs/GMD-1805-29.pdf#page=9","Abrir facsímil")</f>
        <v>Abrir facsímil</v>
      </c>
      <c r="K2401" s="15" t="s">
        <v>22</v>
      </c>
    </row>
    <row r="2402" spans="1:11" ht="42" customHeight="1">
      <c r="A2402" s="4" t="s">
        <v>5857</v>
      </c>
      <c r="B2402" s="5" t="s">
        <v>5858</v>
      </c>
      <c r="C2402" s="5" t="s">
        <v>29</v>
      </c>
      <c r="D2402" s="5" t="s">
        <v>30</v>
      </c>
      <c r="E2402" s="5" t="s">
        <v>170</v>
      </c>
      <c r="F2402" s="9">
        <v>9</v>
      </c>
      <c r="G2402" s="9">
        <v>104</v>
      </c>
      <c r="H2402" s="5" t="s">
        <v>20</v>
      </c>
      <c r="I2402" s="5" t="s">
        <v>5859</v>
      </c>
      <c r="J2402" s="12" t="str">
        <f>HYPERLINK("https://www.boe.es/gazeta/dias/1805/01/29/pdfs/GMD-1805-9.pdf#page=12","Abrir facsímil")</f>
        <v>Abrir facsímil</v>
      </c>
      <c r="K2402" s="15" t="s">
        <v>22</v>
      </c>
    </row>
    <row r="2403" spans="1:11" ht="42" customHeight="1">
      <c r="A2403" s="4" t="s">
        <v>5857</v>
      </c>
      <c r="B2403" s="5" t="s">
        <v>5858</v>
      </c>
      <c r="C2403" s="5" t="s">
        <v>29</v>
      </c>
      <c r="D2403" s="5" t="s">
        <v>30</v>
      </c>
      <c r="E2403" s="5" t="s">
        <v>114</v>
      </c>
      <c r="F2403" s="9">
        <v>17</v>
      </c>
      <c r="G2403" s="9">
        <v>180</v>
      </c>
      <c r="H2403" s="5" t="s">
        <v>20</v>
      </c>
      <c r="I2403" s="5" t="s">
        <v>5860</v>
      </c>
      <c r="J2403" s="12" t="str">
        <f>HYPERLINK("https://www.boe.es/gazeta/dias/1805/02/26/pdfs/GMD-1805-17.pdf#page=12","Abrir facsímil")</f>
        <v>Abrir facsímil</v>
      </c>
      <c r="K2403" s="15" t="s">
        <v>22</v>
      </c>
    </row>
    <row r="2404" spans="1:11" ht="42" customHeight="1">
      <c r="A2404" s="4" t="s">
        <v>5857</v>
      </c>
      <c r="B2404" s="5" t="s">
        <v>5858</v>
      </c>
      <c r="C2404" s="5" t="s">
        <v>29</v>
      </c>
      <c r="D2404" s="5" t="s">
        <v>30</v>
      </c>
      <c r="E2404" s="5" t="s">
        <v>120</v>
      </c>
      <c r="F2404" s="9">
        <v>24</v>
      </c>
      <c r="G2404" s="9">
        <v>260</v>
      </c>
      <c r="H2404" s="5" t="s">
        <v>20</v>
      </c>
      <c r="I2404" s="5" t="s">
        <v>5861</v>
      </c>
      <c r="J2404" s="12" t="str">
        <f>HYPERLINK("https://www.boe.es/gazeta/dias/1805/03/22/pdfs/GMD-1805-24.pdf#page=12","Abrir facsímil")</f>
        <v>Abrir facsímil</v>
      </c>
      <c r="K2404" s="15" t="s">
        <v>22</v>
      </c>
    </row>
    <row r="2405" spans="1:11" ht="42" customHeight="1">
      <c r="A2405" s="4" t="s">
        <v>5862</v>
      </c>
      <c r="B2405" s="5" t="s">
        <v>5863</v>
      </c>
      <c r="C2405" s="5" t="s">
        <v>29</v>
      </c>
      <c r="D2405" s="5" t="s">
        <v>30</v>
      </c>
      <c r="E2405" s="5" t="s">
        <v>114</v>
      </c>
      <c r="F2405" s="9">
        <v>17</v>
      </c>
      <c r="G2405" s="9">
        <v>178</v>
      </c>
      <c r="H2405" s="5" t="s">
        <v>20</v>
      </c>
      <c r="I2405" s="5" t="s">
        <v>5864</v>
      </c>
      <c r="J2405" s="12" t="str">
        <f>HYPERLINK("https://www.boe.es/gazeta/dias/1805/02/26/pdfs/GMD-1805-17.pdf#page=10","Abrir facsímil")</f>
        <v>Abrir facsímil</v>
      </c>
      <c r="K2405" s="15" t="s">
        <v>22</v>
      </c>
    </row>
    <row r="2406" spans="1:11" ht="42" customHeight="1">
      <c r="A2406" s="4" t="s">
        <v>5865</v>
      </c>
      <c r="B2406" s="5" t="s">
        <v>5866</v>
      </c>
      <c r="C2406" s="5" t="s">
        <v>17</v>
      </c>
      <c r="D2406" s="5" t="s">
        <v>18</v>
      </c>
      <c r="E2406" s="5" t="s">
        <v>711</v>
      </c>
      <c r="F2406" s="9">
        <v>63</v>
      </c>
      <c r="G2406" s="9">
        <v>674</v>
      </c>
      <c r="H2406" s="5" t="s">
        <v>20</v>
      </c>
      <c r="I2406" s="5" t="s">
        <v>5867</v>
      </c>
      <c r="J2406" s="12" t="str">
        <f>HYPERLINK("https://www.boe.es/gazeta/dias/1805/08/06/pdfs/GMD-1805-63.pdf#page=10","Abrir facsímil")</f>
        <v>Abrir facsímil</v>
      </c>
      <c r="K2406" s="15" t="s">
        <v>22</v>
      </c>
    </row>
    <row r="2407" spans="1:11" ht="42" customHeight="1">
      <c r="A2407" s="4" t="s">
        <v>5868</v>
      </c>
      <c r="B2407" s="5" t="s">
        <v>5869</v>
      </c>
      <c r="C2407" s="5" t="s">
        <v>17</v>
      </c>
      <c r="D2407" s="5" t="s">
        <v>18</v>
      </c>
      <c r="E2407" s="5" t="s">
        <v>63</v>
      </c>
      <c r="F2407" s="9">
        <v>101</v>
      </c>
      <c r="G2407" s="9">
        <v>1092</v>
      </c>
      <c r="H2407" s="5" t="s">
        <v>20</v>
      </c>
      <c r="I2407" s="5" t="s">
        <v>5870</v>
      </c>
      <c r="J2407" s="12" t="str">
        <f>HYPERLINK("https://www.boe.es/gazeta/dias/1805/12/17/pdfs/GMD-1805-101.pdf#page=8","Abrir facsímil")</f>
        <v>Abrir facsímil</v>
      </c>
      <c r="K2407" s="15" t="s">
        <v>22</v>
      </c>
    </row>
    <row r="2408" spans="1:11" ht="42" customHeight="1">
      <c r="A2408" s="4" t="s">
        <v>5871</v>
      </c>
      <c r="B2408" s="5" t="s">
        <v>5872</v>
      </c>
      <c r="C2408" s="5" t="s">
        <v>29</v>
      </c>
      <c r="D2408" s="5" t="s">
        <v>30</v>
      </c>
      <c r="E2408" s="5" t="s">
        <v>296</v>
      </c>
      <c r="F2408" s="9">
        <v>26</v>
      </c>
      <c r="G2408" s="9">
        <v>278</v>
      </c>
      <c r="H2408" s="5" t="s">
        <v>20</v>
      </c>
      <c r="I2408" s="5" t="s">
        <v>5873</v>
      </c>
      <c r="J2408" s="12" t="str">
        <f>HYPERLINK("https://www.boe.es/gazeta/dias/1805/03/29/pdfs/GMD-1805-26.pdf#page=10","Abrir facsímil")</f>
        <v>Abrir facsímil</v>
      </c>
      <c r="K2408" s="15" t="s">
        <v>22</v>
      </c>
    </row>
    <row r="2409" spans="1:11" ht="42" customHeight="1">
      <c r="A2409" s="4" t="s">
        <v>5874</v>
      </c>
      <c r="B2409" s="5" t="s">
        <v>5875</v>
      </c>
      <c r="C2409" s="5" t="s">
        <v>85</v>
      </c>
      <c r="D2409" s="5" t="s">
        <v>86</v>
      </c>
      <c r="E2409" s="5" t="s">
        <v>1259</v>
      </c>
      <c r="F2409" s="9">
        <v>78</v>
      </c>
      <c r="G2409" s="9">
        <v>827</v>
      </c>
      <c r="H2409" s="5" t="s">
        <v>20</v>
      </c>
      <c r="I2409" s="5" t="s">
        <v>5876</v>
      </c>
      <c r="J2409" s="12" t="str">
        <f>HYPERLINK("https://www.boe.es/gazeta/dias/1805/09/27/pdfs/GMD-1805-78.pdf#page=7","Abrir facsímil")</f>
        <v>Abrir facsímil</v>
      </c>
      <c r="K2409" s="15" t="s">
        <v>22</v>
      </c>
    </row>
    <row r="2410" spans="1:11" ht="42" customHeight="1">
      <c r="A2410" s="4" t="s">
        <v>5877</v>
      </c>
      <c r="B2410" s="5" t="s">
        <v>5878</v>
      </c>
      <c r="C2410" s="5" t="s">
        <v>17</v>
      </c>
      <c r="D2410" s="5" t="s">
        <v>18</v>
      </c>
      <c r="E2410" s="5" t="s">
        <v>886</v>
      </c>
      <c r="F2410" s="9">
        <v>93</v>
      </c>
      <c r="G2410" s="9">
        <v>1000</v>
      </c>
      <c r="H2410" s="5" t="s">
        <v>20</v>
      </c>
      <c r="I2410" s="5" t="s">
        <v>5879</v>
      </c>
      <c r="J2410" s="12" t="str">
        <f>HYPERLINK("https://www.boe.es/gazeta/dias/1805/11/19/pdfs/GMD-1805-93.pdf#page=12","Abrir facsímil")</f>
        <v>Abrir facsímil</v>
      </c>
      <c r="K2410" s="15" t="s">
        <v>22</v>
      </c>
    </row>
    <row r="2411" spans="1:11" ht="42" customHeight="1">
      <c r="A2411" s="4" t="s">
        <v>5880</v>
      </c>
      <c r="B2411" s="5" t="s">
        <v>5881</v>
      </c>
      <c r="C2411" s="5" t="s">
        <v>17</v>
      </c>
      <c r="D2411" s="5" t="s">
        <v>18</v>
      </c>
      <c r="E2411" s="5" t="s">
        <v>409</v>
      </c>
      <c r="F2411" s="9">
        <v>69</v>
      </c>
      <c r="G2411" s="9">
        <v>739</v>
      </c>
      <c r="H2411" s="5" t="s">
        <v>20</v>
      </c>
      <c r="I2411" s="5" t="s">
        <v>5882</v>
      </c>
      <c r="J2411" s="12" t="str">
        <f>HYPERLINK("https://www.boe.es/gazeta/dias/1805/08/27/pdfs/GMD-1805-69.pdf#page=7","Abrir facsímil")</f>
        <v>Abrir facsímil</v>
      </c>
      <c r="K2411" s="15" t="s">
        <v>22</v>
      </c>
    </row>
    <row r="2412" spans="1:11" ht="42" customHeight="1">
      <c r="A2412" s="4" t="s">
        <v>5883</v>
      </c>
      <c r="B2412" s="5" t="s">
        <v>5884</v>
      </c>
      <c r="C2412" s="5" t="s">
        <v>35</v>
      </c>
      <c r="D2412" s="5" t="s">
        <v>36</v>
      </c>
      <c r="E2412" s="5" t="s">
        <v>87</v>
      </c>
      <c r="F2412" s="9">
        <v>14</v>
      </c>
      <c r="G2412" s="9">
        <v>147</v>
      </c>
      <c r="H2412" s="5" t="s">
        <v>20</v>
      </c>
      <c r="I2412" s="5" t="s">
        <v>5885</v>
      </c>
      <c r="J2412" s="12" t="str">
        <f>HYPERLINK("https://www.boe.es/gazeta/dias/1805/02/15/pdfs/GMD-1805-14.pdf#page=7","Abrir facsímil")</f>
        <v>Abrir facsímil</v>
      </c>
      <c r="K2412" s="15" t="s">
        <v>22</v>
      </c>
    </row>
    <row r="2413" spans="1:11" ht="42" customHeight="1">
      <c r="A2413" s="4" t="s">
        <v>5886</v>
      </c>
      <c r="B2413" s="5" t="s">
        <v>5887</v>
      </c>
      <c r="C2413" s="5" t="s">
        <v>184</v>
      </c>
      <c r="D2413" s="5" t="s">
        <v>86</v>
      </c>
      <c r="E2413" s="5" t="s">
        <v>512</v>
      </c>
      <c r="F2413" s="9">
        <v>100</v>
      </c>
      <c r="G2413" s="9">
        <v>1081</v>
      </c>
      <c r="H2413" s="5" t="s">
        <v>20</v>
      </c>
      <c r="I2413" s="5" t="s">
        <v>5888</v>
      </c>
      <c r="J2413" s="12" t="str">
        <f>HYPERLINK("https://www.boe.es/gazeta/dias/1805/12/13/pdfs/GMD-1805-100.pdf#page=9","Abrir facsímil")</f>
        <v>Abrir facsímil</v>
      </c>
      <c r="K2413" s="15" t="s">
        <v>22</v>
      </c>
    </row>
    <row r="2414" spans="1:11" ht="42" customHeight="1">
      <c r="A2414" s="4" t="s">
        <v>5889</v>
      </c>
      <c r="B2414" s="5" t="s">
        <v>5890</v>
      </c>
      <c r="C2414" s="5" t="s">
        <v>35</v>
      </c>
      <c r="D2414" s="5" t="s">
        <v>36</v>
      </c>
      <c r="E2414" s="5" t="s">
        <v>512</v>
      </c>
      <c r="F2414" s="9">
        <v>100</v>
      </c>
      <c r="G2414" s="9">
        <v>1082</v>
      </c>
      <c r="H2414" s="5" t="s">
        <v>20</v>
      </c>
      <c r="I2414" s="5" t="s">
        <v>5891</v>
      </c>
      <c r="J2414" s="12" t="str">
        <f>HYPERLINK("https://www.boe.es/gazeta/dias/1805/12/13/pdfs/GMD-1805-100.pdf#page=10","Abrir facsímil")</f>
        <v>Abrir facsímil</v>
      </c>
      <c r="K2414" s="15" t="s">
        <v>22</v>
      </c>
    </row>
    <row r="2415" spans="1:11" ht="42" customHeight="1">
      <c r="A2415" s="4" t="s">
        <v>5892</v>
      </c>
      <c r="B2415" s="5" t="s">
        <v>5893</v>
      </c>
      <c r="C2415" s="5" t="s">
        <v>52</v>
      </c>
      <c r="D2415" s="5" t="s">
        <v>53</v>
      </c>
      <c r="E2415" s="5" t="s">
        <v>54</v>
      </c>
      <c r="F2415" s="9">
        <v>99</v>
      </c>
      <c r="G2415" s="9" t="s">
        <v>159</v>
      </c>
      <c r="H2415" s="5" t="s">
        <v>20</v>
      </c>
      <c r="I2415" s="5" t="s">
        <v>5894</v>
      </c>
      <c r="J2415" s="12" t="str">
        <f>HYPERLINK("https://www.boe.es/gazeta/dias/1805/12/10/pdfs/GMD-C-1805-99.pdf#page=3","Abrir facsímil")</f>
        <v>Abrir facsímil</v>
      </c>
      <c r="K2415" s="15" t="s">
        <v>22</v>
      </c>
    </row>
    <row r="2416" spans="1:11" ht="42" customHeight="1">
      <c r="A2416" s="4" t="s">
        <v>5895</v>
      </c>
      <c r="B2416" s="5" t="s">
        <v>5896</v>
      </c>
      <c r="C2416" s="5" t="s">
        <v>35</v>
      </c>
      <c r="D2416" s="5" t="s">
        <v>36</v>
      </c>
      <c r="E2416" s="5" t="s">
        <v>327</v>
      </c>
      <c r="F2416" s="9">
        <v>10</v>
      </c>
      <c r="G2416" s="9">
        <v>109</v>
      </c>
      <c r="H2416" s="5" t="s">
        <v>20</v>
      </c>
      <c r="I2416" s="5" t="s">
        <v>5897</v>
      </c>
      <c r="J2416" s="12" t="str">
        <f>HYPERLINK("https://www.boe.es/gazeta/dias/1805/02/01/pdfs/GMD-1805-10.pdf#page=5","Abrir facsímil")</f>
        <v>Abrir facsímil</v>
      </c>
      <c r="K2416" s="15" t="s">
        <v>22</v>
      </c>
    </row>
    <row r="2417" spans="1:11" ht="42" customHeight="1">
      <c r="A2417" s="4" t="s">
        <v>5898</v>
      </c>
      <c r="B2417" s="5" t="s">
        <v>5899</v>
      </c>
      <c r="C2417" s="5" t="s">
        <v>35</v>
      </c>
      <c r="D2417" s="5" t="s">
        <v>36</v>
      </c>
      <c r="E2417" s="5" t="s">
        <v>226</v>
      </c>
      <c r="F2417" s="9">
        <v>73</v>
      </c>
      <c r="G2417" s="9">
        <v>774</v>
      </c>
      <c r="H2417" s="5" t="s">
        <v>20</v>
      </c>
      <c r="I2417" s="5" t="s">
        <v>5900</v>
      </c>
      <c r="J2417" s="12" t="str">
        <f>HYPERLINK("https://www.boe.es/gazeta/dias/1805/09/10/pdfs/GMD-1805-73.pdf#page=6","Abrir facsímil")</f>
        <v>Abrir facsímil</v>
      </c>
      <c r="K2417" s="15" t="s">
        <v>22</v>
      </c>
    </row>
    <row r="2418" spans="1:11" ht="42" customHeight="1">
      <c r="A2418" s="4" t="s">
        <v>5898</v>
      </c>
      <c r="B2418" s="5" t="s">
        <v>5899</v>
      </c>
      <c r="C2418" s="5" t="s">
        <v>52</v>
      </c>
      <c r="D2418" s="5" t="s">
        <v>53</v>
      </c>
      <c r="E2418" s="5" t="s">
        <v>144</v>
      </c>
      <c r="F2418" s="9">
        <v>85</v>
      </c>
      <c r="G2418" s="9" t="s">
        <v>55</v>
      </c>
      <c r="H2418" s="5" t="s">
        <v>20</v>
      </c>
      <c r="I2418" s="5" t="s">
        <v>5901</v>
      </c>
      <c r="J2418" s="12" t="str">
        <f>HYPERLINK("https://www.boe.es/gazeta/dias/1805/10/22/pdfs/GMD-C-1805-85.pdf#page=4","Abrir facsímil")</f>
        <v>Abrir facsímil</v>
      </c>
      <c r="K2418" s="15" t="s">
        <v>22</v>
      </c>
    </row>
    <row r="2419" spans="1:11" ht="42" customHeight="1">
      <c r="A2419" s="4" t="s">
        <v>5898</v>
      </c>
      <c r="B2419" s="5" t="s">
        <v>5899</v>
      </c>
      <c r="C2419" s="5" t="s">
        <v>35</v>
      </c>
      <c r="D2419" s="5" t="s">
        <v>36</v>
      </c>
      <c r="E2419" s="5" t="s">
        <v>192</v>
      </c>
      <c r="F2419" s="9">
        <v>105</v>
      </c>
      <c r="G2419" s="9">
        <v>1137</v>
      </c>
      <c r="H2419" s="5" t="s">
        <v>20</v>
      </c>
      <c r="I2419" s="5" t="s">
        <v>5902</v>
      </c>
      <c r="J2419" s="12" t="str">
        <f>HYPERLINK("https://www.boe.es/gazeta/dias/1805/12/31/pdfs/GMD-1805-105.pdf#page=9","Abrir facsímil")</f>
        <v>Abrir facsímil</v>
      </c>
      <c r="K2419" s="15" t="s">
        <v>22</v>
      </c>
    </row>
    <row r="2420" spans="1:11" ht="42" customHeight="1">
      <c r="A2420" s="4" t="s">
        <v>5903</v>
      </c>
      <c r="B2420" s="5" t="s">
        <v>5904</v>
      </c>
      <c r="C2420" s="5" t="s">
        <v>17</v>
      </c>
      <c r="D2420" s="5" t="s">
        <v>18</v>
      </c>
      <c r="E2420" s="5" t="s">
        <v>290</v>
      </c>
      <c r="F2420" s="9">
        <v>36</v>
      </c>
      <c r="G2420" s="9">
        <v>388</v>
      </c>
      <c r="H2420" s="5" t="s">
        <v>20</v>
      </c>
      <c r="I2420" s="5" t="s">
        <v>5905</v>
      </c>
      <c r="J2420" s="12" t="str">
        <f>HYPERLINK("https://www.boe.es/gazeta/dias/1805/05/03/pdfs/GMD-1805-36.pdf#page=8","Abrir facsímil")</f>
        <v>Abrir facsímil</v>
      </c>
      <c r="K2420" s="15" t="s">
        <v>22</v>
      </c>
    </row>
    <row r="2421" spans="1:11" ht="42" customHeight="1">
      <c r="A2421" s="4" t="s">
        <v>5906</v>
      </c>
      <c r="B2421" s="5" t="s">
        <v>5907</v>
      </c>
      <c r="C2421" s="5" t="s">
        <v>35</v>
      </c>
      <c r="D2421" s="5" t="s">
        <v>36</v>
      </c>
      <c r="E2421" s="5" t="s">
        <v>44</v>
      </c>
      <c r="F2421" s="9">
        <v>29</v>
      </c>
      <c r="G2421" s="9">
        <v>313</v>
      </c>
      <c r="H2421" s="5" t="s">
        <v>20</v>
      </c>
      <c r="I2421" s="5" t="s">
        <v>5908</v>
      </c>
      <c r="J2421" s="12" t="str">
        <f>HYPERLINK("https://www.boe.es/gazeta/dias/1805/04/09/pdfs/GMD-1805-29.pdf#page=9","Abrir facsímil")</f>
        <v>Abrir facsímil</v>
      </c>
      <c r="K2421" s="15" t="s">
        <v>22</v>
      </c>
    </row>
    <row r="2422" spans="1:11" ht="42" customHeight="1">
      <c r="A2422" s="4" t="s">
        <v>5909</v>
      </c>
      <c r="B2422" s="5" t="s">
        <v>5910</v>
      </c>
      <c r="C2422" s="5" t="s">
        <v>35</v>
      </c>
      <c r="D2422" s="5" t="s">
        <v>36</v>
      </c>
      <c r="E2422" s="5" t="s">
        <v>293</v>
      </c>
      <c r="F2422" s="9">
        <v>5</v>
      </c>
      <c r="G2422" s="9">
        <v>53</v>
      </c>
      <c r="H2422" s="5" t="s">
        <v>20</v>
      </c>
      <c r="I2422" s="5" t="s">
        <v>5911</v>
      </c>
      <c r="J2422" s="12" t="str">
        <f>HYPERLINK("https://www.boe.es/gazeta/dias/1805/01/15/pdfs/GMD-1805-5.pdf#page=9","Abrir facsímil")</f>
        <v>Abrir facsímil</v>
      </c>
      <c r="K2422" s="15" t="s">
        <v>22</v>
      </c>
    </row>
    <row r="2423" spans="1:11" ht="42" customHeight="1">
      <c r="A2423" s="4" t="s">
        <v>5912</v>
      </c>
      <c r="B2423" s="5" t="s">
        <v>5913</v>
      </c>
      <c r="C2423" s="5" t="s">
        <v>29</v>
      </c>
      <c r="D2423" s="5" t="s">
        <v>30</v>
      </c>
      <c r="E2423" s="5" t="s">
        <v>303</v>
      </c>
      <c r="F2423" s="9">
        <v>57</v>
      </c>
      <c r="G2423" s="9">
        <v>610</v>
      </c>
      <c r="H2423" s="5" t="s">
        <v>20</v>
      </c>
      <c r="I2423" s="5" t="s">
        <v>5914</v>
      </c>
      <c r="J2423" s="12" t="str">
        <f>HYPERLINK("https://www.boe.es/gazeta/dias/1805/07/16/pdfs/GMD-1805-57.pdf#page=6","Abrir facsímil")</f>
        <v>Abrir facsímil</v>
      </c>
      <c r="K2423" s="15" t="s">
        <v>22</v>
      </c>
    </row>
    <row r="2424" spans="1:11" ht="42" customHeight="1">
      <c r="A2424" s="4" t="s">
        <v>5915</v>
      </c>
      <c r="B2424" s="5" t="s">
        <v>5916</v>
      </c>
      <c r="C2424" s="5" t="s">
        <v>35</v>
      </c>
      <c r="D2424" s="5" t="s">
        <v>36</v>
      </c>
      <c r="E2424" s="5" t="s">
        <v>296</v>
      </c>
      <c r="F2424" s="9">
        <v>26</v>
      </c>
      <c r="G2424" s="9">
        <v>277</v>
      </c>
      <c r="H2424" s="5" t="s">
        <v>20</v>
      </c>
      <c r="I2424" s="5" t="s">
        <v>5917</v>
      </c>
      <c r="J2424" s="12" t="str">
        <f>HYPERLINK("https://www.boe.es/gazeta/dias/1805/03/29/pdfs/GMD-1805-26.pdf#page=9","Abrir facsímil")</f>
        <v>Abrir facsímil</v>
      </c>
      <c r="K2424" s="15" t="s">
        <v>22</v>
      </c>
    </row>
    <row r="2425" spans="1:11" ht="42" customHeight="1">
      <c r="A2425" s="4" t="s">
        <v>5915</v>
      </c>
      <c r="B2425" s="5" t="s">
        <v>5916</v>
      </c>
      <c r="C2425" s="5" t="s">
        <v>17</v>
      </c>
      <c r="D2425" s="5" t="s">
        <v>18</v>
      </c>
      <c r="E2425" s="5" t="s">
        <v>71</v>
      </c>
      <c r="F2425" s="9">
        <v>33</v>
      </c>
      <c r="G2425" s="9">
        <v>352</v>
      </c>
      <c r="H2425" s="5" t="s">
        <v>20</v>
      </c>
      <c r="I2425" s="5" t="s">
        <v>5918</v>
      </c>
      <c r="J2425" s="12" t="str">
        <f>HYPERLINK("https://www.boe.es/gazeta/dias/1805/04/23/pdfs/GMD-1805-33.pdf#page=8","Abrir facsímil")</f>
        <v>Abrir facsímil</v>
      </c>
      <c r="K2425" s="15" t="s">
        <v>22</v>
      </c>
    </row>
    <row r="2426" spans="1:11" ht="42" customHeight="1">
      <c r="A2426" s="4" t="s">
        <v>5915</v>
      </c>
      <c r="B2426" s="5" t="s">
        <v>5916</v>
      </c>
      <c r="C2426" s="5" t="s">
        <v>52</v>
      </c>
      <c r="D2426" s="5" t="s">
        <v>53</v>
      </c>
      <c r="E2426" s="5" t="s">
        <v>144</v>
      </c>
      <c r="F2426" s="9">
        <v>85</v>
      </c>
      <c r="G2426" s="9" t="s">
        <v>55</v>
      </c>
      <c r="H2426" s="5" t="s">
        <v>20</v>
      </c>
      <c r="I2426" s="5" t="s">
        <v>5919</v>
      </c>
      <c r="J2426" s="12" t="str">
        <f>HYPERLINK("https://www.boe.es/gazeta/dias/1805/10/22/pdfs/GMD-C-1805-85.pdf#page=4","Abrir facsímil")</f>
        <v>Abrir facsímil</v>
      </c>
      <c r="K2426" s="15" t="s">
        <v>22</v>
      </c>
    </row>
    <row r="2427" spans="1:11" ht="42" customHeight="1">
      <c r="A2427" s="4" t="s">
        <v>5920</v>
      </c>
      <c r="B2427" s="5" t="s">
        <v>5921</v>
      </c>
      <c r="C2427" s="5" t="s">
        <v>184</v>
      </c>
      <c r="D2427" s="5" t="s">
        <v>86</v>
      </c>
      <c r="E2427" s="5" t="s">
        <v>422</v>
      </c>
      <c r="F2427" s="9">
        <v>74</v>
      </c>
      <c r="G2427" s="9">
        <v>788</v>
      </c>
      <c r="H2427" s="5" t="s">
        <v>20</v>
      </c>
      <c r="I2427" s="5" t="s">
        <v>5922</v>
      </c>
      <c r="J2427" s="12" t="str">
        <f>HYPERLINK("https://www.boe.es/gazeta/dias/1805/09/13/pdfs/GMD-1805-74.pdf#page=12","Abrir facsímil")</f>
        <v>Abrir facsímil</v>
      </c>
      <c r="K2427" s="15" t="s">
        <v>22</v>
      </c>
    </row>
    <row r="2428" spans="1:11" ht="42" customHeight="1">
      <c r="A2428" s="4" t="s">
        <v>5920</v>
      </c>
      <c r="B2428" s="5" t="s">
        <v>5921</v>
      </c>
      <c r="C2428" s="5" t="s">
        <v>35</v>
      </c>
      <c r="D2428" s="5" t="s">
        <v>36</v>
      </c>
      <c r="E2428" s="5" t="s">
        <v>200</v>
      </c>
      <c r="F2428" s="9">
        <v>91</v>
      </c>
      <c r="G2428" s="9">
        <v>977</v>
      </c>
      <c r="H2428" s="5" t="s">
        <v>20</v>
      </c>
      <c r="I2428" s="5" t="s">
        <v>5923</v>
      </c>
      <c r="J2428" s="12" t="str">
        <f>HYPERLINK("https://www.boe.es/gazeta/dias/1805/11/12/pdfs/GMD-1805-91.pdf#page=9","Abrir facsímil")</f>
        <v>Abrir facsímil</v>
      </c>
      <c r="K2428" s="15" t="s">
        <v>22</v>
      </c>
    </row>
    <row r="2429" spans="1:11" ht="42" customHeight="1">
      <c r="A2429" s="4" t="s">
        <v>5924</v>
      </c>
      <c r="B2429" s="5" t="s">
        <v>5925</v>
      </c>
      <c r="C2429" s="5" t="s">
        <v>52</v>
      </c>
      <c r="D2429" s="5" t="s">
        <v>53</v>
      </c>
      <c r="E2429" s="5" t="s">
        <v>144</v>
      </c>
      <c r="F2429" s="9">
        <v>85</v>
      </c>
      <c r="G2429" s="9" t="s">
        <v>772</v>
      </c>
      <c r="H2429" s="5" t="s">
        <v>20</v>
      </c>
      <c r="I2429" s="5" t="s">
        <v>5926</v>
      </c>
      <c r="J2429" s="12" t="str">
        <f>HYPERLINK("https://www.boe.es/gazeta/dias/1805/10/22/pdfs/GMD-C-1805-85.pdf#page=6","Abrir facsímil")</f>
        <v>Abrir facsímil</v>
      </c>
      <c r="K2429" s="15" t="s">
        <v>22</v>
      </c>
    </row>
    <row r="2430" spans="1:11" ht="42" customHeight="1">
      <c r="A2430" s="4" t="s">
        <v>5924</v>
      </c>
      <c r="B2430" s="5" t="s">
        <v>5925</v>
      </c>
      <c r="C2430" s="5" t="s">
        <v>52</v>
      </c>
      <c r="D2430" s="5" t="s">
        <v>53</v>
      </c>
      <c r="E2430" s="5" t="s">
        <v>54</v>
      </c>
      <c r="F2430" s="9">
        <v>99</v>
      </c>
      <c r="G2430" s="9" t="s">
        <v>159</v>
      </c>
      <c r="H2430" s="5" t="s">
        <v>20</v>
      </c>
      <c r="I2430" s="5" t="s">
        <v>5927</v>
      </c>
      <c r="J2430" s="12" t="str">
        <f>HYPERLINK("https://www.boe.es/gazeta/dias/1805/12/10/pdfs/GMD-C-1805-99.pdf#page=3","Abrir facsímil")</f>
        <v>Abrir facsímil</v>
      </c>
      <c r="K2430" s="15" t="s">
        <v>22</v>
      </c>
    </row>
    <row r="2431" spans="1:11" ht="42" customHeight="1">
      <c r="A2431" s="4" t="s">
        <v>5928</v>
      </c>
      <c r="B2431" s="5" t="s">
        <v>5929</v>
      </c>
      <c r="C2431" s="5" t="s">
        <v>35</v>
      </c>
      <c r="D2431" s="5" t="s">
        <v>36</v>
      </c>
      <c r="E2431" s="5" t="s">
        <v>138</v>
      </c>
      <c r="F2431" s="9">
        <v>102</v>
      </c>
      <c r="G2431" s="9">
        <v>1103</v>
      </c>
      <c r="H2431" s="5" t="s">
        <v>20</v>
      </c>
      <c r="I2431" s="5" t="s">
        <v>5930</v>
      </c>
      <c r="J2431" s="12" t="str">
        <f>HYPERLINK("https://www.boe.es/gazeta/dias/1805/12/20/pdfs/GMD-1805-102.pdf#page=7","Abrir facsímil")</f>
        <v>Abrir facsímil</v>
      </c>
      <c r="K2431" s="15" t="s">
        <v>22</v>
      </c>
    </row>
    <row r="2432" spans="1:11" ht="42" customHeight="1">
      <c r="A2432" s="4" t="s">
        <v>5931</v>
      </c>
      <c r="B2432" s="5" t="s">
        <v>5932</v>
      </c>
      <c r="C2432" s="5" t="s">
        <v>17</v>
      </c>
      <c r="D2432" s="5" t="s">
        <v>18</v>
      </c>
      <c r="E2432" s="5" t="s">
        <v>1221</v>
      </c>
      <c r="F2432" s="9">
        <v>41</v>
      </c>
      <c r="G2432" s="9">
        <v>442</v>
      </c>
      <c r="H2432" s="5" t="s">
        <v>20</v>
      </c>
      <c r="I2432" s="5" t="s">
        <v>5933</v>
      </c>
      <c r="J2432" s="12" t="str">
        <f>HYPERLINK("https://www.boe.es/gazeta/dias/1805/05/21/pdfs/GMD-1805-41.pdf#page=10","Abrir facsímil")</f>
        <v>Abrir facsímil</v>
      </c>
      <c r="K2432" s="15" t="s">
        <v>22</v>
      </c>
    </row>
    <row r="2433" spans="1:11" ht="42" customHeight="1">
      <c r="A2433" s="4" t="s">
        <v>5934</v>
      </c>
      <c r="B2433" s="5" t="s">
        <v>5935</v>
      </c>
      <c r="C2433" s="5" t="s">
        <v>29</v>
      </c>
      <c r="D2433" s="5" t="s">
        <v>30</v>
      </c>
      <c r="E2433" s="5" t="s">
        <v>31</v>
      </c>
      <c r="F2433" s="9">
        <v>65</v>
      </c>
      <c r="G2433" s="9">
        <v>699</v>
      </c>
      <c r="H2433" s="5" t="s">
        <v>20</v>
      </c>
      <c r="I2433" s="5" t="s">
        <v>5936</v>
      </c>
      <c r="J2433" s="12" t="str">
        <f>HYPERLINK("https://www.boe.es/gazeta/dias/1805/08/13/pdfs/GMD-1805-65.pdf#page=11","Abrir facsímil")</f>
        <v>Abrir facsímil</v>
      </c>
      <c r="K2433" s="15" t="s">
        <v>22</v>
      </c>
    </row>
    <row r="2434" spans="1:11" ht="42" customHeight="1">
      <c r="A2434" s="4" t="s">
        <v>5934</v>
      </c>
      <c r="B2434" s="5" t="s">
        <v>5935</v>
      </c>
      <c r="C2434" s="5" t="s">
        <v>17</v>
      </c>
      <c r="D2434" s="5" t="s">
        <v>18</v>
      </c>
      <c r="E2434" s="5" t="s">
        <v>669</v>
      </c>
      <c r="F2434" s="9">
        <v>84</v>
      </c>
      <c r="G2434" s="9">
        <v>890</v>
      </c>
      <c r="H2434" s="5" t="s">
        <v>20</v>
      </c>
      <c r="I2434" s="5" t="s">
        <v>5937</v>
      </c>
      <c r="J2434" s="12" t="str">
        <f>HYPERLINK("https://www.boe.es/gazeta/dias/1805/10/18/pdfs/GMD-1805-84.pdf#page=6","Abrir facsímil")</f>
        <v>Abrir facsímil</v>
      </c>
      <c r="K2434" s="15" t="s">
        <v>22</v>
      </c>
    </row>
    <row r="2435" spans="1:11" ht="42" customHeight="1">
      <c r="A2435" s="4" t="s">
        <v>5938</v>
      </c>
      <c r="B2435" s="5" t="s">
        <v>5939</v>
      </c>
      <c r="C2435" s="5" t="s">
        <v>35</v>
      </c>
      <c r="D2435" s="5" t="s">
        <v>36</v>
      </c>
      <c r="E2435" s="5" t="s">
        <v>114</v>
      </c>
      <c r="F2435" s="9">
        <v>17</v>
      </c>
      <c r="G2435" s="9">
        <v>177</v>
      </c>
      <c r="H2435" s="5" t="s">
        <v>20</v>
      </c>
      <c r="I2435" s="5" t="s">
        <v>5940</v>
      </c>
      <c r="J2435" s="12" t="str">
        <f>HYPERLINK("https://www.boe.es/gazeta/dias/1805/02/26/pdfs/GMD-1805-17.pdf#page=9","Abrir facsímil")</f>
        <v>Abrir facsímil</v>
      </c>
      <c r="K2435" s="15" t="s">
        <v>22</v>
      </c>
    </row>
    <row r="2436" spans="1:11" ht="42" customHeight="1">
      <c r="A2436" s="4" t="s">
        <v>5941</v>
      </c>
      <c r="B2436" s="5" t="s">
        <v>5942</v>
      </c>
      <c r="C2436" s="5" t="s">
        <v>80</v>
      </c>
      <c r="D2436" s="5" t="s">
        <v>81</v>
      </c>
      <c r="E2436" s="5" t="s">
        <v>958</v>
      </c>
      <c r="F2436" s="9">
        <v>58</v>
      </c>
      <c r="G2436" s="9">
        <v>619</v>
      </c>
      <c r="H2436" s="5" t="s">
        <v>20</v>
      </c>
      <c r="I2436" s="5" t="s">
        <v>5943</v>
      </c>
      <c r="J2436" s="12" t="str">
        <f>HYPERLINK("https://www.boe.es/gazeta/dias/1805/07/19/pdfs/GMD-1805-58.pdf#page=3","Abrir facsímil")</f>
        <v>Abrir facsímil</v>
      </c>
      <c r="K2436" s="15" t="s">
        <v>22</v>
      </c>
    </row>
    <row r="2437" spans="1:11" ht="42" customHeight="1">
      <c r="A2437" s="4" t="s">
        <v>5941</v>
      </c>
      <c r="B2437" s="5" t="s">
        <v>5942</v>
      </c>
      <c r="C2437" s="5" t="s">
        <v>80</v>
      </c>
      <c r="D2437" s="5" t="s">
        <v>81</v>
      </c>
      <c r="E2437" s="5" t="s">
        <v>886</v>
      </c>
      <c r="F2437" s="9">
        <v>93</v>
      </c>
      <c r="G2437" s="9">
        <v>996</v>
      </c>
      <c r="H2437" s="5" t="s">
        <v>20</v>
      </c>
      <c r="I2437" s="5" t="s">
        <v>5944</v>
      </c>
      <c r="J2437" s="12" t="str">
        <f>HYPERLINK("https://www.boe.es/gazeta/dias/1805/11/19/pdfs/GMD-1805-93.pdf#page=8","Abrir facsímil")</f>
        <v>Abrir facsímil</v>
      </c>
      <c r="K2437" s="15" t="s">
        <v>22</v>
      </c>
    </row>
    <row r="2438" spans="1:11" ht="42" customHeight="1">
      <c r="A2438" s="4" t="s">
        <v>5941</v>
      </c>
      <c r="B2438" s="5" t="s">
        <v>5942</v>
      </c>
      <c r="C2438" s="5" t="s">
        <v>80</v>
      </c>
      <c r="D2438" s="5" t="s">
        <v>81</v>
      </c>
      <c r="E2438" s="5" t="s">
        <v>552</v>
      </c>
      <c r="F2438" s="9">
        <v>94</v>
      </c>
      <c r="G2438" s="9">
        <v>1007</v>
      </c>
      <c r="H2438" s="5" t="s">
        <v>20</v>
      </c>
      <c r="I2438" s="5" t="s">
        <v>5945</v>
      </c>
      <c r="J2438" s="12" t="str">
        <f>HYPERLINK("https://www.boe.es/gazeta/dias/1805/11/22/pdfs/GMD-1805-94.pdf#page=7","Abrir facsímil")</f>
        <v>Abrir facsímil</v>
      </c>
      <c r="K2438" s="15" t="s">
        <v>22</v>
      </c>
    </row>
    <row r="2439" spans="1:11" ht="42" customHeight="1">
      <c r="A2439" s="4" t="s">
        <v>5941</v>
      </c>
      <c r="B2439" s="5" t="s">
        <v>5942</v>
      </c>
      <c r="C2439" s="5" t="s">
        <v>184</v>
      </c>
      <c r="D2439" s="5" t="s">
        <v>86</v>
      </c>
      <c r="E2439" s="5" t="s">
        <v>539</v>
      </c>
      <c r="F2439" s="9">
        <v>97</v>
      </c>
      <c r="G2439" s="9">
        <v>1042</v>
      </c>
      <c r="H2439" s="5" t="s">
        <v>20</v>
      </c>
      <c r="I2439" s="5" t="s">
        <v>5946</v>
      </c>
      <c r="J2439" s="12" t="str">
        <f>HYPERLINK("https://www.boe.es/gazeta/dias/1805/12/03/pdfs/GMD-1805-97.pdf#page=6","Abrir facsímil")</f>
        <v>Abrir facsímil</v>
      </c>
      <c r="K2439" s="15" t="s">
        <v>22</v>
      </c>
    </row>
    <row r="2440" spans="1:11" ht="42" customHeight="1">
      <c r="A2440" s="4" t="s">
        <v>5947</v>
      </c>
      <c r="B2440" s="5" t="s">
        <v>5948</v>
      </c>
      <c r="C2440" s="5" t="s">
        <v>17</v>
      </c>
      <c r="D2440" s="5" t="s">
        <v>18</v>
      </c>
      <c r="E2440" s="5" t="s">
        <v>1432</v>
      </c>
      <c r="F2440" s="9">
        <v>53</v>
      </c>
      <c r="G2440" s="9">
        <v>568</v>
      </c>
      <c r="H2440" s="5" t="s">
        <v>20</v>
      </c>
      <c r="I2440" s="5" t="s">
        <v>5949</v>
      </c>
      <c r="J2440" s="12" t="str">
        <f>HYPERLINK("https://www.boe.es/gazeta/dias/1805/07/02/pdfs/GMD-1805-53.pdf#page=4","Abrir facsímil")</f>
        <v>Abrir facsímil</v>
      </c>
      <c r="K2440" s="15" t="s">
        <v>22</v>
      </c>
    </row>
    <row r="2441" spans="1:11" ht="42" customHeight="1">
      <c r="A2441" s="4" t="s">
        <v>5950</v>
      </c>
      <c r="B2441" s="5" t="s">
        <v>5951</v>
      </c>
      <c r="C2441" s="5" t="s">
        <v>80</v>
      </c>
      <c r="D2441" s="5" t="s">
        <v>81</v>
      </c>
      <c r="E2441" s="5" t="s">
        <v>192</v>
      </c>
      <c r="F2441" s="9">
        <v>105</v>
      </c>
      <c r="G2441" s="9">
        <v>1131</v>
      </c>
      <c r="H2441" s="5" t="s">
        <v>20</v>
      </c>
      <c r="I2441" s="5" t="s">
        <v>5952</v>
      </c>
      <c r="J2441" s="12" t="str">
        <f>HYPERLINK("https://www.boe.es/gazeta/dias/1805/12/31/pdfs/GMD-1805-105.pdf#page=3","Abrir facsímil")</f>
        <v>Abrir facsímil</v>
      </c>
      <c r="K2441" s="15" t="s">
        <v>22</v>
      </c>
    </row>
    <row r="2442" spans="1:11" ht="42" customHeight="1">
      <c r="A2442" s="4" t="s">
        <v>5953</v>
      </c>
      <c r="B2442" s="5" t="s">
        <v>5954</v>
      </c>
      <c r="C2442" s="5" t="s">
        <v>80</v>
      </c>
      <c r="D2442" s="5" t="s">
        <v>81</v>
      </c>
      <c r="E2442" s="5" t="s">
        <v>286</v>
      </c>
      <c r="F2442" s="9">
        <v>48</v>
      </c>
      <c r="G2442" s="9">
        <v>517</v>
      </c>
      <c r="H2442" s="5" t="s">
        <v>20</v>
      </c>
      <c r="I2442" s="5" t="s">
        <v>5955</v>
      </c>
      <c r="J2442" s="12" t="str">
        <f>HYPERLINK("https://www.boe.es/gazeta/dias/1805/06/14/pdfs/GMD-1805-48.pdf#page=5","Abrir facsímil")</f>
        <v>Abrir facsímil</v>
      </c>
      <c r="K2442" s="15" t="s">
        <v>22</v>
      </c>
    </row>
    <row r="2443" spans="1:11" ht="42" customHeight="1">
      <c r="A2443" s="4" t="s">
        <v>5953</v>
      </c>
      <c r="B2443" s="5" t="s">
        <v>5954</v>
      </c>
      <c r="C2443" s="5" t="s">
        <v>80</v>
      </c>
      <c r="D2443" s="5" t="s">
        <v>81</v>
      </c>
      <c r="E2443" s="5" t="s">
        <v>1022</v>
      </c>
      <c r="F2443" s="9">
        <v>52</v>
      </c>
      <c r="G2443" s="9">
        <v>556</v>
      </c>
      <c r="H2443" s="5" t="s">
        <v>20</v>
      </c>
      <c r="I2443" s="5" t="s">
        <v>5956</v>
      </c>
      <c r="J2443" s="12" t="str">
        <f>HYPERLINK("https://www.boe.es/gazeta/dias/1805/06/28/pdfs/GMD-1805-52.pdf#page=4","Abrir facsímil")</f>
        <v>Abrir facsímil</v>
      </c>
      <c r="K2443" s="15" t="s">
        <v>22</v>
      </c>
    </row>
    <row r="2444" spans="1:11" ht="42" customHeight="1">
      <c r="A2444" s="4" t="s">
        <v>5953</v>
      </c>
      <c r="B2444" s="5" t="s">
        <v>5954</v>
      </c>
      <c r="C2444" s="5" t="s">
        <v>80</v>
      </c>
      <c r="D2444" s="5" t="s">
        <v>81</v>
      </c>
      <c r="E2444" s="5" t="s">
        <v>1259</v>
      </c>
      <c r="F2444" s="9">
        <v>78</v>
      </c>
      <c r="G2444" s="9">
        <v>824</v>
      </c>
      <c r="H2444" s="5" t="s">
        <v>20</v>
      </c>
      <c r="I2444" s="5" t="s">
        <v>5957</v>
      </c>
      <c r="J2444" s="12" t="str">
        <f>HYPERLINK("https://www.boe.es/gazeta/dias/1805/09/27/pdfs/GMD-1805-78.pdf#page=4","Abrir facsímil")</f>
        <v>Abrir facsímil</v>
      </c>
      <c r="K2444" s="15" t="s">
        <v>22</v>
      </c>
    </row>
    <row r="2445" spans="1:11" ht="42" customHeight="1">
      <c r="A2445" s="4" t="s">
        <v>5953</v>
      </c>
      <c r="B2445" s="5" t="s">
        <v>5954</v>
      </c>
      <c r="C2445" s="5" t="s">
        <v>80</v>
      </c>
      <c r="D2445" s="5" t="s">
        <v>81</v>
      </c>
      <c r="E2445" s="5" t="s">
        <v>512</v>
      </c>
      <c r="F2445" s="9">
        <v>100</v>
      </c>
      <c r="G2445" s="9">
        <v>1076</v>
      </c>
      <c r="H2445" s="5" t="s">
        <v>20</v>
      </c>
      <c r="I2445" s="5" t="s">
        <v>5958</v>
      </c>
      <c r="J2445" s="12" t="str">
        <f>HYPERLINK("https://www.boe.es/gazeta/dias/1805/12/13/pdfs/GMD-1805-100.pdf#page=4","Abrir facsímil")</f>
        <v>Abrir facsímil</v>
      </c>
      <c r="K2445" s="15" t="s">
        <v>22</v>
      </c>
    </row>
    <row r="2446" spans="1:11" ht="42" customHeight="1">
      <c r="A2446" s="4" t="s">
        <v>5959</v>
      </c>
      <c r="B2446" s="5" t="s">
        <v>5960</v>
      </c>
      <c r="C2446" s="5" t="s">
        <v>29</v>
      </c>
      <c r="D2446" s="5" t="s">
        <v>30</v>
      </c>
      <c r="E2446" s="5" t="s">
        <v>303</v>
      </c>
      <c r="F2446" s="9">
        <v>57</v>
      </c>
      <c r="G2446" s="9">
        <v>610</v>
      </c>
      <c r="H2446" s="5" t="s">
        <v>20</v>
      </c>
      <c r="I2446" s="5" t="s">
        <v>5961</v>
      </c>
      <c r="J2446" s="12" t="str">
        <f>HYPERLINK("https://www.boe.es/gazeta/dias/1805/07/16/pdfs/GMD-1805-57.pdf#page=6","Abrir facsímil")</f>
        <v>Abrir facsímil</v>
      </c>
      <c r="K2446" s="15" t="s">
        <v>22</v>
      </c>
    </row>
    <row r="2447" spans="1:11" ht="42" customHeight="1">
      <c r="A2447" s="4" t="s">
        <v>5962</v>
      </c>
      <c r="B2447" s="5" t="s">
        <v>5963</v>
      </c>
      <c r="C2447" s="5" t="s">
        <v>80</v>
      </c>
      <c r="D2447" s="5" t="s">
        <v>81</v>
      </c>
      <c r="E2447" s="5" t="s">
        <v>48</v>
      </c>
      <c r="F2447" s="9">
        <v>35</v>
      </c>
      <c r="G2447" s="9">
        <v>371</v>
      </c>
      <c r="H2447" s="5" t="s">
        <v>20</v>
      </c>
      <c r="I2447" s="5" t="s">
        <v>5964</v>
      </c>
      <c r="J2447" s="12" t="str">
        <f>HYPERLINK("https://www.boe.es/gazeta/dias/1805/04/30/pdfs/GMD-1805-35.pdf#page=3","Abrir facsímil")</f>
        <v>Abrir facsímil</v>
      </c>
      <c r="K2447" s="15" t="s">
        <v>22</v>
      </c>
    </row>
    <row r="2448" spans="1:11" ht="42" customHeight="1">
      <c r="A2448" s="4" t="s">
        <v>5965</v>
      </c>
      <c r="B2448" s="5" t="s">
        <v>5965</v>
      </c>
      <c r="C2448" s="5" t="s">
        <v>80</v>
      </c>
      <c r="D2448" s="5" t="s">
        <v>81</v>
      </c>
      <c r="E2448" s="5" t="s">
        <v>112</v>
      </c>
      <c r="F2448" s="9">
        <v>16</v>
      </c>
      <c r="G2448" s="9">
        <v>161</v>
      </c>
      <c r="H2448" s="5" t="s">
        <v>20</v>
      </c>
      <c r="I2448" s="5" t="s">
        <v>5966</v>
      </c>
      <c r="J2448" s="12" t="str">
        <f>HYPERLINK("https://www.boe.es/gazeta/dias/1805/02/22/pdfs/GMD-1805-16.pdf#page=1","Abrir facsímil")</f>
        <v>Abrir facsímil</v>
      </c>
      <c r="K2448" s="15" t="s">
        <v>22</v>
      </c>
    </row>
    <row r="2449" spans="1:11" ht="42" customHeight="1">
      <c r="A2449" s="4" t="s">
        <v>5967</v>
      </c>
      <c r="B2449" s="5" t="s">
        <v>5968</v>
      </c>
      <c r="C2449" s="5" t="s">
        <v>35</v>
      </c>
      <c r="D2449" s="5" t="s">
        <v>36</v>
      </c>
      <c r="E2449" s="5" t="s">
        <v>817</v>
      </c>
      <c r="F2449" s="9">
        <v>92</v>
      </c>
      <c r="G2449" s="9">
        <v>982</v>
      </c>
      <c r="H2449" s="5" t="s">
        <v>20</v>
      </c>
      <c r="I2449" s="5" t="s">
        <v>5969</v>
      </c>
      <c r="J2449" s="12" t="str">
        <f>HYPERLINK("https://www.boe.es/gazeta/dias/1805/11/15/pdfs/GMD-1805-92.pdf#page=2","Abrir facsímil")</f>
        <v>Abrir facsímil</v>
      </c>
      <c r="K2449" s="15" t="s">
        <v>22</v>
      </c>
    </row>
    <row r="2450" spans="1:11" ht="42" customHeight="1">
      <c r="A2450" s="4" t="s">
        <v>5970</v>
      </c>
      <c r="B2450" s="5" t="s">
        <v>5971</v>
      </c>
      <c r="C2450" s="5" t="s">
        <v>85</v>
      </c>
      <c r="D2450" s="5" t="s">
        <v>86</v>
      </c>
      <c r="E2450" s="5" t="s">
        <v>281</v>
      </c>
      <c r="F2450" s="9">
        <v>15</v>
      </c>
      <c r="G2450" s="9">
        <v>158</v>
      </c>
      <c r="H2450" s="5" t="s">
        <v>20</v>
      </c>
      <c r="I2450" s="5" t="s">
        <v>5972</v>
      </c>
      <c r="J2450" s="12" t="str">
        <f>HYPERLINK("https://www.boe.es/gazeta/dias/1805/02/19/pdfs/GMD-1805-15.pdf#page=10","Abrir facsímil")</f>
        <v>Abrir facsímil</v>
      </c>
      <c r="K2450" s="15" t="s">
        <v>22</v>
      </c>
    </row>
    <row r="2451" spans="1:11" ht="42" customHeight="1">
      <c r="A2451" s="4" t="s">
        <v>5973</v>
      </c>
      <c r="B2451" s="5" t="s">
        <v>5974</v>
      </c>
      <c r="C2451" s="5" t="s">
        <v>85</v>
      </c>
      <c r="D2451" s="5" t="s">
        <v>86</v>
      </c>
      <c r="E2451" s="5" t="s">
        <v>471</v>
      </c>
      <c r="F2451" s="9">
        <v>22</v>
      </c>
      <c r="G2451" s="9">
        <v>233</v>
      </c>
      <c r="H2451" s="5" t="s">
        <v>20</v>
      </c>
      <c r="I2451" s="5" t="s">
        <v>5975</v>
      </c>
      <c r="J2451" s="12" t="str">
        <f>HYPERLINK("https://www.boe.es/gazeta/dias/1805/03/15/pdfs/GMD-1805-22.pdf#page=9","Abrir facsímil")</f>
        <v>Abrir facsímil</v>
      </c>
      <c r="K2451" s="15" t="s">
        <v>22</v>
      </c>
    </row>
    <row r="2452" spans="1:11" ht="42" customHeight="1">
      <c r="A2452" s="4" t="s">
        <v>5976</v>
      </c>
      <c r="B2452" s="5" t="s">
        <v>5977</v>
      </c>
      <c r="C2452" s="5" t="s">
        <v>35</v>
      </c>
      <c r="D2452" s="5" t="s">
        <v>36</v>
      </c>
      <c r="E2452" s="5" t="s">
        <v>170</v>
      </c>
      <c r="F2452" s="9">
        <v>9</v>
      </c>
      <c r="G2452" s="9">
        <v>99</v>
      </c>
      <c r="H2452" s="5" t="s">
        <v>20</v>
      </c>
      <c r="I2452" s="5" t="s">
        <v>5978</v>
      </c>
      <c r="J2452" s="12" t="str">
        <f>HYPERLINK("https://www.boe.es/gazeta/dias/1805/01/29/pdfs/GMD-1805-9.pdf#page=7","Abrir facsímil")</f>
        <v>Abrir facsímil</v>
      </c>
      <c r="K2452" s="15" t="s">
        <v>22</v>
      </c>
    </row>
    <row r="2453" spans="1:11" ht="42" customHeight="1">
      <c r="A2453" s="4" t="s">
        <v>5979</v>
      </c>
      <c r="B2453" s="5" t="s">
        <v>5980</v>
      </c>
      <c r="C2453" s="5" t="s">
        <v>85</v>
      </c>
      <c r="D2453" s="5" t="s">
        <v>86</v>
      </c>
      <c r="E2453" s="5" t="s">
        <v>48</v>
      </c>
      <c r="F2453" s="9">
        <v>35</v>
      </c>
      <c r="G2453" s="9">
        <v>378</v>
      </c>
      <c r="H2453" s="5" t="s">
        <v>20</v>
      </c>
      <c r="I2453" s="5" t="s">
        <v>5981</v>
      </c>
      <c r="J2453" s="12" t="str">
        <f>HYPERLINK("https://www.boe.es/gazeta/dias/1805/04/30/pdfs/GMD-1805-35.pdf#page=10","Abrir facsímil")</f>
        <v>Abrir facsímil</v>
      </c>
      <c r="K2453" s="15" t="s">
        <v>22</v>
      </c>
    </row>
    <row r="2454" spans="1:11" ht="42" customHeight="1">
      <c r="A2454" s="4" t="s">
        <v>5982</v>
      </c>
      <c r="B2454" s="5" t="s">
        <v>5982</v>
      </c>
      <c r="C2454" s="5" t="s">
        <v>80</v>
      </c>
      <c r="D2454" s="5" t="s">
        <v>81</v>
      </c>
      <c r="E2454" s="5" t="s">
        <v>456</v>
      </c>
      <c r="F2454" s="9">
        <v>70</v>
      </c>
      <c r="G2454" s="9">
        <v>742</v>
      </c>
      <c r="H2454" s="5" t="s">
        <v>20</v>
      </c>
      <c r="I2454" s="5" t="s">
        <v>5983</v>
      </c>
      <c r="J2454" s="12" t="str">
        <f>HYPERLINK("https://www.boe.es/gazeta/dias/1805/08/30/pdfs/GMD-1805-70.pdf#page=2","Abrir facsímil")</f>
        <v>Abrir facsímil</v>
      </c>
      <c r="K2454" s="15" t="s">
        <v>22</v>
      </c>
    </row>
    <row r="2455" spans="1:11" ht="42" customHeight="1">
      <c r="A2455" s="4" t="s">
        <v>5984</v>
      </c>
      <c r="B2455" s="5" t="s">
        <v>5985</v>
      </c>
      <c r="C2455" s="5" t="s">
        <v>35</v>
      </c>
      <c r="D2455" s="5" t="s">
        <v>36</v>
      </c>
      <c r="E2455" s="5" t="s">
        <v>303</v>
      </c>
      <c r="F2455" s="9">
        <v>57</v>
      </c>
      <c r="G2455" s="9">
        <v>611</v>
      </c>
      <c r="H2455" s="5" t="s">
        <v>20</v>
      </c>
      <c r="I2455" s="5" t="s">
        <v>5986</v>
      </c>
      <c r="J2455" s="12" t="str">
        <f>HYPERLINK("https://www.boe.es/gazeta/dias/1805/07/16/pdfs/GMD-1805-57.pdf#page=7","Abrir facsímil")</f>
        <v>Abrir facsímil</v>
      </c>
      <c r="K2455" s="15" t="s">
        <v>22</v>
      </c>
    </row>
    <row r="2456" spans="1:11" ht="42" customHeight="1">
      <c r="A2456" s="4" t="s">
        <v>5987</v>
      </c>
      <c r="B2456" s="5" t="s">
        <v>5988</v>
      </c>
      <c r="C2456" s="5" t="s">
        <v>35</v>
      </c>
      <c r="D2456" s="5" t="s">
        <v>36</v>
      </c>
      <c r="E2456" s="5" t="s">
        <v>138</v>
      </c>
      <c r="F2456" s="9">
        <v>102</v>
      </c>
      <c r="G2456" s="9">
        <v>1103</v>
      </c>
      <c r="H2456" s="5" t="s">
        <v>20</v>
      </c>
      <c r="I2456" s="5" t="s">
        <v>5989</v>
      </c>
      <c r="J2456" s="12" t="str">
        <f>HYPERLINK("https://www.boe.es/gazeta/dias/1805/12/20/pdfs/GMD-1805-102.pdf#page=7","Abrir facsímil")</f>
        <v>Abrir facsímil</v>
      </c>
      <c r="K2456" s="15" t="s">
        <v>22</v>
      </c>
    </row>
    <row r="2457" spans="1:11" ht="42" customHeight="1">
      <c r="A2457" s="4" t="s">
        <v>5990</v>
      </c>
      <c r="B2457" s="5" t="s">
        <v>5991</v>
      </c>
      <c r="C2457" s="5" t="s">
        <v>35</v>
      </c>
      <c r="D2457" s="5" t="s">
        <v>36</v>
      </c>
      <c r="E2457" s="5" t="s">
        <v>192</v>
      </c>
      <c r="F2457" s="9">
        <v>105</v>
      </c>
      <c r="G2457" s="9">
        <v>1137</v>
      </c>
      <c r="H2457" s="5" t="s">
        <v>20</v>
      </c>
      <c r="I2457" s="5" t="s">
        <v>5992</v>
      </c>
      <c r="J2457" s="12" t="str">
        <f>HYPERLINK("https://www.boe.es/gazeta/dias/1805/12/31/pdfs/GMD-1805-105.pdf#page=9","Abrir facsímil")</f>
        <v>Abrir facsímil</v>
      </c>
      <c r="K2457" s="15" t="s">
        <v>22</v>
      </c>
    </row>
    <row r="2458" spans="1:11" ht="42" customHeight="1">
      <c r="A2458" s="4" t="s">
        <v>5993</v>
      </c>
      <c r="B2458" s="5" t="s">
        <v>5994</v>
      </c>
      <c r="C2458" s="5" t="s">
        <v>17</v>
      </c>
      <c r="D2458" s="5" t="s">
        <v>18</v>
      </c>
      <c r="E2458" s="5" t="s">
        <v>163</v>
      </c>
      <c r="F2458" s="9">
        <v>77</v>
      </c>
      <c r="G2458" s="9">
        <v>818</v>
      </c>
      <c r="H2458" s="5" t="s">
        <v>20</v>
      </c>
      <c r="I2458" s="5" t="s">
        <v>5995</v>
      </c>
      <c r="J2458" s="12" t="str">
        <f>HYPERLINK("https://www.boe.es/gazeta/dias/1805/09/24/pdfs/GMD-1805-77.pdf#page=10","Abrir facsímil")</f>
        <v>Abrir facsímil</v>
      </c>
      <c r="K2458" s="15" t="s">
        <v>22</v>
      </c>
    </row>
    <row r="2459" spans="1:11" ht="42" customHeight="1">
      <c r="A2459" s="4" t="s">
        <v>5996</v>
      </c>
      <c r="B2459" s="5" t="s">
        <v>5996</v>
      </c>
      <c r="C2459" s="5" t="s">
        <v>80</v>
      </c>
      <c r="D2459" s="5" t="s">
        <v>81</v>
      </c>
      <c r="E2459" s="5" t="s">
        <v>1022</v>
      </c>
      <c r="F2459" s="9">
        <v>52</v>
      </c>
      <c r="G2459" s="9">
        <v>560</v>
      </c>
      <c r="H2459" s="5" t="s">
        <v>20</v>
      </c>
      <c r="I2459" s="5" t="s">
        <v>5997</v>
      </c>
      <c r="J2459" s="12" t="str">
        <f>HYPERLINK("https://www.boe.es/gazeta/dias/1805/06/28/pdfs/GMD-1805-52.pdf#page=8","Abrir facsímil")</f>
        <v>Abrir facsímil</v>
      </c>
      <c r="K2459" s="15" t="s">
        <v>22</v>
      </c>
    </row>
    <row r="2460" spans="1:11" ht="42" customHeight="1">
      <c r="A2460" s="4" t="s">
        <v>5998</v>
      </c>
      <c r="B2460" s="5" t="s">
        <v>5999</v>
      </c>
      <c r="C2460" s="5" t="s">
        <v>52</v>
      </c>
      <c r="D2460" s="5" t="s">
        <v>53</v>
      </c>
      <c r="E2460" s="5" t="s">
        <v>144</v>
      </c>
      <c r="F2460" s="9">
        <v>85</v>
      </c>
      <c r="G2460" s="9" t="s">
        <v>772</v>
      </c>
      <c r="H2460" s="5" t="s">
        <v>20</v>
      </c>
      <c r="I2460" s="5" t="s">
        <v>6000</v>
      </c>
      <c r="J2460" s="12" t="str">
        <f>HYPERLINK("https://www.boe.es/gazeta/dias/1805/10/22/pdfs/GMD-C-1805-85.pdf#page=6","Abrir facsímil")</f>
        <v>Abrir facsímil</v>
      </c>
      <c r="K2460" s="15" t="s">
        <v>22</v>
      </c>
    </row>
    <row r="2461" spans="1:11" ht="42" customHeight="1">
      <c r="A2461" s="4" t="s">
        <v>6001</v>
      </c>
      <c r="B2461" s="5" t="s">
        <v>6002</v>
      </c>
      <c r="C2461" s="5" t="s">
        <v>35</v>
      </c>
      <c r="D2461" s="5" t="s">
        <v>36</v>
      </c>
      <c r="E2461" s="5" t="s">
        <v>19</v>
      </c>
      <c r="F2461" s="9">
        <v>86</v>
      </c>
      <c r="G2461" s="9">
        <v>914</v>
      </c>
      <c r="H2461" s="5" t="s">
        <v>20</v>
      </c>
      <c r="I2461" s="5" t="s">
        <v>6003</v>
      </c>
      <c r="J2461" s="12" t="str">
        <f>HYPERLINK("https://www.boe.es/gazeta/dias/1805/10/25/pdfs/GMD-1805-86.pdf#page=10","Abrir facsímil")</f>
        <v>Abrir facsímil</v>
      </c>
      <c r="K2461" s="15" t="s">
        <v>22</v>
      </c>
    </row>
    <row r="2462" spans="1:11" ht="42" customHeight="1">
      <c r="A2462" s="4" t="s">
        <v>6004</v>
      </c>
      <c r="B2462" s="5" t="s">
        <v>6005</v>
      </c>
      <c r="C2462" s="5" t="s">
        <v>80</v>
      </c>
      <c r="D2462" s="5" t="s">
        <v>81</v>
      </c>
      <c r="E2462" s="5" t="s">
        <v>67</v>
      </c>
      <c r="F2462" s="9">
        <v>98</v>
      </c>
      <c r="G2462" s="9">
        <v>1052</v>
      </c>
      <c r="H2462" s="5" t="s">
        <v>20</v>
      </c>
      <c r="I2462" s="5" t="s">
        <v>6006</v>
      </c>
      <c r="J2462" s="12" t="str">
        <f>HYPERLINK("https://www.boe.es/gazeta/dias/1805/12/06/pdfs/GMD-1805-98.pdf#page=4","Abrir facsímil")</f>
        <v>Abrir facsímil</v>
      </c>
      <c r="K2462" s="15" t="s">
        <v>22</v>
      </c>
    </row>
    <row r="2463" spans="1:11" ht="42" customHeight="1">
      <c r="A2463" s="4" t="s">
        <v>6007</v>
      </c>
      <c r="B2463" s="5" t="s">
        <v>6008</v>
      </c>
      <c r="C2463" s="5" t="s">
        <v>35</v>
      </c>
      <c r="D2463" s="5" t="s">
        <v>36</v>
      </c>
      <c r="E2463" s="5" t="s">
        <v>63</v>
      </c>
      <c r="F2463" s="9">
        <v>101</v>
      </c>
      <c r="G2463" s="9">
        <v>1092</v>
      </c>
      <c r="H2463" s="5" t="s">
        <v>20</v>
      </c>
      <c r="I2463" s="5" t="s">
        <v>6009</v>
      </c>
      <c r="J2463" s="12" t="str">
        <f>HYPERLINK("https://www.boe.es/gazeta/dias/1805/12/17/pdfs/GMD-1805-101.pdf#page=8","Abrir facsímil")</f>
        <v>Abrir facsímil</v>
      </c>
      <c r="K2463" s="15" t="s">
        <v>22</v>
      </c>
    </row>
    <row r="2464" spans="1:11" ht="42" customHeight="1">
      <c r="A2464" s="4" t="s">
        <v>6010</v>
      </c>
      <c r="B2464" s="5" t="s">
        <v>6010</v>
      </c>
      <c r="C2464" s="5" t="s">
        <v>17</v>
      </c>
      <c r="D2464" s="5" t="s">
        <v>18</v>
      </c>
      <c r="E2464" s="5" t="s">
        <v>506</v>
      </c>
      <c r="F2464" s="9">
        <v>80</v>
      </c>
      <c r="G2464" s="9">
        <v>848</v>
      </c>
      <c r="H2464" s="5" t="s">
        <v>20</v>
      </c>
      <c r="I2464" s="5" t="s">
        <v>6011</v>
      </c>
      <c r="J2464" s="12" t="str">
        <f>HYPERLINK("https://www.boe.es/gazeta/dias/1805/10/04/pdfs/GMD-1805-80.pdf#page=8","Abrir facsímil")</f>
        <v>Abrir facsímil</v>
      </c>
      <c r="K2464" s="15" t="s">
        <v>22</v>
      </c>
    </row>
    <row r="2465" spans="1:11" ht="42" customHeight="1">
      <c r="A2465" s="4" t="s">
        <v>6012</v>
      </c>
      <c r="B2465" s="5" t="s">
        <v>6013</v>
      </c>
      <c r="C2465" s="5" t="s">
        <v>29</v>
      </c>
      <c r="D2465" s="5" t="s">
        <v>30</v>
      </c>
      <c r="E2465" s="5" t="s">
        <v>387</v>
      </c>
      <c r="F2465" s="9">
        <v>4</v>
      </c>
      <c r="G2465" s="9">
        <v>43</v>
      </c>
      <c r="H2465" s="5" t="s">
        <v>20</v>
      </c>
      <c r="I2465" s="5" t="s">
        <v>6014</v>
      </c>
      <c r="J2465" s="12" t="str">
        <f>HYPERLINK("https://www.boe.es/gazeta/dias/1805/01/11/pdfs/GMD-1805-4.pdf#page=11","Abrir facsímil")</f>
        <v>Abrir facsímil</v>
      </c>
      <c r="K2465" s="15" t="s">
        <v>22</v>
      </c>
    </row>
    <row r="2466" spans="1:11" ht="42" customHeight="1">
      <c r="A2466" s="4" t="s">
        <v>6015</v>
      </c>
      <c r="B2466" s="5" t="s">
        <v>6015</v>
      </c>
      <c r="C2466" s="5" t="s">
        <v>85</v>
      </c>
      <c r="D2466" s="5" t="s">
        <v>86</v>
      </c>
      <c r="E2466" s="5" t="s">
        <v>286</v>
      </c>
      <c r="F2466" s="9">
        <v>48</v>
      </c>
      <c r="G2466" s="9">
        <v>524</v>
      </c>
      <c r="H2466" s="5" t="s">
        <v>20</v>
      </c>
      <c r="I2466" s="5" t="s">
        <v>6016</v>
      </c>
      <c r="J2466" s="12" t="str">
        <f>HYPERLINK("https://www.boe.es/gazeta/dias/1805/06/14/pdfs/GMD-1805-48.pdf#page=12","Abrir facsímil")</f>
        <v>Abrir facsímil</v>
      </c>
      <c r="K2466" s="15" t="s">
        <v>22</v>
      </c>
    </row>
    <row r="2467" spans="1:11" ht="42" customHeight="1">
      <c r="A2467" s="4" t="s">
        <v>6017</v>
      </c>
      <c r="B2467" s="5" t="s">
        <v>6017</v>
      </c>
      <c r="C2467" s="5" t="s">
        <v>17</v>
      </c>
      <c r="D2467" s="5" t="s">
        <v>18</v>
      </c>
      <c r="E2467" s="5" t="s">
        <v>76</v>
      </c>
      <c r="F2467" s="9">
        <v>66</v>
      </c>
      <c r="G2467" s="9">
        <v>709</v>
      </c>
      <c r="H2467" s="5" t="s">
        <v>20</v>
      </c>
      <c r="I2467" s="5" t="s">
        <v>6018</v>
      </c>
      <c r="J2467" s="12" t="str">
        <f>HYPERLINK("https://www.boe.es/gazeta/dias/1805/08/16/pdfs/GMD-1805-66.pdf#page=9","Abrir facsímil")</f>
        <v>Abrir facsímil</v>
      </c>
      <c r="K2467" s="15" t="s">
        <v>22</v>
      </c>
    </row>
    <row r="2468" spans="1:11" ht="42" customHeight="1">
      <c r="A2468" s="4" t="s">
        <v>6019</v>
      </c>
      <c r="B2468" s="5" t="s">
        <v>6019</v>
      </c>
      <c r="C2468" s="5" t="s">
        <v>17</v>
      </c>
      <c r="D2468" s="5" t="s">
        <v>18</v>
      </c>
      <c r="E2468" s="5" t="s">
        <v>63</v>
      </c>
      <c r="F2468" s="9">
        <v>101</v>
      </c>
      <c r="G2468" s="9">
        <v>1093</v>
      </c>
      <c r="H2468" s="5" t="s">
        <v>20</v>
      </c>
      <c r="I2468" s="5" t="s">
        <v>6020</v>
      </c>
      <c r="J2468" s="12" t="str">
        <f>HYPERLINK("https://www.boe.es/gazeta/dias/1805/12/17/pdfs/GMD-1805-101.pdf#page=9","Abrir facsímil")</f>
        <v>Abrir facsímil</v>
      </c>
      <c r="K2468" s="15" t="s">
        <v>22</v>
      </c>
    </row>
    <row r="2469" spans="1:11" ht="42" customHeight="1">
      <c r="A2469" s="4" t="s">
        <v>6021</v>
      </c>
      <c r="B2469" s="5" t="s">
        <v>6022</v>
      </c>
      <c r="C2469" s="5" t="s">
        <v>35</v>
      </c>
      <c r="D2469" s="5" t="s">
        <v>36</v>
      </c>
      <c r="E2469" s="5" t="s">
        <v>1132</v>
      </c>
      <c r="F2469" s="9">
        <v>72</v>
      </c>
      <c r="G2469" s="9">
        <v>767</v>
      </c>
      <c r="H2469" s="5" t="s">
        <v>20</v>
      </c>
      <c r="I2469" s="5" t="s">
        <v>6023</v>
      </c>
      <c r="J2469" s="12" t="str">
        <f>HYPERLINK("https://www.boe.es/gazeta/dias/1805/09/06/pdfs/GMD-1805-72.pdf#page=7","Abrir facsímil")</f>
        <v>Abrir facsímil</v>
      </c>
      <c r="K2469" s="15" t="s">
        <v>22</v>
      </c>
    </row>
    <row r="2470" spans="1:11" ht="42" customHeight="1">
      <c r="A2470" s="4" t="s">
        <v>6024</v>
      </c>
      <c r="B2470" s="5" t="s">
        <v>6025</v>
      </c>
      <c r="C2470" s="5" t="s">
        <v>80</v>
      </c>
      <c r="D2470" s="5" t="s">
        <v>81</v>
      </c>
      <c r="E2470" s="5" t="s">
        <v>387</v>
      </c>
      <c r="F2470" s="9">
        <v>4</v>
      </c>
      <c r="G2470" s="9">
        <v>40</v>
      </c>
      <c r="H2470" s="5" t="s">
        <v>20</v>
      </c>
      <c r="I2470" s="5" t="s">
        <v>6026</v>
      </c>
      <c r="J2470" s="12" t="str">
        <f>HYPERLINK("https://www.boe.es/gazeta/dias/1805/01/11/pdfs/GMD-1805-4.pdf#page=8","Abrir facsímil")</f>
        <v>Abrir facsímil</v>
      </c>
      <c r="K2470" s="15" t="s">
        <v>22</v>
      </c>
    </row>
    <row r="2471" spans="1:11" ht="42" customHeight="1">
      <c r="A2471" s="4" t="s">
        <v>6027</v>
      </c>
      <c r="B2471" s="5" t="s">
        <v>6028</v>
      </c>
      <c r="C2471" s="5" t="s">
        <v>17</v>
      </c>
      <c r="D2471" s="5" t="s">
        <v>18</v>
      </c>
      <c r="E2471" s="5" t="s">
        <v>170</v>
      </c>
      <c r="F2471" s="9">
        <v>9</v>
      </c>
      <c r="G2471" s="9">
        <v>99</v>
      </c>
      <c r="H2471" s="5" t="s">
        <v>20</v>
      </c>
      <c r="I2471" s="5" t="s">
        <v>6029</v>
      </c>
      <c r="J2471" s="12" t="str">
        <f>HYPERLINK("https://www.boe.es/gazeta/dias/1805/01/29/pdfs/GMD-1805-9.pdf#page=7","Abrir facsímil")</f>
        <v>Abrir facsímil</v>
      </c>
      <c r="K2471" s="15" t="s">
        <v>22</v>
      </c>
    </row>
    <row r="2472" spans="1:11" ht="42" customHeight="1">
      <c r="A2472" s="4" t="s">
        <v>6030</v>
      </c>
      <c r="B2472" s="5" t="s">
        <v>6031</v>
      </c>
      <c r="C2472" s="5" t="s">
        <v>184</v>
      </c>
      <c r="D2472" s="5" t="s">
        <v>86</v>
      </c>
      <c r="E2472" s="5" t="s">
        <v>281</v>
      </c>
      <c r="F2472" s="9">
        <v>15</v>
      </c>
      <c r="G2472" s="9">
        <v>156</v>
      </c>
      <c r="H2472" s="5" t="s">
        <v>20</v>
      </c>
      <c r="I2472" s="5" t="s">
        <v>6032</v>
      </c>
      <c r="J2472" s="12" t="str">
        <f>HYPERLINK("https://www.boe.es/gazeta/dias/1805/02/19/pdfs/GMD-1805-15.pdf#page=8","Abrir facsímil")</f>
        <v>Abrir facsímil</v>
      </c>
      <c r="K2472" s="15" t="s">
        <v>22</v>
      </c>
    </row>
    <row r="2473" spans="1:11" ht="42" customHeight="1">
      <c r="A2473" s="4" t="s">
        <v>6033</v>
      </c>
      <c r="B2473" s="5" t="s">
        <v>6034</v>
      </c>
      <c r="C2473" s="5" t="s">
        <v>184</v>
      </c>
      <c r="D2473" s="5" t="s">
        <v>86</v>
      </c>
      <c r="E2473" s="5" t="s">
        <v>293</v>
      </c>
      <c r="F2473" s="9">
        <v>5</v>
      </c>
      <c r="G2473" s="9">
        <v>52</v>
      </c>
      <c r="H2473" s="5" t="s">
        <v>20</v>
      </c>
      <c r="I2473" s="5" t="s">
        <v>6035</v>
      </c>
      <c r="J2473" s="12" t="str">
        <f>HYPERLINK("https://www.boe.es/gazeta/dias/1805/01/15/pdfs/GMD-1805-5.pdf#page=8","Abrir facsímil")</f>
        <v>Abrir facsímil</v>
      </c>
      <c r="K2473" s="15" t="s">
        <v>22</v>
      </c>
    </row>
    <row r="2474" spans="1:11" ht="42" customHeight="1">
      <c r="A2474" s="4" t="s">
        <v>6033</v>
      </c>
      <c r="B2474" s="5" t="s">
        <v>6034</v>
      </c>
      <c r="C2474" s="5" t="s">
        <v>17</v>
      </c>
      <c r="D2474" s="5" t="s">
        <v>18</v>
      </c>
      <c r="E2474" s="5" t="s">
        <v>293</v>
      </c>
      <c r="F2474" s="9">
        <v>5</v>
      </c>
      <c r="G2474" s="9">
        <v>53</v>
      </c>
      <c r="H2474" s="5" t="s">
        <v>20</v>
      </c>
      <c r="I2474" s="5" t="s">
        <v>6036</v>
      </c>
      <c r="J2474" s="12" t="str">
        <f>HYPERLINK("https://www.boe.es/gazeta/dias/1805/01/15/pdfs/GMD-1805-5.pdf#page=9","Abrir facsímil")</f>
        <v>Abrir facsímil</v>
      </c>
      <c r="K2474" s="15" t="s">
        <v>22</v>
      </c>
    </row>
    <row r="2475" spans="1:11" ht="42" customHeight="1">
      <c r="A2475" s="4" t="s">
        <v>6033</v>
      </c>
      <c r="B2475" s="5" t="s">
        <v>6034</v>
      </c>
      <c r="C2475" s="5" t="s">
        <v>17</v>
      </c>
      <c r="D2475" s="5" t="s">
        <v>18</v>
      </c>
      <c r="E2475" s="5" t="s">
        <v>1445</v>
      </c>
      <c r="F2475" s="9">
        <v>6</v>
      </c>
      <c r="G2475" s="9">
        <v>63</v>
      </c>
      <c r="H2475" s="5" t="s">
        <v>20</v>
      </c>
      <c r="I2475" s="5" t="s">
        <v>6037</v>
      </c>
      <c r="J2475" s="12" t="str">
        <f>HYPERLINK("https://www.boe.es/gazeta/dias/1805/01/18/pdfs/GMD-1805-6.pdf#page=7","Abrir facsímil")</f>
        <v>Abrir facsímil</v>
      </c>
      <c r="K2475" s="15" t="s">
        <v>22</v>
      </c>
    </row>
    <row r="2476" spans="1:11" ht="42" customHeight="1">
      <c r="A2476" s="4" t="s">
        <v>6038</v>
      </c>
      <c r="B2476" s="5" t="s">
        <v>6039</v>
      </c>
      <c r="C2476" s="5" t="s">
        <v>35</v>
      </c>
      <c r="D2476" s="5" t="s">
        <v>36</v>
      </c>
      <c r="E2476" s="5" t="s">
        <v>711</v>
      </c>
      <c r="F2476" s="9">
        <v>63</v>
      </c>
      <c r="G2476" s="9">
        <v>674</v>
      </c>
      <c r="H2476" s="5" t="s">
        <v>20</v>
      </c>
      <c r="I2476" s="5" t="s">
        <v>6040</v>
      </c>
      <c r="J2476" s="12" t="str">
        <f>HYPERLINK("https://www.boe.es/gazeta/dias/1805/08/06/pdfs/GMD-1805-63.pdf#page=10","Abrir facsímil")</f>
        <v>Abrir facsímil</v>
      </c>
      <c r="K2476" s="15" t="s">
        <v>22</v>
      </c>
    </row>
    <row r="2477" spans="1:11" ht="42" customHeight="1">
      <c r="A2477" s="4" t="s">
        <v>6041</v>
      </c>
      <c r="B2477" s="5" t="s">
        <v>6042</v>
      </c>
      <c r="C2477" s="5" t="s">
        <v>80</v>
      </c>
      <c r="D2477" s="5" t="s">
        <v>81</v>
      </c>
      <c r="E2477" s="5" t="s">
        <v>363</v>
      </c>
      <c r="F2477" s="9">
        <v>1</v>
      </c>
      <c r="G2477" s="9">
        <v>7</v>
      </c>
      <c r="H2477" s="5" t="s">
        <v>20</v>
      </c>
      <c r="I2477" s="5" t="s">
        <v>6043</v>
      </c>
      <c r="J2477" s="12" t="str">
        <f>HYPERLINK("https://www.boe.es/gazeta/dias/1805/01/01/pdfs/GMD-1805-1.pdf#page=7","Abrir facsímil")</f>
        <v>Abrir facsímil</v>
      </c>
      <c r="K2477" s="15" t="s">
        <v>22</v>
      </c>
    </row>
    <row r="2478" spans="1:11" ht="42" customHeight="1">
      <c r="A2478" s="4" t="s">
        <v>6041</v>
      </c>
      <c r="B2478" s="5" t="s">
        <v>6042</v>
      </c>
      <c r="C2478" s="5" t="s">
        <v>80</v>
      </c>
      <c r="D2478" s="5" t="s">
        <v>81</v>
      </c>
      <c r="E2478" s="5" t="s">
        <v>387</v>
      </c>
      <c r="F2478" s="9">
        <v>4</v>
      </c>
      <c r="G2478" s="9">
        <v>40</v>
      </c>
      <c r="H2478" s="5" t="s">
        <v>20</v>
      </c>
      <c r="I2478" s="5" t="s">
        <v>6044</v>
      </c>
      <c r="J2478" s="12" t="str">
        <f>HYPERLINK("https://www.boe.es/gazeta/dias/1805/01/11/pdfs/GMD-1805-4.pdf#page=8","Abrir facsímil")</f>
        <v>Abrir facsímil</v>
      </c>
      <c r="K2478" s="15" t="s">
        <v>22</v>
      </c>
    </row>
    <row r="2479" spans="1:11" ht="42" customHeight="1">
      <c r="A2479" s="4" t="s">
        <v>6041</v>
      </c>
      <c r="B2479" s="5" t="s">
        <v>6042</v>
      </c>
      <c r="C2479" s="5" t="s">
        <v>80</v>
      </c>
      <c r="D2479" s="5" t="s">
        <v>81</v>
      </c>
      <c r="E2479" s="5" t="s">
        <v>387</v>
      </c>
      <c r="F2479" s="9">
        <v>4</v>
      </c>
      <c r="G2479" s="9">
        <v>41</v>
      </c>
      <c r="H2479" s="5" t="s">
        <v>20</v>
      </c>
      <c r="I2479" s="5" t="s">
        <v>6045</v>
      </c>
      <c r="J2479" s="12" t="str">
        <f>HYPERLINK("https://www.boe.es/gazeta/dias/1805/01/11/pdfs/GMD-1805-4.pdf#page=9","Abrir facsímil")</f>
        <v>Abrir facsímil</v>
      </c>
      <c r="K2479" s="15" t="s">
        <v>22</v>
      </c>
    </row>
    <row r="2480" spans="1:11" ht="42" customHeight="1">
      <c r="A2480" s="4" t="s">
        <v>6041</v>
      </c>
      <c r="B2480" s="5" t="s">
        <v>6042</v>
      </c>
      <c r="C2480" s="5" t="s">
        <v>17</v>
      </c>
      <c r="D2480" s="5" t="s">
        <v>18</v>
      </c>
      <c r="E2480" s="5" t="s">
        <v>1445</v>
      </c>
      <c r="F2480" s="9">
        <v>6</v>
      </c>
      <c r="G2480" s="9">
        <v>63</v>
      </c>
      <c r="H2480" s="5" t="s">
        <v>20</v>
      </c>
      <c r="I2480" s="5" t="s">
        <v>6046</v>
      </c>
      <c r="J2480" s="12" t="str">
        <f>HYPERLINK("https://www.boe.es/gazeta/dias/1805/01/18/pdfs/GMD-1805-6.pdf#page=7","Abrir facsímil")</f>
        <v>Abrir facsímil</v>
      </c>
      <c r="K2480" s="15" t="s">
        <v>22</v>
      </c>
    </row>
    <row r="2481" spans="1:11" ht="42" customHeight="1">
      <c r="A2481" s="4" t="s">
        <v>6041</v>
      </c>
      <c r="B2481" s="5" t="s">
        <v>6042</v>
      </c>
      <c r="C2481" s="5" t="s">
        <v>17</v>
      </c>
      <c r="D2481" s="5" t="s">
        <v>18</v>
      </c>
      <c r="E2481" s="5" t="s">
        <v>1445</v>
      </c>
      <c r="F2481" s="9">
        <v>6</v>
      </c>
      <c r="G2481" s="9">
        <v>64</v>
      </c>
      <c r="H2481" s="5" t="s">
        <v>20</v>
      </c>
      <c r="I2481" s="5" t="s">
        <v>6047</v>
      </c>
      <c r="J2481" s="12" t="str">
        <f>HYPERLINK("https://www.boe.es/gazeta/dias/1805/01/18/pdfs/GMD-1805-6.pdf#page=8","Abrir facsímil")</f>
        <v>Abrir facsímil</v>
      </c>
      <c r="K2481" s="15" t="s">
        <v>22</v>
      </c>
    </row>
    <row r="2482" spans="1:11" ht="42" customHeight="1">
      <c r="A2482" s="4" t="s">
        <v>6048</v>
      </c>
      <c r="B2482" s="5" t="s">
        <v>6048</v>
      </c>
      <c r="C2482" s="5" t="s">
        <v>80</v>
      </c>
      <c r="D2482" s="5" t="s">
        <v>81</v>
      </c>
      <c r="E2482" s="5" t="s">
        <v>817</v>
      </c>
      <c r="F2482" s="9">
        <v>92</v>
      </c>
      <c r="G2482" s="9">
        <v>981</v>
      </c>
      <c r="H2482" s="5" t="s">
        <v>20</v>
      </c>
      <c r="I2482" s="5" t="s">
        <v>6049</v>
      </c>
      <c r="J2482" s="12" t="str">
        <f>HYPERLINK("https://www.boe.es/gazeta/dias/1805/11/15/pdfs/GMD-1805-92.pdf#page=1","Abrir facsímil")</f>
        <v>Abrir facsímil</v>
      </c>
      <c r="K2482" s="15" t="s">
        <v>22</v>
      </c>
    </row>
    <row r="2483" spans="1:11" ht="42" customHeight="1">
      <c r="A2483" s="4" t="s">
        <v>6050</v>
      </c>
      <c r="B2483" s="5" t="s">
        <v>6050</v>
      </c>
      <c r="C2483" s="5" t="s">
        <v>80</v>
      </c>
      <c r="D2483" s="5" t="s">
        <v>81</v>
      </c>
      <c r="E2483" s="5" t="s">
        <v>426</v>
      </c>
      <c r="F2483" s="9">
        <v>75</v>
      </c>
      <c r="G2483" s="9">
        <v>795</v>
      </c>
      <c r="H2483" s="5" t="s">
        <v>20</v>
      </c>
      <c r="I2483" s="5" t="s">
        <v>6051</v>
      </c>
      <c r="J2483" s="12" t="str">
        <f>HYPERLINK("https://www.boe.es/gazeta/dias/1805/09/17/pdfs/GMD-1805-75.pdf#page=7","Abrir facsímil")</f>
        <v>Abrir facsímil</v>
      </c>
      <c r="K2483" s="15" t="s">
        <v>22</v>
      </c>
    </row>
    <row r="2484" spans="1:11" ht="42" customHeight="1">
      <c r="A2484" s="4" t="s">
        <v>6052</v>
      </c>
      <c r="B2484" s="5" t="s">
        <v>6052</v>
      </c>
      <c r="C2484" s="5" t="s">
        <v>80</v>
      </c>
      <c r="D2484" s="5" t="s">
        <v>81</v>
      </c>
      <c r="E2484" s="5" t="s">
        <v>864</v>
      </c>
      <c r="F2484" s="9">
        <v>88</v>
      </c>
      <c r="G2484" s="9">
        <v>937</v>
      </c>
      <c r="H2484" s="5" t="s">
        <v>20</v>
      </c>
      <c r="I2484" s="5" t="s">
        <v>6053</v>
      </c>
      <c r="J2484" s="12" t="str">
        <f>HYPERLINK("https://www.boe.es/gazeta/dias/1805/11/01/pdfs/GMD-1805-88.pdf#page=9","Abrir facsímil")</f>
        <v>Abrir facsímil</v>
      </c>
      <c r="K2484" s="15" t="s">
        <v>22</v>
      </c>
    </row>
    <row r="2485" spans="1:11" ht="42" customHeight="1">
      <c r="A2485" s="4" t="s">
        <v>6054</v>
      </c>
      <c r="B2485" s="5" t="s">
        <v>6054</v>
      </c>
      <c r="C2485" s="5" t="s">
        <v>80</v>
      </c>
      <c r="D2485" s="5" t="s">
        <v>81</v>
      </c>
      <c r="E2485" s="5" t="s">
        <v>864</v>
      </c>
      <c r="F2485" s="9">
        <v>88</v>
      </c>
      <c r="G2485" s="9">
        <v>934</v>
      </c>
      <c r="H2485" s="5" t="s">
        <v>20</v>
      </c>
      <c r="I2485" s="5" t="s">
        <v>6055</v>
      </c>
      <c r="J2485" s="12" t="str">
        <f>HYPERLINK("https://www.boe.es/gazeta/dias/1805/11/01/pdfs/GMD-1805-88.pdf#page=6","Abrir facsímil")</f>
        <v>Abrir facsímil</v>
      </c>
      <c r="K2485" s="15" t="s">
        <v>22</v>
      </c>
    </row>
    <row r="2486" spans="1:11" ht="42" customHeight="1">
      <c r="A2486" s="4" t="s">
        <v>6054</v>
      </c>
      <c r="B2486" s="5" t="s">
        <v>6054</v>
      </c>
      <c r="C2486" s="5" t="s">
        <v>80</v>
      </c>
      <c r="D2486" s="5" t="s">
        <v>81</v>
      </c>
      <c r="E2486" s="5" t="s">
        <v>864</v>
      </c>
      <c r="F2486" s="9">
        <v>88</v>
      </c>
      <c r="G2486" s="9">
        <v>936</v>
      </c>
      <c r="H2486" s="5" t="s">
        <v>20</v>
      </c>
      <c r="I2486" s="5" t="s">
        <v>6056</v>
      </c>
      <c r="J2486" s="12" t="str">
        <f>HYPERLINK("https://www.boe.es/gazeta/dias/1805/11/01/pdfs/GMD-1805-88.pdf#page=8","Abrir facsímil")</f>
        <v>Abrir facsímil</v>
      </c>
      <c r="K2486" s="15" t="s">
        <v>22</v>
      </c>
    </row>
    <row r="2487" spans="1:11" ht="42" customHeight="1">
      <c r="A2487" s="4" t="s">
        <v>6054</v>
      </c>
      <c r="B2487" s="5" t="s">
        <v>6054</v>
      </c>
      <c r="C2487" s="5" t="s">
        <v>35</v>
      </c>
      <c r="D2487" s="5" t="s">
        <v>36</v>
      </c>
      <c r="E2487" s="5" t="s">
        <v>200</v>
      </c>
      <c r="F2487" s="9">
        <v>91</v>
      </c>
      <c r="G2487" s="9">
        <v>971</v>
      </c>
      <c r="H2487" s="5" t="s">
        <v>20</v>
      </c>
      <c r="I2487" s="5" t="s">
        <v>6057</v>
      </c>
      <c r="J2487" s="12" t="str">
        <f>HYPERLINK("https://www.boe.es/gazeta/dias/1805/11/12/pdfs/GMD-1805-91.pdf#page=3","Abrir facsímil")</f>
        <v>Abrir facsímil</v>
      </c>
      <c r="K2487" s="15" t="s">
        <v>22</v>
      </c>
    </row>
    <row r="2488" spans="1:11" ht="42" customHeight="1">
      <c r="A2488" s="4" t="s">
        <v>6054</v>
      </c>
      <c r="B2488" s="5" t="s">
        <v>6054</v>
      </c>
      <c r="C2488" s="5" t="s">
        <v>80</v>
      </c>
      <c r="D2488" s="5" t="s">
        <v>81</v>
      </c>
      <c r="E2488" s="5" t="s">
        <v>200</v>
      </c>
      <c r="F2488" s="9">
        <v>91</v>
      </c>
      <c r="G2488" s="9">
        <v>972</v>
      </c>
      <c r="H2488" s="5" t="s">
        <v>20</v>
      </c>
      <c r="I2488" s="5" t="s">
        <v>6058</v>
      </c>
      <c r="J2488" s="12" t="str">
        <f>HYPERLINK("https://www.boe.es/gazeta/dias/1805/11/12/pdfs/GMD-1805-91.pdf#page=4","Abrir facsímil")</f>
        <v>Abrir facsímil</v>
      </c>
      <c r="K2488" s="15" t="s">
        <v>22</v>
      </c>
    </row>
    <row r="2489" spans="1:11" ht="42" customHeight="1">
      <c r="A2489" s="4" t="s">
        <v>6054</v>
      </c>
      <c r="B2489" s="5" t="s">
        <v>6054</v>
      </c>
      <c r="C2489" s="5" t="s">
        <v>35</v>
      </c>
      <c r="D2489" s="5" t="s">
        <v>36</v>
      </c>
      <c r="E2489" s="5" t="s">
        <v>886</v>
      </c>
      <c r="F2489" s="9">
        <v>93</v>
      </c>
      <c r="G2489" s="9">
        <v>993</v>
      </c>
      <c r="H2489" s="5" t="s">
        <v>20</v>
      </c>
      <c r="I2489" s="5" t="s">
        <v>6059</v>
      </c>
      <c r="J2489" s="12" t="str">
        <f>HYPERLINK("https://www.boe.es/gazeta/dias/1805/11/19/pdfs/GMD-1805-93.pdf#page=5","Abrir facsímil")</f>
        <v>Abrir facsímil</v>
      </c>
      <c r="K2489" s="15" t="s">
        <v>22</v>
      </c>
    </row>
    <row r="2490" spans="1:11" ht="42" customHeight="1">
      <c r="A2490" s="4" t="s">
        <v>6054</v>
      </c>
      <c r="B2490" s="5" t="s">
        <v>6054</v>
      </c>
      <c r="C2490" s="5" t="s">
        <v>17</v>
      </c>
      <c r="D2490" s="5" t="s">
        <v>18</v>
      </c>
      <c r="E2490" s="5" t="s">
        <v>787</v>
      </c>
      <c r="F2490" s="9">
        <v>95</v>
      </c>
      <c r="G2490" s="9">
        <v>1016</v>
      </c>
      <c r="H2490" s="5" t="s">
        <v>20</v>
      </c>
      <c r="I2490" s="5" t="s">
        <v>6060</v>
      </c>
      <c r="J2490" s="12" t="str">
        <f>HYPERLINK("https://www.boe.es/gazeta/dias/1805/11/26/pdfs/GMD-1805-95.pdf#page=4","Abrir facsímil")</f>
        <v>Abrir facsímil</v>
      </c>
      <c r="K2490" s="15" t="s">
        <v>22</v>
      </c>
    </row>
    <row r="2491" spans="1:11" ht="42" customHeight="1">
      <c r="A2491" s="4" t="s">
        <v>6054</v>
      </c>
      <c r="B2491" s="5" t="s">
        <v>6054</v>
      </c>
      <c r="C2491" s="5" t="s">
        <v>17</v>
      </c>
      <c r="D2491" s="5" t="s">
        <v>18</v>
      </c>
      <c r="E2491" s="5" t="s">
        <v>787</v>
      </c>
      <c r="F2491" s="9">
        <v>95</v>
      </c>
      <c r="G2491" s="9">
        <v>1018</v>
      </c>
      <c r="H2491" s="5" t="s">
        <v>20</v>
      </c>
      <c r="I2491" s="5" t="s">
        <v>6061</v>
      </c>
      <c r="J2491" s="12" t="str">
        <f>HYPERLINK("https://www.boe.es/gazeta/dias/1805/11/26/pdfs/GMD-1805-95.pdf#page=6","Abrir facsímil")</f>
        <v>Abrir facsímil</v>
      </c>
      <c r="K2491" s="15" t="s">
        <v>22</v>
      </c>
    </row>
    <row r="2492" spans="1:11" ht="42" customHeight="1">
      <c r="A2492" s="4" t="s">
        <v>6054</v>
      </c>
      <c r="B2492" s="5" t="s">
        <v>6054</v>
      </c>
      <c r="C2492" s="5" t="s">
        <v>35</v>
      </c>
      <c r="D2492" s="5" t="s">
        <v>36</v>
      </c>
      <c r="E2492" s="5" t="s">
        <v>67</v>
      </c>
      <c r="F2492" s="9">
        <v>98</v>
      </c>
      <c r="G2492" s="9">
        <v>1053</v>
      </c>
      <c r="H2492" s="5" t="s">
        <v>20</v>
      </c>
      <c r="I2492" s="5" t="s">
        <v>6062</v>
      </c>
      <c r="J2492" s="12" t="str">
        <f>HYPERLINK("https://www.boe.es/gazeta/dias/1805/12/06/pdfs/GMD-1805-98.pdf#page=5","Abrir facsímil")</f>
        <v>Abrir facsímil</v>
      </c>
      <c r="K2492" s="15" t="s">
        <v>22</v>
      </c>
    </row>
    <row r="2493" spans="1:11" ht="42" customHeight="1">
      <c r="A2493" s="4" t="s">
        <v>6063</v>
      </c>
      <c r="B2493" s="5" t="s">
        <v>6063</v>
      </c>
      <c r="C2493" s="5" t="s">
        <v>80</v>
      </c>
      <c r="D2493" s="5" t="s">
        <v>81</v>
      </c>
      <c r="E2493" s="5" t="s">
        <v>215</v>
      </c>
      <c r="F2493" s="9">
        <v>87</v>
      </c>
      <c r="G2493" s="9">
        <v>925</v>
      </c>
      <c r="H2493" s="5" t="s">
        <v>20</v>
      </c>
      <c r="I2493" s="5" t="s">
        <v>6064</v>
      </c>
      <c r="J2493" s="12" t="str">
        <f>HYPERLINK("https://www.boe.es/gazeta/dias/1805/10/29/pdfs/GMD-1805-87.pdf#page=9","Abrir facsímil")</f>
        <v>Abrir facsímil</v>
      </c>
      <c r="K2493" s="15" t="s">
        <v>22</v>
      </c>
    </row>
    <row r="2494" spans="1:11" ht="42" customHeight="1">
      <c r="A2494" s="4" t="s">
        <v>6065</v>
      </c>
      <c r="B2494" s="5" t="s">
        <v>6065</v>
      </c>
      <c r="C2494" s="5" t="s">
        <v>35</v>
      </c>
      <c r="D2494" s="5" t="s">
        <v>36</v>
      </c>
      <c r="E2494" s="5" t="s">
        <v>512</v>
      </c>
      <c r="F2494" s="9">
        <v>100</v>
      </c>
      <c r="G2494" s="9">
        <v>1077</v>
      </c>
      <c r="H2494" s="5" t="s">
        <v>20</v>
      </c>
      <c r="I2494" s="5" t="s">
        <v>6066</v>
      </c>
      <c r="J2494" s="12" t="str">
        <f>HYPERLINK("https://www.boe.es/gazeta/dias/1805/12/13/pdfs/GMD-1805-100.pdf#page=5","Abrir facsímil")</f>
        <v>Abrir facsímil</v>
      </c>
      <c r="K2494" s="15" t="s">
        <v>22</v>
      </c>
    </row>
    <row r="2495" spans="1:11" ht="42" customHeight="1">
      <c r="A2495" s="4" t="s">
        <v>6067</v>
      </c>
      <c r="B2495" s="5" t="s">
        <v>6067</v>
      </c>
      <c r="C2495" s="5" t="s">
        <v>80</v>
      </c>
      <c r="D2495" s="5" t="s">
        <v>81</v>
      </c>
      <c r="E2495" s="5" t="s">
        <v>19</v>
      </c>
      <c r="F2495" s="9">
        <v>86</v>
      </c>
      <c r="G2495" s="9">
        <v>908</v>
      </c>
      <c r="H2495" s="5" t="s">
        <v>20</v>
      </c>
      <c r="I2495" s="5" t="s">
        <v>6068</v>
      </c>
      <c r="J2495" s="12" t="str">
        <f>HYPERLINK("https://www.boe.es/gazeta/dias/1805/10/25/pdfs/GMD-1805-86.pdf#page=4","Abrir facsímil")</f>
        <v>Abrir facsímil</v>
      </c>
      <c r="K2495" s="15" t="s">
        <v>22</v>
      </c>
    </row>
    <row r="2496" spans="1:11" ht="42" customHeight="1">
      <c r="A2496" s="4" t="s">
        <v>6069</v>
      </c>
      <c r="B2496" s="5" t="s">
        <v>6069</v>
      </c>
      <c r="C2496" s="5" t="s">
        <v>80</v>
      </c>
      <c r="D2496" s="5" t="s">
        <v>81</v>
      </c>
      <c r="E2496" s="5" t="s">
        <v>181</v>
      </c>
      <c r="F2496" s="9">
        <v>90</v>
      </c>
      <c r="G2496" s="9">
        <v>958</v>
      </c>
      <c r="H2496" s="5" t="s">
        <v>20</v>
      </c>
      <c r="I2496" s="5" t="s">
        <v>6070</v>
      </c>
      <c r="J2496" s="12" t="str">
        <f>HYPERLINK("https://www.boe.es/gazeta/dias/1805/11/08/pdfs/GMD-1805-90.pdf#page=2","Abrir facsímil")</f>
        <v>Abrir facsímil</v>
      </c>
      <c r="K2496" s="15" t="s">
        <v>22</v>
      </c>
    </row>
    <row r="2497" spans="1:11" ht="42" customHeight="1">
      <c r="A2497" s="4" t="s">
        <v>6071</v>
      </c>
      <c r="B2497" s="5" t="s">
        <v>6071</v>
      </c>
      <c r="C2497" s="5" t="s">
        <v>80</v>
      </c>
      <c r="D2497" s="5" t="s">
        <v>81</v>
      </c>
      <c r="E2497" s="5" t="s">
        <v>138</v>
      </c>
      <c r="F2497" s="9">
        <v>102</v>
      </c>
      <c r="G2497" s="9">
        <v>1098</v>
      </c>
      <c r="H2497" s="5" t="s">
        <v>20</v>
      </c>
      <c r="I2497" s="5" t="s">
        <v>6072</v>
      </c>
      <c r="J2497" s="12" t="str">
        <f>HYPERLINK("https://www.boe.es/gazeta/dias/1805/12/20/pdfs/GMD-1805-102.pdf#page=2","Abrir facsímil")</f>
        <v>Abrir facsímil</v>
      </c>
      <c r="K2497" s="15" t="s">
        <v>22</v>
      </c>
    </row>
    <row r="2498" spans="1:11" ht="42" customHeight="1">
      <c r="A2498" s="4" t="s">
        <v>6073</v>
      </c>
      <c r="B2498" s="5" t="s">
        <v>6073</v>
      </c>
      <c r="C2498" s="5" t="s">
        <v>35</v>
      </c>
      <c r="D2498" s="5" t="s">
        <v>36</v>
      </c>
      <c r="E2498" s="5" t="s">
        <v>733</v>
      </c>
      <c r="F2498" s="9">
        <v>45</v>
      </c>
      <c r="G2498" s="9">
        <v>484</v>
      </c>
      <c r="H2498" s="5" t="s">
        <v>20</v>
      </c>
      <c r="I2498" s="5" t="s">
        <v>6074</v>
      </c>
      <c r="J2498" s="12" t="str">
        <f>HYPERLINK("https://www.boe.es/gazeta/dias/1805/06/04/pdfs/GMD-1805-45.pdf#page=8","Abrir facsímil")</f>
        <v>Abrir facsímil</v>
      </c>
      <c r="K2498" s="15" t="s">
        <v>22</v>
      </c>
    </row>
    <row r="2499" spans="1:11" ht="42" customHeight="1">
      <c r="A2499" s="4" t="s">
        <v>6073</v>
      </c>
      <c r="B2499" s="5" t="s">
        <v>6073</v>
      </c>
      <c r="C2499" s="5" t="s">
        <v>80</v>
      </c>
      <c r="D2499" s="5" t="s">
        <v>81</v>
      </c>
      <c r="E2499" s="5" t="s">
        <v>19</v>
      </c>
      <c r="F2499" s="9">
        <v>86</v>
      </c>
      <c r="G2499" s="9">
        <v>910</v>
      </c>
      <c r="H2499" s="5" t="s">
        <v>20</v>
      </c>
      <c r="I2499" s="5" t="s">
        <v>6075</v>
      </c>
      <c r="J2499" s="12" t="str">
        <f>HYPERLINK("https://www.boe.es/gazeta/dias/1805/10/25/pdfs/GMD-1805-86.pdf#page=6","Abrir facsímil")</f>
        <v>Abrir facsímil</v>
      </c>
      <c r="K2499" s="15" t="s">
        <v>22</v>
      </c>
    </row>
    <row r="2500" spans="1:11" ht="42" customHeight="1">
      <c r="A2500" s="4" t="s">
        <v>6076</v>
      </c>
      <c r="B2500" s="5" t="s">
        <v>6076</v>
      </c>
      <c r="C2500" s="5" t="s">
        <v>80</v>
      </c>
      <c r="D2500" s="5" t="s">
        <v>81</v>
      </c>
      <c r="E2500" s="5" t="s">
        <v>99</v>
      </c>
      <c r="F2500" s="9">
        <v>83</v>
      </c>
      <c r="G2500" s="9">
        <v>874</v>
      </c>
      <c r="H2500" s="5" t="s">
        <v>20</v>
      </c>
      <c r="I2500" s="5" t="s">
        <v>6077</v>
      </c>
      <c r="J2500" s="12" t="str">
        <f>HYPERLINK("https://www.boe.es/gazeta/dias/1805/10/15/pdfs/GMD-1805-83.pdf#page=2","Abrir facsímil")</f>
        <v>Abrir facsímil</v>
      </c>
      <c r="K2500" s="15" t="s">
        <v>22</v>
      </c>
    </row>
    <row r="2501" spans="1:11" ht="42" customHeight="1">
      <c r="A2501" s="4" t="s">
        <v>6078</v>
      </c>
      <c r="B2501" s="5" t="s">
        <v>6078</v>
      </c>
      <c r="C2501" s="5" t="s">
        <v>80</v>
      </c>
      <c r="D2501" s="5" t="s">
        <v>81</v>
      </c>
      <c r="E2501" s="5" t="s">
        <v>192</v>
      </c>
      <c r="F2501" s="9">
        <v>105</v>
      </c>
      <c r="G2501" s="9">
        <v>1134</v>
      </c>
      <c r="H2501" s="5" t="s">
        <v>20</v>
      </c>
      <c r="I2501" s="5" t="s">
        <v>6079</v>
      </c>
      <c r="J2501" s="12" t="str">
        <f>HYPERLINK("https://www.boe.es/gazeta/dias/1805/12/31/pdfs/GMD-1805-105.pdf#page=6","Abrir facsímil")</f>
        <v>Abrir facsímil</v>
      </c>
      <c r="K2501" s="15" t="s">
        <v>22</v>
      </c>
    </row>
    <row r="2502" spans="1:11" ht="42" customHeight="1">
      <c r="A2502" s="4" t="s">
        <v>6080</v>
      </c>
      <c r="B2502" s="5" t="s">
        <v>6080</v>
      </c>
      <c r="C2502" s="5" t="s">
        <v>80</v>
      </c>
      <c r="D2502" s="5" t="s">
        <v>81</v>
      </c>
      <c r="E2502" s="5" t="s">
        <v>215</v>
      </c>
      <c r="F2502" s="9">
        <v>87</v>
      </c>
      <c r="G2502" s="9">
        <v>926</v>
      </c>
      <c r="H2502" s="5" t="s">
        <v>20</v>
      </c>
      <c r="I2502" s="5" t="s">
        <v>6081</v>
      </c>
      <c r="J2502" s="12" t="str">
        <f>HYPERLINK("https://www.boe.es/gazeta/dias/1805/10/29/pdfs/GMD-1805-87.pdf#page=10","Abrir facsímil")</f>
        <v>Abrir facsímil</v>
      </c>
      <c r="K2502" s="15" t="s">
        <v>22</v>
      </c>
    </row>
    <row r="2503" spans="1:11" ht="42" customHeight="1">
      <c r="A2503" s="4" t="s">
        <v>6082</v>
      </c>
      <c r="B2503" s="5" t="s">
        <v>6082</v>
      </c>
      <c r="C2503" s="5" t="s">
        <v>35</v>
      </c>
      <c r="D2503" s="5" t="s">
        <v>36</v>
      </c>
      <c r="E2503" s="5" t="s">
        <v>512</v>
      </c>
      <c r="F2503" s="9">
        <v>100</v>
      </c>
      <c r="G2503" s="9">
        <v>1077</v>
      </c>
      <c r="H2503" s="5" t="s">
        <v>20</v>
      </c>
      <c r="I2503" s="5" t="s">
        <v>6066</v>
      </c>
      <c r="J2503" s="12" t="str">
        <f>HYPERLINK("https://www.boe.es/gazeta/dias/1805/12/13/pdfs/GMD-1805-100.pdf#page=5","Abrir facsímil")</f>
        <v>Abrir facsímil</v>
      </c>
      <c r="K2503" s="15" t="s">
        <v>22</v>
      </c>
    </row>
    <row r="2504" spans="1:11" ht="42" customHeight="1">
      <c r="A2504" s="4" t="s">
        <v>6083</v>
      </c>
      <c r="B2504" s="5" t="s">
        <v>6083</v>
      </c>
      <c r="C2504" s="5" t="s">
        <v>29</v>
      </c>
      <c r="D2504" s="5" t="s">
        <v>30</v>
      </c>
      <c r="E2504" s="5" t="s">
        <v>886</v>
      </c>
      <c r="F2504" s="9">
        <v>93</v>
      </c>
      <c r="G2504" s="9">
        <v>996</v>
      </c>
      <c r="H2504" s="5" t="s">
        <v>20</v>
      </c>
      <c r="I2504" s="5" t="s">
        <v>6084</v>
      </c>
      <c r="J2504" s="12" t="str">
        <f>HYPERLINK("https://www.boe.es/gazeta/dias/1805/11/19/pdfs/GMD-1805-93.pdf#page=8","Abrir facsímil")</f>
        <v>Abrir facsímil</v>
      </c>
      <c r="K2504" s="15" t="s">
        <v>22</v>
      </c>
    </row>
    <row r="2505" spans="1:11" ht="42" customHeight="1">
      <c r="A2505" s="4" t="s">
        <v>6085</v>
      </c>
      <c r="B2505" s="5" t="s">
        <v>6085</v>
      </c>
      <c r="C2505" s="5" t="s">
        <v>80</v>
      </c>
      <c r="D2505" s="5" t="s">
        <v>81</v>
      </c>
      <c r="E2505" s="5" t="s">
        <v>422</v>
      </c>
      <c r="F2505" s="9">
        <v>74</v>
      </c>
      <c r="G2505" s="9">
        <v>782</v>
      </c>
      <c r="H2505" s="5" t="s">
        <v>20</v>
      </c>
      <c r="I2505" s="5" t="s">
        <v>6086</v>
      </c>
      <c r="J2505" s="12" t="str">
        <f>HYPERLINK("https://www.boe.es/gazeta/dias/1805/09/13/pdfs/GMD-1805-74.pdf#page=6","Abrir facsímil")</f>
        <v>Abrir facsímil</v>
      </c>
      <c r="K2505" s="15" t="s">
        <v>22</v>
      </c>
    </row>
    <row r="2506" spans="1:11" ht="42" customHeight="1">
      <c r="A2506" s="4" t="s">
        <v>6087</v>
      </c>
      <c r="B2506" s="5" t="s">
        <v>6087</v>
      </c>
      <c r="C2506" s="5" t="s">
        <v>17</v>
      </c>
      <c r="D2506" s="5" t="s">
        <v>18</v>
      </c>
      <c r="E2506" s="5" t="s">
        <v>163</v>
      </c>
      <c r="F2506" s="9">
        <v>77</v>
      </c>
      <c r="G2506" s="9">
        <v>813</v>
      </c>
      <c r="H2506" s="5" t="s">
        <v>20</v>
      </c>
      <c r="I2506" s="5" t="s">
        <v>6088</v>
      </c>
      <c r="J2506" s="12" t="str">
        <f>HYPERLINK("https://www.boe.es/gazeta/dias/1805/09/24/pdfs/GMD-1805-77.pdf#page=5","Abrir facsímil")</f>
        <v>Abrir facsímil</v>
      </c>
      <c r="K2506" s="15" t="s">
        <v>22</v>
      </c>
    </row>
    <row r="2507" spans="1:11" ht="42" customHeight="1">
      <c r="A2507" s="4" t="s">
        <v>6089</v>
      </c>
      <c r="B2507" s="5" t="s">
        <v>6089</v>
      </c>
      <c r="C2507" s="5" t="s">
        <v>17</v>
      </c>
      <c r="D2507" s="5" t="s">
        <v>18</v>
      </c>
      <c r="E2507" s="5" t="s">
        <v>163</v>
      </c>
      <c r="F2507" s="9">
        <v>77</v>
      </c>
      <c r="G2507" s="9">
        <v>813</v>
      </c>
      <c r="H2507" s="5" t="s">
        <v>20</v>
      </c>
      <c r="I2507" s="5" t="s">
        <v>6088</v>
      </c>
      <c r="J2507" s="12" t="str">
        <f>HYPERLINK("https://www.boe.es/gazeta/dias/1805/09/24/pdfs/GMD-1805-77.pdf#page=5","Abrir facsímil")</f>
        <v>Abrir facsímil</v>
      </c>
      <c r="K2507" s="15" t="s">
        <v>22</v>
      </c>
    </row>
    <row r="2508" spans="1:11" ht="42" customHeight="1">
      <c r="A2508" s="4" t="s">
        <v>6090</v>
      </c>
      <c r="B2508" s="5" t="s">
        <v>6090</v>
      </c>
      <c r="C2508" s="5" t="s">
        <v>35</v>
      </c>
      <c r="D2508" s="5" t="s">
        <v>36</v>
      </c>
      <c r="E2508" s="5" t="s">
        <v>19</v>
      </c>
      <c r="F2508" s="9">
        <v>86</v>
      </c>
      <c r="G2508" s="9">
        <v>907</v>
      </c>
      <c r="H2508" s="5" t="s">
        <v>20</v>
      </c>
      <c r="I2508" s="5" t="s">
        <v>6091</v>
      </c>
      <c r="J2508" s="12" t="str">
        <f>HYPERLINK("https://www.boe.es/gazeta/dias/1805/10/25/pdfs/GMD-1805-86.pdf#page=3","Abrir facsímil")</f>
        <v>Abrir facsímil</v>
      </c>
      <c r="K2508" s="15" t="s">
        <v>22</v>
      </c>
    </row>
    <row r="2509" spans="1:11" ht="42" customHeight="1">
      <c r="A2509" s="4" t="s">
        <v>6090</v>
      </c>
      <c r="B2509" s="5" t="s">
        <v>6090</v>
      </c>
      <c r="C2509" s="5" t="s">
        <v>80</v>
      </c>
      <c r="D2509" s="5" t="s">
        <v>81</v>
      </c>
      <c r="E2509" s="5" t="s">
        <v>864</v>
      </c>
      <c r="F2509" s="9">
        <v>88</v>
      </c>
      <c r="G2509" s="9">
        <v>931</v>
      </c>
      <c r="H2509" s="5" t="s">
        <v>20</v>
      </c>
      <c r="I2509" s="5" t="s">
        <v>6092</v>
      </c>
      <c r="J2509" s="12" t="str">
        <f>HYPERLINK("https://www.boe.es/gazeta/dias/1805/11/01/pdfs/GMD-1805-88.pdf#page=3","Abrir facsímil")</f>
        <v>Abrir facsímil</v>
      </c>
      <c r="K2509" s="15" t="s">
        <v>22</v>
      </c>
    </row>
    <row r="2510" spans="1:11" ht="42" customHeight="1">
      <c r="A2510" s="4" t="s">
        <v>6093</v>
      </c>
      <c r="B2510" s="5" t="s">
        <v>6093</v>
      </c>
      <c r="C2510" s="5" t="s">
        <v>80</v>
      </c>
      <c r="D2510" s="5" t="s">
        <v>81</v>
      </c>
      <c r="E2510" s="5" t="s">
        <v>213</v>
      </c>
      <c r="F2510" s="9">
        <v>56</v>
      </c>
      <c r="G2510" s="9">
        <v>595</v>
      </c>
      <c r="H2510" s="5" t="s">
        <v>20</v>
      </c>
      <c r="I2510" s="5" t="s">
        <v>6094</v>
      </c>
      <c r="J2510" s="12" t="str">
        <f>HYPERLINK("https://www.boe.es/gazeta/dias/1805/07/12/pdfs/GMD-1805-56.pdf#page=3","Abrir facsímil")</f>
        <v>Abrir facsímil</v>
      </c>
      <c r="K2510" s="15" t="s">
        <v>22</v>
      </c>
    </row>
    <row r="2511" spans="1:11" ht="42" customHeight="1">
      <c r="A2511" s="4" t="s">
        <v>6095</v>
      </c>
      <c r="B2511" s="5" t="s">
        <v>6095</v>
      </c>
      <c r="C2511" s="5" t="s">
        <v>29</v>
      </c>
      <c r="D2511" s="5" t="s">
        <v>30</v>
      </c>
      <c r="E2511" s="5" t="s">
        <v>886</v>
      </c>
      <c r="F2511" s="9">
        <v>93</v>
      </c>
      <c r="G2511" s="9">
        <v>996</v>
      </c>
      <c r="H2511" s="5" t="s">
        <v>20</v>
      </c>
      <c r="I2511" s="5" t="s">
        <v>6084</v>
      </c>
      <c r="J2511" s="12" t="str">
        <f>HYPERLINK("https://www.boe.es/gazeta/dias/1805/11/19/pdfs/GMD-1805-93.pdf#page=8","Abrir facsímil")</f>
        <v>Abrir facsímil</v>
      </c>
      <c r="K2511" s="15" t="s">
        <v>22</v>
      </c>
    </row>
    <row r="2512" spans="1:11" ht="42" customHeight="1">
      <c r="A2512" s="4" t="s">
        <v>6095</v>
      </c>
      <c r="B2512" s="5" t="s">
        <v>6095</v>
      </c>
      <c r="C2512" s="5" t="s">
        <v>80</v>
      </c>
      <c r="D2512" s="5" t="s">
        <v>81</v>
      </c>
      <c r="E2512" s="5" t="s">
        <v>67</v>
      </c>
      <c r="F2512" s="9">
        <v>98</v>
      </c>
      <c r="G2512" s="9">
        <v>1057</v>
      </c>
      <c r="H2512" s="5" t="s">
        <v>20</v>
      </c>
      <c r="I2512" s="5" t="s">
        <v>6096</v>
      </c>
      <c r="J2512" s="12" t="str">
        <f>HYPERLINK("https://www.boe.es/gazeta/dias/1805/12/06/pdfs/GMD-1805-98.pdf#page=9","Abrir facsímil")</f>
        <v>Abrir facsímil</v>
      </c>
      <c r="K2512" s="15" t="s">
        <v>22</v>
      </c>
    </row>
    <row r="2513" spans="1:11" ht="42" customHeight="1">
      <c r="A2513" s="4" t="s">
        <v>6097</v>
      </c>
      <c r="B2513" s="5" t="s">
        <v>6097</v>
      </c>
      <c r="C2513" s="5" t="s">
        <v>35</v>
      </c>
      <c r="D2513" s="5" t="s">
        <v>36</v>
      </c>
      <c r="E2513" s="5" t="s">
        <v>200</v>
      </c>
      <c r="F2513" s="9">
        <v>91</v>
      </c>
      <c r="G2513" s="9">
        <v>973</v>
      </c>
      <c r="H2513" s="5" t="s">
        <v>20</v>
      </c>
      <c r="I2513" s="5" t="s">
        <v>6098</v>
      </c>
      <c r="J2513" s="12" t="str">
        <f>HYPERLINK("https://www.boe.es/gazeta/dias/1805/11/12/pdfs/GMD-1805-91.pdf#page=5","Abrir facsímil")</f>
        <v>Abrir facsímil</v>
      </c>
      <c r="K2513" s="15" t="s">
        <v>22</v>
      </c>
    </row>
    <row r="2514" spans="1:11" ht="42" customHeight="1">
      <c r="A2514" s="4" t="s">
        <v>6099</v>
      </c>
      <c r="B2514" s="5" t="s">
        <v>6099</v>
      </c>
      <c r="C2514" s="5" t="s">
        <v>80</v>
      </c>
      <c r="D2514" s="5" t="s">
        <v>81</v>
      </c>
      <c r="E2514" s="5" t="s">
        <v>789</v>
      </c>
      <c r="F2514" s="9">
        <v>104</v>
      </c>
      <c r="G2514" s="9">
        <v>1120</v>
      </c>
      <c r="H2514" s="5" t="s">
        <v>20</v>
      </c>
      <c r="I2514" s="5" t="s">
        <v>6100</v>
      </c>
      <c r="J2514" s="12" t="str">
        <f>HYPERLINK("https://www.boe.es/gazeta/dias/1805/12/27/pdfs/GMD-1805-104.pdf#page=4","Abrir facsímil")</f>
        <v>Abrir facsímil</v>
      </c>
      <c r="K2514" s="15" t="s">
        <v>22</v>
      </c>
    </row>
    <row r="2515" spans="1:11" ht="42" customHeight="1">
      <c r="A2515" s="4" t="s">
        <v>6101</v>
      </c>
      <c r="B2515" s="5" t="s">
        <v>6101</v>
      </c>
      <c r="C2515" s="5" t="s">
        <v>35</v>
      </c>
      <c r="D2515" s="5" t="s">
        <v>36</v>
      </c>
      <c r="E2515" s="5" t="s">
        <v>495</v>
      </c>
      <c r="F2515" s="9">
        <v>103</v>
      </c>
      <c r="G2515" s="9">
        <v>1111</v>
      </c>
      <c r="H2515" s="5" t="s">
        <v>20</v>
      </c>
      <c r="I2515" s="5" t="s">
        <v>6102</v>
      </c>
      <c r="J2515" s="12" t="str">
        <f>HYPERLINK("https://www.boe.es/gazeta/dias/1805/12/24/pdfs/GMD-1805-103.pdf#page=3","Abrir facsímil")</f>
        <v>Abrir facsímil</v>
      </c>
      <c r="K2515" s="15" t="s">
        <v>22</v>
      </c>
    </row>
    <row r="2516" spans="1:11" ht="42" customHeight="1">
      <c r="A2516" s="4" t="s">
        <v>6103</v>
      </c>
      <c r="B2516" s="5" t="s">
        <v>6103</v>
      </c>
      <c r="C2516" s="5" t="s">
        <v>184</v>
      </c>
      <c r="D2516" s="5" t="s">
        <v>86</v>
      </c>
      <c r="E2516" s="5" t="s">
        <v>181</v>
      </c>
      <c r="F2516" s="9">
        <v>90</v>
      </c>
      <c r="G2516" s="9">
        <v>958</v>
      </c>
      <c r="H2516" s="5" t="s">
        <v>20</v>
      </c>
      <c r="I2516" s="5" t="s">
        <v>6104</v>
      </c>
      <c r="J2516" s="12" t="str">
        <f>HYPERLINK("https://www.boe.es/gazeta/dias/1805/11/08/pdfs/GMD-1805-90.pdf#page=2","Abrir facsímil")</f>
        <v>Abrir facsímil</v>
      </c>
      <c r="K2516" s="15" t="s">
        <v>22</v>
      </c>
    </row>
    <row r="2517" spans="1:11" ht="42" customHeight="1">
      <c r="A2517" s="4" t="s">
        <v>6105</v>
      </c>
      <c r="B2517" s="5" t="s">
        <v>6105</v>
      </c>
      <c r="C2517" s="5" t="s">
        <v>80</v>
      </c>
      <c r="D2517" s="5" t="s">
        <v>81</v>
      </c>
      <c r="E2517" s="5" t="s">
        <v>192</v>
      </c>
      <c r="F2517" s="9">
        <v>105</v>
      </c>
      <c r="G2517" s="9">
        <v>1134</v>
      </c>
      <c r="H2517" s="5" t="s">
        <v>20</v>
      </c>
      <c r="I2517" s="5" t="s">
        <v>6106</v>
      </c>
      <c r="J2517" s="12" t="str">
        <f>HYPERLINK("https://www.boe.es/gazeta/dias/1805/12/31/pdfs/GMD-1805-105.pdf#page=6","Abrir facsímil")</f>
        <v>Abrir facsímil</v>
      </c>
      <c r="K2517" s="15" t="s">
        <v>22</v>
      </c>
    </row>
    <row r="2518" spans="1:11" ht="42" customHeight="1">
      <c r="A2518" s="4" t="s">
        <v>6107</v>
      </c>
      <c r="B2518" s="5" t="s">
        <v>6107</v>
      </c>
      <c r="C2518" s="5" t="s">
        <v>80</v>
      </c>
      <c r="D2518" s="5" t="s">
        <v>81</v>
      </c>
      <c r="E2518" s="5" t="s">
        <v>215</v>
      </c>
      <c r="F2518" s="9">
        <v>87</v>
      </c>
      <c r="G2518" s="9">
        <v>925</v>
      </c>
      <c r="H2518" s="5" t="s">
        <v>20</v>
      </c>
      <c r="I2518" s="5" t="s">
        <v>6064</v>
      </c>
      <c r="J2518" s="12" t="str">
        <f>HYPERLINK("https://www.boe.es/gazeta/dias/1805/10/29/pdfs/GMD-1805-87.pdf#page=9","Abrir facsímil")</f>
        <v>Abrir facsímil</v>
      </c>
      <c r="K2518" s="15" t="s">
        <v>22</v>
      </c>
    </row>
    <row r="2519" spans="1:11" ht="42" customHeight="1">
      <c r="A2519" s="4" t="s">
        <v>6108</v>
      </c>
      <c r="B2519" s="5" t="s">
        <v>6108</v>
      </c>
      <c r="C2519" s="5" t="s">
        <v>80</v>
      </c>
      <c r="D2519" s="5" t="s">
        <v>81</v>
      </c>
      <c r="E2519" s="5" t="s">
        <v>19</v>
      </c>
      <c r="F2519" s="9">
        <v>86</v>
      </c>
      <c r="G2519" s="9">
        <v>908</v>
      </c>
      <c r="H2519" s="5" t="s">
        <v>20</v>
      </c>
      <c r="I2519" s="5" t="s">
        <v>6068</v>
      </c>
      <c r="J2519" s="12" t="str">
        <f>HYPERLINK("https://www.boe.es/gazeta/dias/1805/10/25/pdfs/GMD-1805-86.pdf#page=4","Abrir facsímil")</f>
        <v>Abrir facsímil</v>
      </c>
      <c r="K2519" s="15" t="s">
        <v>22</v>
      </c>
    </row>
    <row r="2520" spans="1:11" ht="42" customHeight="1">
      <c r="A2520" s="4" t="s">
        <v>6109</v>
      </c>
      <c r="B2520" s="5" t="s">
        <v>6109</v>
      </c>
      <c r="C2520" s="5" t="s">
        <v>80</v>
      </c>
      <c r="D2520" s="5" t="s">
        <v>81</v>
      </c>
      <c r="E2520" s="5" t="s">
        <v>138</v>
      </c>
      <c r="F2520" s="9">
        <v>102</v>
      </c>
      <c r="G2520" s="9">
        <v>1098</v>
      </c>
      <c r="H2520" s="5" t="s">
        <v>20</v>
      </c>
      <c r="I2520" s="5" t="s">
        <v>6072</v>
      </c>
      <c r="J2520" s="12" t="str">
        <f>HYPERLINK("https://www.boe.es/gazeta/dias/1805/12/20/pdfs/GMD-1805-102.pdf#page=2","Abrir facsímil")</f>
        <v>Abrir facsímil</v>
      </c>
      <c r="K2520" s="15" t="s">
        <v>22</v>
      </c>
    </row>
    <row r="2521" spans="1:11" ht="42" customHeight="1">
      <c r="A2521" s="4" t="s">
        <v>6109</v>
      </c>
      <c r="B2521" s="5" t="s">
        <v>6109</v>
      </c>
      <c r="C2521" s="5" t="s">
        <v>80</v>
      </c>
      <c r="D2521" s="5" t="s">
        <v>81</v>
      </c>
      <c r="E2521" s="5" t="s">
        <v>789</v>
      </c>
      <c r="F2521" s="9">
        <v>104</v>
      </c>
      <c r="G2521" s="9">
        <v>1124</v>
      </c>
      <c r="H2521" s="5" t="s">
        <v>20</v>
      </c>
      <c r="I2521" s="5" t="s">
        <v>6110</v>
      </c>
      <c r="J2521" s="12" t="str">
        <f>HYPERLINK("https://www.boe.es/gazeta/dias/1805/12/27/pdfs/GMD-1805-104.pdf#page=8","Abrir facsímil")</f>
        <v>Abrir facsímil</v>
      </c>
      <c r="K2521" s="15" t="s">
        <v>22</v>
      </c>
    </row>
    <row r="2522" spans="1:11" ht="42" customHeight="1">
      <c r="A2522" s="4" t="s">
        <v>6109</v>
      </c>
      <c r="B2522" s="5" t="s">
        <v>6109</v>
      </c>
      <c r="C2522" s="5" t="s">
        <v>80</v>
      </c>
      <c r="D2522" s="5" t="s">
        <v>81</v>
      </c>
      <c r="E2522" s="5" t="s">
        <v>192</v>
      </c>
      <c r="F2522" s="9">
        <v>105</v>
      </c>
      <c r="G2522" s="9">
        <v>1129</v>
      </c>
      <c r="H2522" s="5" t="s">
        <v>20</v>
      </c>
      <c r="I2522" s="5" t="s">
        <v>6111</v>
      </c>
      <c r="J2522" s="12" t="str">
        <f>HYPERLINK("https://www.boe.es/gazeta/dias/1805/12/31/pdfs/GMD-1805-105.pdf#page=1","Abrir facsímil")</f>
        <v>Abrir facsímil</v>
      </c>
      <c r="K2522" s="15" t="s">
        <v>22</v>
      </c>
    </row>
    <row r="2523" spans="1:11" ht="42" customHeight="1">
      <c r="A2523" s="4" t="s">
        <v>6112</v>
      </c>
      <c r="B2523" s="5" t="s">
        <v>6112</v>
      </c>
      <c r="C2523" s="5" t="s">
        <v>17</v>
      </c>
      <c r="D2523" s="5" t="s">
        <v>18</v>
      </c>
      <c r="E2523" s="5" t="s">
        <v>24</v>
      </c>
      <c r="F2523" s="9">
        <v>11</v>
      </c>
      <c r="G2523" s="9">
        <v>116</v>
      </c>
      <c r="H2523" s="5" t="s">
        <v>20</v>
      </c>
      <c r="I2523" s="5" t="s">
        <v>6113</v>
      </c>
      <c r="J2523" s="12" t="str">
        <f>HYPERLINK("https://www.boe.es/gazeta/dias/1805/02/05/pdfs/GMD-1805-11.pdf#page=4","Abrir facsímil")</f>
        <v>Abrir facsímil</v>
      </c>
      <c r="K2523" s="15" t="s">
        <v>22</v>
      </c>
    </row>
    <row r="2524" spans="1:11" ht="42" customHeight="1">
      <c r="A2524" s="4" t="s">
        <v>6112</v>
      </c>
      <c r="B2524" s="5" t="s">
        <v>6112</v>
      </c>
      <c r="C2524" s="5" t="s">
        <v>17</v>
      </c>
      <c r="D2524" s="5" t="s">
        <v>18</v>
      </c>
      <c r="E2524" s="5" t="s">
        <v>854</v>
      </c>
      <c r="F2524" s="9">
        <v>46</v>
      </c>
      <c r="G2524" s="9">
        <v>492</v>
      </c>
      <c r="H2524" s="5" t="s">
        <v>20</v>
      </c>
      <c r="I2524" s="5" t="s">
        <v>6114</v>
      </c>
      <c r="J2524" s="12" t="str">
        <f>HYPERLINK("https://www.boe.es/gazeta/dias/1805/06/07/pdfs/GMD-1805-46.pdf#page=4","Abrir facsímil")</f>
        <v>Abrir facsímil</v>
      </c>
      <c r="K2524" s="15" t="s">
        <v>22</v>
      </c>
    </row>
    <row r="2525" spans="1:11" ht="42" customHeight="1">
      <c r="A2525" s="4" t="s">
        <v>6115</v>
      </c>
      <c r="B2525" s="5" t="s">
        <v>6115</v>
      </c>
      <c r="C2525" s="5" t="s">
        <v>80</v>
      </c>
      <c r="D2525" s="5" t="s">
        <v>81</v>
      </c>
      <c r="E2525" s="5" t="s">
        <v>54</v>
      </c>
      <c r="F2525" s="9">
        <v>99</v>
      </c>
      <c r="G2525" s="9">
        <v>1062</v>
      </c>
      <c r="H2525" s="5" t="s">
        <v>20</v>
      </c>
      <c r="I2525" s="5" t="s">
        <v>6116</v>
      </c>
      <c r="J2525" s="12" t="str">
        <f>HYPERLINK("https://www.boe.es/gazeta/dias/1805/12/10/pdfs/GMD-1805-99.pdf#page=2","Abrir facsímil")</f>
        <v>Abrir facsímil</v>
      </c>
      <c r="K2525" s="15" t="s">
        <v>22</v>
      </c>
    </row>
    <row r="2526" spans="1:11" ht="42" customHeight="1">
      <c r="A2526" s="4" t="s">
        <v>6117</v>
      </c>
      <c r="B2526" s="5" t="s">
        <v>6117</v>
      </c>
      <c r="C2526" s="5" t="s">
        <v>80</v>
      </c>
      <c r="D2526" s="5" t="s">
        <v>81</v>
      </c>
      <c r="E2526" s="5" t="s">
        <v>54</v>
      </c>
      <c r="F2526" s="9">
        <v>99</v>
      </c>
      <c r="G2526" s="9">
        <v>1062</v>
      </c>
      <c r="H2526" s="5" t="s">
        <v>20</v>
      </c>
      <c r="I2526" s="5" t="s">
        <v>6116</v>
      </c>
      <c r="J2526" s="12" t="str">
        <f>HYPERLINK("https://www.boe.es/gazeta/dias/1805/12/10/pdfs/GMD-1805-99.pdf#page=2","Abrir facsímil")</f>
        <v>Abrir facsímil</v>
      </c>
      <c r="K2526" s="15" t="s">
        <v>22</v>
      </c>
    </row>
    <row r="2527" spans="1:11" ht="42" customHeight="1">
      <c r="A2527" s="4" t="s">
        <v>6118</v>
      </c>
      <c r="B2527" s="5" t="s">
        <v>6118</v>
      </c>
      <c r="C2527" s="5" t="s">
        <v>80</v>
      </c>
      <c r="D2527" s="5" t="s">
        <v>81</v>
      </c>
      <c r="E2527" s="5" t="s">
        <v>192</v>
      </c>
      <c r="F2527" s="9">
        <v>105</v>
      </c>
      <c r="G2527" s="9">
        <v>1134</v>
      </c>
      <c r="H2527" s="5" t="s">
        <v>20</v>
      </c>
      <c r="I2527" s="5" t="s">
        <v>6079</v>
      </c>
      <c r="J2527" s="12" t="str">
        <f>HYPERLINK("https://www.boe.es/gazeta/dias/1805/12/31/pdfs/GMD-1805-105.pdf#page=6","Abrir facsímil")</f>
        <v>Abrir facsímil</v>
      </c>
      <c r="K2527" s="15" t="s">
        <v>22</v>
      </c>
    </row>
    <row r="2528" spans="1:11" ht="42" customHeight="1">
      <c r="A2528" s="4" t="s">
        <v>6119</v>
      </c>
      <c r="B2528" s="5" t="s">
        <v>6119</v>
      </c>
      <c r="C2528" s="5" t="s">
        <v>80</v>
      </c>
      <c r="D2528" s="5" t="s">
        <v>81</v>
      </c>
      <c r="E2528" s="5" t="s">
        <v>181</v>
      </c>
      <c r="F2528" s="9">
        <v>90</v>
      </c>
      <c r="G2528" s="9">
        <v>958</v>
      </c>
      <c r="H2528" s="5" t="s">
        <v>20</v>
      </c>
      <c r="I2528" s="5" t="s">
        <v>6070</v>
      </c>
      <c r="J2528" s="12" t="str">
        <f>HYPERLINK("https://www.boe.es/gazeta/dias/1805/11/08/pdfs/GMD-1805-90.pdf#page=2","Abrir facsímil")</f>
        <v>Abrir facsímil</v>
      </c>
      <c r="K2528" s="15" t="s">
        <v>22</v>
      </c>
    </row>
    <row r="2529" spans="1:11" ht="42" customHeight="1">
      <c r="A2529" s="4" t="s">
        <v>6120</v>
      </c>
      <c r="B2529" s="5" t="s">
        <v>6120</v>
      </c>
      <c r="C2529" s="5" t="s">
        <v>80</v>
      </c>
      <c r="D2529" s="5" t="s">
        <v>81</v>
      </c>
      <c r="E2529" s="5" t="s">
        <v>67</v>
      </c>
      <c r="F2529" s="9">
        <v>98</v>
      </c>
      <c r="G2529" s="9">
        <v>1057</v>
      </c>
      <c r="H2529" s="5" t="s">
        <v>20</v>
      </c>
      <c r="I2529" s="5" t="s">
        <v>6096</v>
      </c>
      <c r="J2529" s="12" t="str">
        <f>HYPERLINK("https://www.boe.es/gazeta/dias/1805/12/06/pdfs/GMD-1805-98.pdf#page=9","Abrir facsímil")</f>
        <v>Abrir facsímil</v>
      </c>
      <c r="K2529" s="15" t="s">
        <v>22</v>
      </c>
    </row>
    <row r="2530" spans="1:11" ht="42" customHeight="1">
      <c r="A2530" s="4" t="s">
        <v>6121</v>
      </c>
      <c r="B2530" s="5" t="s">
        <v>6121</v>
      </c>
      <c r="C2530" s="5" t="s">
        <v>80</v>
      </c>
      <c r="D2530" s="5" t="s">
        <v>81</v>
      </c>
      <c r="E2530" s="5" t="s">
        <v>789</v>
      </c>
      <c r="F2530" s="9">
        <v>104</v>
      </c>
      <c r="G2530" s="9">
        <v>1120</v>
      </c>
      <c r="H2530" s="5" t="s">
        <v>20</v>
      </c>
      <c r="I2530" s="5" t="s">
        <v>6100</v>
      </c>
      <c r="J2530" s="12" t="str">
        <f>HYPERLINK("https://www.boe.es/gazeta/dias/1805/12/27/pdfs/GMD-1805-104.pdf#page=4","Abrir facsímil")</f>
        <v>Abrir facsímil</v>
      </c>
      <c r="K2530" s="15" t="s">
        <v>22</v>
      </c>
    </row>
    <row r="2531" spans="1:11" ht="42" customHeight="1">
      <c r="A2531" s="4" t="s">
        <v>6122</v>
      </c>
      <c r="B2531" s="5" t="s">
        <v>6122</v>
      </c>
      <c r="C2531" s="5" t="s">
        <v>35</v>
      </c>
      <c r="D2531" s="5" t="s">
        <v>36</v>
      </c>
      <c r="E2531" s="5" t="s">
        <v>495</v>
      </c>
      <c r="F2531" s="9">
        <v>103</v>
      </c>
      <c r="G2531" s="9">
        <v>1111</v>
      </c>
      <c r="H2531" s="5" t="s">
        <v>20</v>
      </c>
      <c r="I2531" s="5" t="s">
        <v>6102</v>
      </c>
      <c r="J2531" s="12" t="str">
        <f>HYPERLINK("https://www.boe.es/gazeta/dias/1805/12/24/pdfs/GMD-1805-103.pdf#page=3","Abrir facsímil")</f>
        <v>Abrir facsímil</v>
      </c>
      <c r="K2531" s="15" t="s">
        <v>22</v>
      </c>
    </row>
    <row r="2532" spans="1:11" ht="42" customHeight="1">
      <c r="A2532" s="4" t="s">
        <v>6123</v>
      </c>
      <c r="B2532" s="5" t="s">
        <v>6123</v>
      </c>
      <c r="C2532" s="5" t="s">
        <v>80</v>
      </c>
      <c r="D2532" s="5" t="s">
        <v>81</v>
      </c>
      <c r="E2532" s="5" t="s">
        <v>99</v>
      </c>
      <c r="F2532" s="9">
        <v>83</v>
      </c>
      <c r="G2532" s="9">
        <v>874</v>
      </c>
      <c r="H2532" s="5" t="s">
        <v>20</v>
      </c>
      <c r="I2532" s="5" t="s">
        <v>6077</v>
      </c>
      <c r="J2532" s="12" t="str">
        <f>HYPERLINK("https://www.boe.es/gazeta/dias/1805/10/15/pdfs/GMD-1805-83.pdf#page=2","Abrir facsímil")</f>
        <v>Abrir facsímil</v>
      </c>
      <c r="K2532" s="15" t="s">
        <v>22</v>
      </c>
    </row>
    <row r="2533" spans="1:11" ht="42" customHeight="1">
      <c r="A2533" s="4" t="s">
        <v>6124</v>
      </c>
      <c r="B2533" s="5" t="s">
        <v>6124</v>
      </c>
      <c r="C2533" s="5" t="s">
        <v>80</v>
      </c>
      <c r="D2533" s="5" t="s">
        <v>81</v>
      </c>
      <c r="E2533" s="5" t="s">
        <v>215</v>
      </c>
      <c r="F2533" s="9">
        <v>87</v>
      </c>
      <c r="G2533" s="9">
        <v>918</v>
      </c>
      <c r="H2533" s="5" t="s">
        <v>20</v>
      </c>
      <c r="I2533" s="5" t="s">
        <v>6125</v>
      </c>
      <c r="J2533" s="12" t="str">
        <f>HYPERLINK("https://www.boe.es/gazeta/dias/1805/10/29/pdfs/GMD-1805-87.pdf#page=2","Abrir facsímil")</f>
        <v>Abrir facsímil</v>
      </c>
      <c r="K2533" s="15" t="s">
        <v>22</v>
      </c>
    </row>
    <row r="2534" spans="1:11" ht="42" customHeight="1">
      <c r="A2534" s="4" t="s">
        <v>6126</v>
      </c>
      <c r="B2534" s="5" t="s">
        <v>6126</v>
      </c>
      <c r="C2534" s="5" t="s">
        <v>80</v>
      </c>
      <c r="D2534" s="5" t="s">
        <v>81</v>
      </c>
      <c r="E2534" s="5" t="s">
        <v>181</v>
      </c>
      <c r="F2534" s="9">
        <v>90</v>
      </c>
      <c r="G2534" s="9">
        <v>958</v>
      </c>
      <c r="H2534" s="5" t="s">
        <v>20</v>
      </c>
      <c r="I2534" s="5" t="s">
        <v>6127</v>
      </c>
      <c r="J2534" s="12" t="str">
        <f>HYPERLINK("https://www.boe.es/gazeta/dias/1805/11/08/pdfs/GMD-1805-90.pdf#page=2","Abrir facsímil")</f>
        <v>Abrir facsímil</v>
      </c>
      <c r="K2534" s="15" t="s">
        <v>22</v>
      </c>
    </row>
    <row r="2535" spans="1:11" ht="42" customHeight="1">
      <c r="A2535" s="4" t="s">
        <v>6126</v>
      </c>
      <c r="B2535" s="5" t="s">
        <v>6126</v>
      </c>
      <c r="C2535" s="5" t="s">
        <v>80</v>
      </c>
      <c r="D2535" s="5" t="s">
        <v>81</v>
      </c>
      <c r="E2535" s="5" t="s">
        <v>67</v>
      </c>
      <c r="F2535" s="9">
        <v>98</v>
      </c>
      <c r="G2535" s="9">
        <v>1054</v>
      </c>
      <c r="H2535" s="5" t="s">
        <v>20</v>
      </c>
      <c r="I2535" s="5" t="s">
        <v>6128</v>
      </c>
      <c r="J2535" s="12" t="str">
        <f>HYPERLINK("https://www.boe.es/gazeta/dias/1805/12/06/pdfs/GMD-1805-98.pdf#page=6","Abrir facsímil")</f>
        <v>Abrir facsímil</v>
      </c>
      <c r="K2535" s="15" t="s">
        <v>22</v>
      </c>
    </row>
    <row r="2536" spans="1:11" ht="42" customHeight="1">
      <c r="A2536" s="4" t="s">
        <v>6126</v>
      </c>
      <c r="B2536" s="5" t="s">
        <v>6126</v>
      </c>
      <c r="C2536" s="5" t="s">
        <v>80</v>
      </c>
      <c r="D2536" s="5" t="s">
        <v>81</v>
      </c>
      <c r="E2536" s="5" t="s">
        <v>512</v>
      </c>
      <c r="F2536" s="9">
        <v>100</v>
      </c>
      <c r="G2536" s="9">
        <v>1077</v>
      </c>
      <c r="H2536" s="5" t="s">
        <v>20</v>
      </c>
      <c r="I2536" s="5" t="s">
        <v>6129</v>
      </c>
      <c r="J2536" s="12" t="str">
        <f>HYPERLINK("https://www.boe.es/gazeta/dias/1805/12/13/pdfs/GMD-1805-100.pdf#page=5","Abrir facsímil")</f>
        <v>Abrir facsímil</v>
      </c>
      <c r="K2536" s="15" t="s">
        <v>22</v>
      </c>
    </row>
    <row r="2537" spans="1:11" ht="42" customHeight="1">
      <c r="A2537" s="4" t="s">
        <v>6126</v>
      </c>
      <c r="B2537" s="5" t="s">
        <v>6126</v>
      </c>
      <c r="C2537" s="5" t="s">
        <v>35</v>
      </c>
      <c r="D2537" s="5" t="s">
        <v>36</v>
      </c>
      <c r="E2537" s="5" t="s">
        <v>192</v>
      </c>
      <c r="F2537" s="9">
        <v>105</v>
      </c>
      <c r="G2537" s="9">
        <v>1133</v>
      </c>
      <c r="H2537" s="5" t="s">
        <v>20</v>
      </c>
      <c r="I2537" s="5" t="s">
        <v>6130</v>
      </c>
      <c r="J2537" s="12" t="str">
        <f>HYPERLINK("https://www.boe.es/gazeta/dias/1805/12/31/pdfs/GMD-1805-105.pdf#page=5","Abrir facsímil")</f>
        <v>Abrir facsímil</v>
      </c>
      <c r="K2537" s="15" t="s">
        <v>22</v>
      </c>
    </row>
    <row r="2538" spans="1:11" ht="42" customHeight="1">
      <c r="A2538" s="4" t="s">
        <v>6126</v>
      </c>
      <c r="B2538" s="5" t="s">
        <v>6126</v>
      </c>
      <c r="C2538" s="5" t="s">
        <v>35</v>
      </c>
      <c r="D2538" s="5" t="s">
        <v>36</v>
      </c>
      <c r="E2538" s="5" t="s">
        <v>192</v>
      </c>
      <c r="F2538" s="9">
        <v>105</v>
      </c>
      <c r="G2538" s="9">
        <v>1134</v>
      </c>
      <c r="H2538" s="5" t="s">
        <v>20</v>
      </c>
      <c r="I2538" s="5" t="s">
        <v>6131</v>
      </c>
      <c r="J2538" s="12" t="str">
        <f>HYPERLINK("https://www.boe.es/gazeta/dias/1805/12/31/pdfs/GMD-1805-105.pdf#page=6","Abrir facsímil")</f>
        <v>Abrir facsímil</v>
      </c>
      <c r="K2538" s="15" t="s">
        <v>22</v>
      </c>
    </row>
    <row r="2539" spans="1:11" ht="42" customHeight="1">
      <c r="A2539" s="4" t="s">
        <v>6132</v>
      </c>
      <c r="B2539" s="5" t="s">
        <v>6132</v>
      </c>
      <c r="C2539" s="5" t="s">
        <v>80</v>
      </c>
      <c r="D2539" s="5" t="s">
        <v>81</v>
      </c>
      <c r="E2539" s="5" t="s">
        <v>789</v>
      </c>
      <c r="F2539" s="9">
        <v>104</v>
      </c>
      <c r="G2539" s="9">
        <v>1121</v>
      </c>
      <c r="H2539" s="5" t="s">
        <v>20</v>
      </c>
      <c r="I2539" s="5" t="s">
        <v>6133</v>
      </c>
      <c r="J2539" s="12" t="str">
        <f>HYPERLINK("https://www.boe.es/gazeta/dias/1805/12/27/pdfs/GMD-1805-104.pdf#page=5","Abrir facsímil")</f>
        <v>Abrir facsímil</v>
      </c>
      <c r="K2539" s="15" t="s">
        <v>22</v>
      </c>
    </row>
    <row r="2540" spans="1:11" ht="42" customHeight="1">
      <c r="A2540" s="4" t="s">
        <v>6134</v>
      </c>
      <c r="B2540" s="5" t="s">
        <v>6134</v>
      </c>
      <c r="C2540" s="5" t="s">
        <v>80</v>
      </c>
      <c r="D2540" s="5" t="s">
        <v>81</v>
      </c>
      <c r="E2540" s="5" t="s">
        <v>192</v>
      </c>
      <c r="F2540" s="9">
        <v>105</v>
      </c>
      <c r="G2540" s="9">
        <v>1134</v>
      </c>
      <c r="H2540" s="5" t="s">
        <v>20</v>
      </c>
      <c r="I2540" s="5" t="s">
        <v>6135</v>
      </c>
      <c r="J2540" s="12" t="str">
        <f>HYPERLINK("https://www.boe.es/gazeta/dias/1805/12/31/pdfs/GMD-1805-105.pdf#page=6","Abrir facsímil")</f>
        <v>Abrir facsímil</v>
      </c>
      <c r="K2540" s="15" t="s">
        <v>22</v>
      </c>
    </row>
    <row r="2541" spans="1:11" ht="42" customHeight="1">
      <c r="A2541" s="4" t="s">
        <v>6136</v>
      </c>
      <c r="B2541" s="5" t="s">
        <v>6136</v>
      </c>
      <c r="C2541" s="5" t="s">
        <v>80</v>
      </c>
      <c r="D2541" s="5" t="s">
        <v>81</v>
      </c>
      <c r="E2541" s="5" t="s">
        <v>426</v>
      </c>
      <c r="F2541" s="9">
        <v>75</v>
      </c>
      <c r="G2541" s="9">
        <v>795</v>
      </c>
      <c r="H2541" s="5" t="s">
        <v>20</v>
      </c>
      <c r="I2541" s="5" t="s">
        <v>6051</v>
      </c>
      <c r="J2541" s="12" t="str">
        <f>HYPERLINK("https://www.boe.es/gazeta/dias/1805/09/17/pdfs/GMD-1805-75.pdf#page=7","Abrir facsímil")</f>
        <v>Abrir facsímil</v>
      </c>
      <c r="K2541" s="15" t="s">
        <v>22</v>
      </c>
    </row>
    <row r="2542" spans="1:11" ht="42" customHeight="1">
      <c r="A2542" s="4" t="s">
        <v>6137</v>
      </c>
      <c r="B2542" s="5" t="s">
        <v>6137</v>
      </c>
      <c r="C2542" s="5" t="s">
        <v>80</v>
      </c>
      <c r="D2542" s="5" t="s">
        <v>81</v>
      </c>
      <c r="E2542" s="5" t="s">
        <v>99</v>
      </c>
      <c r="F2542" s="9">
        <v>83</v>
      </c>
      <c r="G2542" s="9">
        <v>874</v>
      </c>
      <c r="H2542" s="5" t="s">
        <v>20</v>
      </c>
      <c r="I2542" s="5" t="s">
        <v>6138</v>
      </c>
      <c r="J2542" s="12" t="str">
        <f>HYPERLINK("https://www.boe.es/gazeta/dias/1805/10/15/pdfs/GMD-1805-83.pdf#page=2","Abrir facsímil")</f>
        <v>Abrir facsímil</v>
      </c>
      <c r="K2542" s="15" t="s">
        <v>22</v>
      </c>
    </row>
    <row r="2543" spans="1:11" ht="42" customHeight="1">
      <c r="A2543" s="4" t="s">
        <v>6139</v>
      </c>
      <c r="B2543" s="5" t="s">
        <v>6139</v>
      </c>
      <c r="C2543" s="5" t="s">
        <v>35</v>
      </c>
      <c r="D2543" s="5" t="s">
        <v>36</v>
      </c>
      <c r="E2543" s="5" t="s">
        <v>99</v>
      </c>
      <c r="F2543" s="9">
        <v>83</v>
      </c>
      <c r="G2543" s="9">
        <v>874</v>
      </c>
      <c r="H2543" s="5" t="s">
        <v>20</v>
      </c>
      <c r="I2543" s="5" t="s">
        <v>6140</v>
      </c>
      <c r="J2543" s="12" t="str">
        <f>HYPERLINK("https://www.boe.es/gazeta/dias/1805/10/15/pdfs/GMD-1805-83.pdf#page=2","Abrir facsímil")</f>
        <v>Abrir facsímil</v>
      </c>
      <c r="K2543" s="15" t="s">
        <v>22</v>
      </c>
    </row>
    <row r="2544" spans="1:11" ht="42" customHeight="1">
      <c r="A2544" s="4" t="s">
        <v>6141</v>
      </c>
      <c r="B2544" s="5" t="s">
        <v>6141</v>
      </c>
      <c r="C2544" s="5" t="s">
        <v>17</v>
      </c>
      <c r="D2544" s="5" t="s">
        <v>18</v>
      </c>
      <c r="E2544" s="5" t="s">
        <v>854</v>
      </c>
      <c r="F2544" s="9">
        <v>46</v>
      </c>
      <c r="G2544" s="9">
        <v>492</v>
      </c>
      <c r="H2544" s="5" t="s">
        <v>20</v>
      </c>
      <c r="I2544" s="5" t="s">
        <v>6114</v>
      </c>
      <c r="J2544" s="12" t="str">
        <f>HYPERLINK("https://www.boe.es/gazeta/dias/1805/06/07/pdfs/GMD-1805-46.pdf#page=4","Abrir facsímil")</f>
        <v>Abrir facsímil</v>
      </c>
      <c r="K2544" s="15" t="s">
        <v>22</v>
      </c>
    </row>
    <row r="2545" spans="1:11" ht="42" customHeight="1">
      <c r="A2545" s="4" t="s">
        <v>6142</v>
      </c>
      <c r="B2545" s="5" t="s">
        <v>6142</v>
      </c>
      <c r="C2545" s="5" t="s">
        <v>80</v>
      </c>
      <c r="D2545" s="5" t="s">
        <v>81</v>
      </c>
      <c r="E2545" s="5" t="s">
        <v>789</v>
      </c>
      <c r="F2545" s="9">
        <v>104</v>
      </c>
      <c r="G2545" s="9">
        <v>1121</v>
      </c>
      <c r="H2545" s="5" t="s">
        <v>20</v>
      </c>
      <c r="I2545" s="5" t="s">
        <v>6133</v>
      </c>
      <c r="J2545" s="12" t="str">
        <f>HYPERLINK("https://www.boe.es/gazeta/dias/1805/12/27/pdfs/GMD-1805-104.pdf#page=5","Abrir facsímil")</f>
        <v>Abrir facsímil</v>
      </c>
      <c r="K2545" s="15" t="s">
        <v>22</v>
      </c>
    </row>
    <row r="2546" spans="1:11" ht="42" customHeight="1">
      <c r="A2546" s="4" t="s">
        <v>6143</v>
      </c>
      <c r="B2546" s="5" t="s">
        <v>6143</v>
      </c>
      <c r="C2546" s="5" t="s">
        <v>80</v>
      </c>
      <c r="D2546" s="5" t="s">
        <v>81</v>
      </c>
      <c r="E2546" s="5" t="s">
        <v>215</v>
      </c>
      <c r="F2546" s="9">
        <v>87</v>
      </c>
      <c r="G2546" s="9">
        <v>926</v>
      </c>
      <c r="H2546" s="5" t="s">
        <v>20</v>
      </c>
      <c r="I2546" s="5" t="s">
        <v>6081</v>
      </c>
      <c r="J2546" s="12" t="str">
        <f>HYPERLINK("https://www.boe.es/gazeta/dias/1805/10/29/pdfs/GMD-1805-87.pdf#page=10","Abrir facsímil")</f>
        <v>Abrir facsímil</v>
      </c>
      <c r="K2546" s="15" t="s">
        <v>22</v>
      </c>
    </row>
    <row r="2547" spans="1:11" ht="42" customHeight="1">
      <c r="A2547" s="4" t="s">
        <v>6144</v>
      </c>
      <c r="B2547" s="5" t="s">
        <v>6144</v>
      </c>
      <c r="C2547" s="5" t="s">
        <v>35</v>
      </c>
      <c r="D2547" s="5" t="s">
        <v>36</v>
      </c>
      <c r="E2547" s="5" t="s">
        <v>209</v>
      </c>
      <c r="F2547" s="9">
        <v>89</v>
      </c>
      <c r="G2547" s="9">
        <v>950</v>
      </c>
      <c r="H2547" s="5" t="s">
        <v>20</v>
      </c>
      <c r="I2547" s="5" t="s">
        <v>6145</v>
      </c>
      <c r="J2547" s="12" t="str">
        <f>HYPERLINK("https://www.boe.es/gazeta/dias/1805/11/05/pdfs/GMD-1805-89.pdf#page=10","Abrir facsímil")</f>
        <v>Abrir facsímil</v>
      </c>
      <c r="K2547" s="15" t="s">
        <v>22</v>
      </c>
    </row>
    <row r="2548" spans="1:11" ht="42" customHeight="1">
      <c r="A2548" s="4" t="s">
        <v>6146</v>
      </c>
      <c r="B2548" s="5" t="s">
        <v>6146</v>
      </c>
      <c r="C2548" s="5" t="s">
        <v>17</v>
      </c>
      <c r="D2548" s="5" t="s">
        <v>18</v>
      </c>
      <c r="E2548" s="5" t="s">
        <v>24</v>
      </c>
      <c r="F2548" s="9">
        <v>11</v>
      </c>
      <c r="G2548" s="9">
        <v>116</v>
      </c>
      <c r="H2548" s="5" t="s">
        <v>20</v>
      </c>
      <c r="I2548" s="5" t="s">
        <v>6113</v>
      </c>
      <c r="J2548" s="12" t="str">
        <f>HYPERLINK("https://www.boe.es/gazeta/dias/1805/02/05/pdfs/GMD-1805-11.pdf#page=4","Abrir facsímil")</f>
        <v>Abrir facsímil</v>
      </c>
      <c r="K2548" s="15" t="s">
        <v>22</v>
      </c>
    </row>
    <row r="2549" spans="1:11" ht="42" customHeight="1">
      <c r="A2549" s="4" t="s">
        <v>6147</v>
      </c>
      <c r="B2549" s="5" t="s">
        <v>6147</v>
      </c>
      <c r="C2549" s="5" t="s">
        <v>35</v>
      </c>
      <c r="D2549" s="5" t="s">
        <v>36</v>
      </c>
      <c r="E2549" s="5" t="s">
        <v>209</v>
      </c>
      <c r="F2549" s="9">
        <v>89</v>
      </c>
      <c r="G2549" s="9">
        <v>950</v>
      </c>
      <c r="H2549" s="5" t="s">
        <v>20</v>
      </c>
      <c r="I2549" s="5" t="s">
        <v>6148</v>
      </c>
      <c r="J2549" s="12" t="str">
        <f>HYPERLINK("https://www.boe.es/gazeta/dias/1805/11/05/pdfs/GMD-1805-89.pdf#page=10","Abrir facsímil")</f>
        <v>Abrir facsímil</v>
      </c>
      <c r="K2549" s="15" t="s">
        <v>22</v>
      </c>
    </row>
    <row r="2550" spans="1:11" ht="42" customHeight="1">
      <c r="A2550" s="4" t="s">
        <v>6147</v>
      </c>
      <c r="B2550" s="5" t="s">
        <v>6147</v>
      </c>
      <c r="C2550" s="5" t="s">
        <v>35</v>
      </c>
      <c r="D2550" s="5" t="s">
        <v>36</v>
      </c>
      <c r="E2550" s="5" t="s">
        <v>209</v>
      </c>
      <c r="F2550" s="9">
        <v>89</v>
      </c>
      <c r="G2550" s="9">
        <v>951</v>
      </c>
      <c r="H2550" s="5" t="s">
        <v>20</v>
      </c>
      <c r="I2550" s="5" t="s">
        <v>6149</v>
      </c>
      <c r="J2550" s="12" t="str">
        <f>HYPERLINK("https://www.boe.es/gazeta/dias/1805/11/05/pdfs/GMD-1805-89.pdf#page=11","Abrir facsímil")</f>
        <v>Abrir facsímil</v>
      </c>
      <c r="K2550" s="15" t="s">
        <v>22</v>
      </c>
    </row>
    <row r="2551" spans="1:11" ht="42" customHeight="1">
      <c r="A2551" s="4" t="s">
        <v>6150</v>
      </c>
      <c r="B2551" s="5" t="s">
        <v>6150</v>
      </c>
      <c r="C2551" s="5" t="s">
        <v>80</v>
      </c>
      <c r="D2551" s="5" t="s">
        <v>81</v>
      </c>
      <c r="E2551" s="5" t="s">
        <v>99</v>
      </c>
      <c r="F2551" s="9">
        <v>83</v>
      </c>
      <c r="G2551" s="9">
        <v>874</v>
      </c>
      <c r="H2551" s="5" t="s">
        <v>20</v>
      </c>
      <c r="I2551" s="5" t="s">
        <v>6138</v>
      </c>
      <c r="J2551" s="12" t="str">
        <f>HYPERLINK("https://www.boe.es/gazeta/dias/1805/10/15/pdfs/GMD-1805-83.pdf#page=2","Abrir facsímil")</f>
        <v>Abrir facsímil</v>
      </c>
      <c r="K2551" s="15" t="s">
        <v>22</v>
      </c>
    </row>
    <row r="2552" spans="1:11" ht="42" customHeight="1">
      <c r="A2552" s="4" t="s">
        <v>6151</v>
      </c>
      <c r="B2552" s="5" t="s">
        <v>6151</v>
      </c>
      <c r="C2552" s="5" t="s">
        <v>80</v>
      </c>
      <c r="D2552" s="5" t="s">
        <v>81</v>
      </c>
      <c r="E2552" s="5" t="s">
        <v>817</v>
      </c>
      <c r="F2552" s="9">
        <v>92</v>
      </c>
      <c r="G2552" s="9">
        <v>981</v>
      </c>
      <c r="H2552" s="5" t="s">
        <v>20</v>
      </c>
      <c r="I2552" s="5" t="s">
        <v>6049</v>
      </c>
      <c r="J2552" s="12" t="str">
        <f>HYPERLINK("https://www.boe.es/gazeta/dias/1805/11/15/pdfs/GMD-1805-92.pdf#page=1","Abrir facsímil")</f>
        <v>Abrir facsímil</v>
      </c>
      <c r="K2552" s="15" t="s">
        <v>22</v>
      </c>
    </row>
    <row r="2553" spans="1:11" ht="42" customHeight="1">
      <c r="A2553" s="4" t="s">
        <v>6152</v>
      </c>
      <c r="B2553" s="5" t="s">
        <v>6153</v>
      </c>
      <c r="C2553" s="5" t="s">
        <v>35</v>
      </c>
      <c r="D2553" s="5" t="s">
        <v>36</v>
      </c>
      <c r="E2553" s="5" t="s">
        <v>196</v>
      </c>
      <c r="F2553" s="9">
        <v>67</v>
      </c>
      <c r="G2553" s="9">
        <v>717</v>
      </c>
      <c r="H2553" s="5" t="s">
        <v>20</v>
      </c>
      <c r="I2553" s="5" t="s">
        <v>6154</v>
      </c>
      <c r="J2553" s="12" t="str">
        <f>HYPERLINK("https://www.boe.es/gazeta/dias/1805/08/20/pdfs/GMD-1805-67.pdf#page=5","Abrir facsímil")</f>
        <v>Abrir facsímil</v>
      </c>
      <c r="K2553" s="15" t="s">
        <v>22</v>
      </c>
    </row>
    <row r="2554" spans="1:11" ht="42" customHeight="1">
      <c r="A2554" s="4" t="s">
        <v>6155</v>
      </c>
      <c r="B2554" s="5" t="s">
        <v>6156</v>
      </c>
      <c r="C2554" s="5" t="s">
        <v>80</v>
      </c>
      <c r="D2554" s="5" t="s">
        <v>81</v>
      </c>
      <c r="E2554" s="5" t="s">
        <v>296</v>
      </c>
      <c r="F2554" s="9">
        <v>26</v>
      </c>
      <c r="G2554" s="9">
        <v>271</v>
      </c>
      <c r="H2554" s="5" t="s">
        <v>20</v>
      </c>
      <c r="I2554" s="5" t="s">
        <v>6157</v>
      </c>
      <c r="J2554" s="12" t="str">
        <f>HYPERLINK("https://www.boe.es/gazeta/dias/1805/03/29/pdfs/GMD-1805-26.pdf#page=3","Abrir facsímil")</f>
        <v>Abrir facsímil</v>
      </c>
      <c r="K2554" s="15" t="s">
        <v>22</v>
      </c>
    </row>
    <row r="2555" spans="1:11" ht="42" customHeight="1">
      <c r="A2555" s="4" t="s">
        <v>6158</v>
      </c>
      <c r="B2555" s="5" t="s">
        <v>6158</v>
      </c>
      <c r="C2555" s="5" t="s">
        <v>35</v>
      </c>
      <c r="D2555" s="5" t="s">
        <v>36</v>
      </c>
      <c r="E2555" s="5" t="s">
        <v>539</v>
      </c>
      <c r="F2555" s="9">
        <v>97</v>
      </c>
      <c r="G2555" s="9">
        <v>1045</v>
      </c>
      <c r="H2555" s="5" t="s">
        <v>20</v>
      </c>
      <c r="I2555" s="5" t="s">
        <v>6159</v>
      </c>
      <c r="J2555" s="12" t="str">
        <f>HYPERLINK("https://www.boe.es/gazeta/dias/1805/12/03/pdfs/GMD-1805-97.pdf#page=9","Abrir facsímil")</f>
        <v>Abrir facsímil</v>
      </c>
      <c r="K2555" s="15" t="s">
        <v>22</v>
      </c>
    </row>
    <row r="2556" spans="1:11" ht="42" customHeight="1">
      <c r="A2556" s="4" t="s">
        <v>6160</v>
      </c>
      <c r="B2556" s="5" t="s">
        <v>6161</v>
      </c>
      <c r="C2556" s="5" t="s">
        <v>35</v>
      </c>
      <c r="D2556" s="5" t="s">
        <v>36</v>
      </c>
      <c r="E2556" s="5" t="s">
        <v>393</v>
      </c>
      <c r="F2556" s="9">
        <v>44</v>
      </c>
      <c r="G2556" s="9">
        <v>471</v>
      </c>
      <c r="H2556" s="5" t="s">
        <v>20</v>
      </c>
      <c r="I2556" s="5" t="s">
        <v>6162</v>
      </c>
      <c r="J2556" s="12" t="str">
        <f>HYPERLINK("https://www.boe.es/gazeta/dias/1805/05/31/pdfs/GMD-1805-44.pdf#page=7","Abrir facsímil")</f>
        <v>Abrir facsímil</v>
      </c>
      <c r="K2556" s="15" t="s">
        <v>22</v>
      </c>
    </row>
    <row r="2557" spans="1:11" ht="42" customHeight="1">
      <c r="A2557" s="4" t="s">
        <v>6163</v>
      </c>
      <c r="B2557" s="5" t="s">
        <v>6163</v>
      </c>
      <c r="C2557" s="5" t="s">
        <v>35</v>
      </c>
      <c r="D2557" s="5" t="s">
        <v>36</v>
      </c>
      <c r="E2557" s="5" t="s">
        <v>293</v>
      </c>
      <c r="F2557" s="9">
        <v>5</v>
      </c>
      <c r="G2557" s="9">
        <v>54</v>
      </c>
      <c r="H2557" s="5" t="s">
        <v>20</v>
      </c>
      <c r="I2557" s="5" t="s">
        <v>6164</v>
      </c>
      <c r="J2557" s="12" t="str">
        <f>HYPERLINK("https://www.boe.es/gazeta/dias/1805/01/15/pdfs/GMD-1805-5.pdf#page=10","Abrir facsímil")</f>
        <v>Abrir facsímil</v>
      </c>
      <c r="K2557" s="15" t="s">
        <v>22</v>
      </c>
    </row>
    <row r="2558" spans="1:11" ht="42" customHeight="1">
      <c r="A2558" s="4" t="s">
        <v>6163</v>
      </c>
      <c r="B2558" s="5" t="s">
        <v>6163</v>
      </c>
      <c r="C2558" s="5" t="s">
        <v>35</v>
      </c>
      <c r="D2558" s="5" t="s">
        <v>36</v>
      </c>
      <c r="E2558" s="5" t="s">
        <v>471</v>
      </c>
      <c r="F2558" s="9">
        <v>22</v>
      </c>
      <c r="G2558" s="9">
        <v>234</v>
      </c>
      <c r="H2558" s="5" t="s">
        <v>20</v>
      </c>
      <c r="I2558" s="5" t="s">
        <v>6165</v>
      </c>
      <c r="J2558" s="12" t="str">
        <f>HYPERLINK("https://www.boe.es/gazeta/dias/1805/03/15/pdfs/GMD-1805-22.pdf#page=10","Abrir facsímil")</f>
        <v>Abrir facsímil</v>
      </c>
      <c r="K2558" s="15" t="s">
        <v>22</v>
      </c>
    </row>
    <row r="2559" spans="1:11" ht="42" customHeight="1">
      <c r="A2559" s="4" t="s">
        <v>6163</v>
      </c>
      <c r="B2559" s="5" t="s">
        <v>6163</v>
      </c>
      <c r="C2559" s="5" t="s">
        <v>35</v>
      </c>
      <c r="D2559" s="5" t="s">
        <v>36</v>
      </c>
      <c r="E2559" s="5" t="s">
        <v>399</v>
      </c>
      <c r="F2559" s="9">
        <v>39</v>
      </c>
      <c r="G2559" s="9">
        <v>424</v>
      </c>
      <c r="H2559" s="5" t="s">
        <v>20</v>
      </c>
      <c r="I2559" s="5" t="s">
        <v>6166</v>
      </c>
      <c r="J2559" s="12" t="str">
        <f>HYPERLINK("https://www.boe.es/gazeta/dias/1805/05/14/pdfs/GMD-1805-39.pdf#page=12","Abrir facsímil")</f>
        <v>Abrir facsímil</v>
      </c>
      <c r="K2559" s="15" t="s">
        <v>22</v>
      </c>
    </row>
    <row r="2560" spans="1:11" ht="42" customHeight="1">
      <c r="A2560" s="4" t="s">
        <v>6163</v>
      </c>
      <c r="B2560" s="5" t="s">
        <v>6163</v>
      </c>
      <c r="C2560" s="5" t="s">
        <v>35</v>
      </c>
      <c r="D2560" s="5" t="s">
        <v>36</v>
      </c>
      <c r="E2560" s="5" t="s">
        <v>276</v>
      </c>
      <c r="F2560" s="9">
        <v>51</v>
      </c>
      <c r="G2560" s="9">
        <v>552</v>
      </c>
      <c r="H2560" s="5" t="s">
        <v>20</v>
      </c>
      <c r="I2560" s="5" t="s">
        <v>6167</v>
      </c>
      <c r="J2560" s="12" t="str">
        <f>HYPERLINK("https://www.boe.es/gazeta/dias/1805/06/25/pdfs/GMD-1805-51.pdf#page=8","Abrir facsímil")</f>
        <v>Abrir facsímil</v>
      </c>
      <c r="K2560" s="15" t="s">
        <v>22</v>
      </c>
    </row>
    <row r="2561" spans="1:11" ht="42" customHeight="1">
      <c r="A2561" s="4" t="s">
        <v>6163</v>
      </c>
      <c r="B2561" s="5" t="s">
        <v>6163</v>
      </c>
      <c r="C2561" s="5" t="s">
        <v>35</v>
      </c>
      <c r="D2561" s="5" t="s">
        <v>36</v>
      </c>
      <c r="E2561" s="5" t="s">
        <v>226</v>
      </c>
      <c r="F2561" s="9">
        <v>73</v>
      </c>
      <c r="G2561" s="9">
        <v>775</v>
      </c>
      <c r="H2561" s="5" t="s">
        <v>20</v>
      </c>
      <c r="I2561" s="5" t="s">
        <v>6168</v>
      </c>
      <c r="J2561" s="12" t="str">
        <f>HYPERLINK("https://www.boe.es/gazeta/dias/1805/09/10/pdfs/GMD-1805-73.pdf#page=7","Abrir facsímil")</f>
        <v>Abrir facsímil</v>
      </c>
      <c r="K2561" s="15" t="s">
        <v>22</v>
      </c>
    </row>
    <row r="2562" spans="1:11" ht="42" customHeight="1">
      <c r="A2562" s="4" t="s">
        <v>6163</v>
      </c>
      <c r="B2562" s="5" t="s">
        <v>6163</v>
      </c>
      <c r="C2562" s="5" t="s">
        <v>35</v>
      </c>
      <c r="D2562" s="5" t="s">
        <v>36</v>
      </c>
      <c r="E2562" s="5" t="s">
        <v>335</v>
      </c>
      <c r="F2562" s="9">
        <v>79</v>
      </c>
      <c r="G2562" s="9">
        <v>839</v>
      </c>
      <c r="H2562" s="5" t="s">
        <v>20</v>
      </c>
      <c r="I2562" s="5" t="s">
        <v>6169</v>
      </c>
      <c r="J2562" s="12" t="str">
        <f>HYPERLINK("https://www.boe.es/gazeta/dias/1805/10/01/pdfs/GMD-1805-79.pdf#page=11","Abrir facsímil")</f>
        <v>Abrir facsímil</v>
      </c>
      <c r="K2562" s="15" t="s">
        <v>22</v>
      </c>
    </row>
    <row r="2563" spans="1:11" ht="42" customHeight="1">
      <c r="A2563" s="4" t="s">
        <v>6163</v>
      </c>
      <c r="B2563" s="5" t="s">
        <v>6163</v>
      </c>
      <c r="C2563" s="5" t="s">
        <v>184</v>
      </c>
      <c r="D2563" s="5" t="s">
        <v>86</v>
      </c>
      <c r="E2563" s="5" t="s">
        <v>864</v>
      </c>
      <c r="F2563" s="9">
        <v>88</v>
      </c>
      <c r="G2563" s="9">
        <v>939</v>
      </c>
      <c r="H2563" s="5" t="s">
        <v>20</v>
      </c>
      <c r="I2563" s="5" t="s">
        <v>6170</v>
      </c>
      <c r="J2563" s="12" t="str">
        <f>HYPERLINK("https://www.boe.es/gazeta/dias/1805/11/01/pdfs/GMD-1805-88.pdf#page=11","Abrir facsímil")</f>
        <v>Abrir facsímil</v>
      </c>
      <c r="K2563" s="15" t="s">
        <v>22</v>
      </c>
    </row>
    <row r="2564" spans="1:11" ht="42" customHeight="1">
      <c r="A2564" s="4" t="s">
        <v>6163</v>
      </c>
      <c r="B2564" s="5" t="s">
        <v>6163</v>
      </c>
      <c r="C2564" s="5" t="s">
        <v>35</v>
      </c>
      <c r="D2564" s="5" t="s">
        <v>36</v>
      </c>
      <c r="E2564" s="5" t="s">
        <v>181</v>
      </c>
      <c r="F2564" s="9">
        <v>90</v>
      </c>
      <c r="G2564" s="9">
        <v>965</v>
      </c>
      <c r="H2564" s="5" t="s">
        <v>20</v>
      </c>
      <c r="I2564" s="5" t="s">
        <v>6171</v>
      </c>
      <c r="J2564" s="12" t="str">
        <f>HYPERLINK("https://www.boe.es/gazeta/dias/1805/11/08/pdfs/GMD-1805-90.pdf#page=9","Abrir facsímil")</f>
        <v>Abrir facsímil</v>
      </c>
      <c r="K2564" s="15" t="s">
        <v>22</v>
      </c>
    </row>
    <row r="2565" spans="1:11" ht="42" customHeight="1">
      <c r="A2565" s="4" t="s">
        <v>6163</v>
      </c>
      <c r="B2565" s="5" t="s">
        <v>6163</v>
      </c>
      <c r="C2565" s="5" t="s">
        <v>35</v>
      </c>
      <c r="D2565" s="5" t="s">
        <v>36</v>
      </c>
      <c r="E2565" s="5" t="s">
        <v>181</v>
      </c>
      <c r="F2565" s="9">
        <v>90</v>
      </c>
      <c r="G2565" s="9">
        <v>966</v>
      </c>
      <c r="H2565" s="5" t="s">
        <v>20</v>
      </c>
      <c r="I2565" s="5" t="s">
        <v>6172</v>
      </c>
      <c r="J2565" s="12" t="str">
        <f>HYPERLINK("https://www.boe.es/gazeta/dias/1805/11/08/pdfs/GMD-1805-90.pdf#page=10","Abrir facsímil")</f>
        <v>Abrir facsímil</v>
      </c>
      <c r="K2565" s="15" t="s">
        <v>22</v>
      </c>
    </row>
    <row r="2566" spans="1:11" ht="42" customHeight="1">
      <c r="A2566" s="4" t="s">
        <v>6163</v>
      </c>
      <c r="B2566" s="5" t="s">
        <v>6163</v>
      </c>
      <c r="C2566" s="5" t="s">
        <v>35</v>
      </c>
      <c r="D2566" s="5" t="s">
        <v>36</v>
      </c>
      <c r="E2566" s="5" t="s">
        <v>552</v>
      </c>
      <c r="F2566" s="9">
        <v>94</v>
      </c>
      <c r="G2566" s="9">
        <v>1010</v>
      </c>
      <c r="H2566" s="5" t="s">
        <v>20</v>
      </c>
      <c r="I2566" s="5" t="s">
        <v>6173</v>
      </c>
      <c r="J2566" s="12" t="str">
        <f>HYPERLINK("https://www.boe.es/gazeta/dias/1805/11/22/pdfs/GMD-1805-94.pdf#page=10","Abrir facsímil")</f>
        <v>Abrir facsímil</v>
      </c>
      <c r="K2566" s="15" t="s">
        <v>22</v>
      </c>
    </row>
    <row r="2567" spans="1:11" ht="42" customHeight="1">
      <c r="A2567" s="4" t="s">
        <v>6163</v>
      </c>
      <c r="B2567" s="5" t="s">
        <v>6163</v>
      </c>
      <c r="C2567" s="5" t="s">
        <v>35</v>
      </c>
      <c r="D2567" s="5" t="s">
        <v>36</v>
      </c>
      <c r="E2567" s="5" t="s">
        <v>552</v>
      </c>
      <c r="F2567" s="9">
        <v>94</v>
      </c>
      <c r="G2567" s="9">
        <v>1011</v>
      </c>
      <c r="H2567" s="5" t="s">
        <v>20</v>
      </c>
      <c r="I2567" s="5" t="s">
        <v>6174</v>
      </c>
      <c r="J2567" s="12" t="str">
        <f>HYPERLINK("https://www.boe.es/gazeta/dias/1805/11/22/pdfs/GMD-1805-94.pdf#page=11","Abrir facsímil")</f>
        <v>Abrir facsímil</v>
      </c>
      <c r="K2567" s="15" t="s">
        <v>22</v>
      </c>
    </row>
    <row r="2568" spans="1:11" ht="42" customHeight="1">
      <c r="A2568" s="4" t="s">
        <v>6163</v>
      </c>
      <c r="B2568" s="5" t="s">
        <v>6163</v>
      </c>
      <c r="C2568" s="5" t="s">
        <v>35</v>
      </c>
      <c r="D2568" s="5" t="s">
        <v>36</v>
      </c>
      <c r="E2568" s="5" t="s">
        <v>512</v>
      </c>
      <c r="F2568" s="9">
        <v>100</v>
      </c>
      <c r="G2568" s="9">
        <v>1082</v>
      </c>
      <c r="H2568" s="5" t="s">
        <v>20</v>
      </c>
      <c r="I2568" s="5" t="s">
        <v>6175</v>
      </c>
      <c r="J2568" s="12" t="str">
        <f>HYPERLINK("https://www.boe.es/gazeta/dias/1805/12/13/pdfs/GMD-1805-100.pdf#page=10","Abrir facsímil")</f>
        <v>Abrir facsímil</v>
      </c>
      <c r="K2568" s="15" t="s">
        <v>22</v>
      </c>
    </row>
    <row r="2569" spans="1:11" ht="42" customHeight="1">
      <c r="A2569" s="4" t="s">
        <v>6163</v>
      </c>
      <c r="B2569" s="5" t="s">
        <v>6163</v>
      </c>
      <c r="C2569" s="5" t="s">
        <v>35</v>
      </c>
      <c r="D2569" s="5" t="s">
        <v>36</v>
      </c>
      <c r="E2569" s="5" t="s">
        <v>63</v>
      </c>
      <c r="F2569" s="9">
        <v>101</v>
      </c>
      <c r="G2569" s="9">
        <v>1093</v>
      </c>
      <c r="H2569" s="5" t="s">
        <v>20</v>
      </c>
      <c r="I2569" s="5" t="s">
        <v>6176</v>
      </c>
      <c r="J2569" s="12" t="str">
        <f>HYPERLINK("https://www.boe.es/gazeta/dias/1805/12/17/pdfs/GMD-1805-101.pdf#page=9","Abrir facsímil")</f>
        <v>Abrir facsímil</v>
      </c>
      <c r="K2569" s="15" t="s">
        <v>22</v>
      </c>
    </row>
    <row r="2570" spans="1:11" ht="42" customHeight="1">
      <c r="A2570" s="4" t="s">
        <v>6177</v>
      </c>
      <c r="B2570" s="5" t="s">
        <v>6177</v>
      </c>
      <c r="C2570" s="5" t="s">
        <v>29</v>
      </c>
      <c r="D2570" s="5" t="s">
        <v>30</v>
      </c>
      <c r="E2570" s="5" t="s">
        <v>48</v>
      </c>
      <c r="F2570" s="9">
        <v>35</v>
      </c>
      <c r="G2570" s="9">
        <v>380</v>
      </c>
      <c r="H2570" s="5" t="s">
        <v>20</v>
      </c>
      <c r="I2570" s="5" t="s">
        <v>6178</v>
      </c>
      <c r="J2570" s="12" t="str">
        <f>HYPERLINK("https://www.boe.es/gazeta/dias/1805/04/30/pdfs/GMD-1805-35.pdf#page=12","Abrir facsímil")</f>
        <v>Abrir facsímil</v>
      </c>
      <c r="K2570" s="15" t="s">
        <v>22</v>
      </c>
    </row>
    <row r="2571" spans="1:11" ht="42" customHeight="1">
      <c r="A2571" s="4" t="s">
        <v>6179</v>
      </c>
      <c r="B2571" s="5" t="s">
        <v>6180</v>
      </c>
      <c r="C2571" s="5" t="s">
        <v>35</v>
      </c>
      <c r="D2571" s="5" t="s">
        <v>36</v>
      </c>
      <c r="E2571" s="5" t="s">
        <v>163</v>
      </c>
      <c r="F2571" s="9">
        <v>77</v>
      </c>
      <c r="G2571" s="9">
        <v>817</v>
      </c>
      <c r="H2571" s="5" t="s">
        <v>20</v>
      </c>
      <c r="I2571" s="5" t="s">
        <v>6181</v>
      </c>
      <c r="J2571" s="12" t="str">
        <f>HYPERLINK("https://www.boe.es/gazeta/dias/1805/09/24/pdfs/GMD-1805-77.pdf#page=9","Abrir facsímil")</f>
        <v>Abrir facsímil</v>
      </c>
      <c r="K2571" s="15" t="s">
        <v>22</v>
      </c>
    </row>
    <row r="2572" spans="1:11" ht="42" customHeight="1">
      <c r="A2572" s="4" t="s">
        <v>6182</v>
      </c>
      <c r="B2572" s="5" t="s">
        <v>6183</v>
      </c>
      <c r="C2572" s="5" t="s">
        <v>52</v>
      </c>
      <c r="D2572" s="5" t="s">
        <v>53</v>
      </c>
      <c r="E2572" s="5" t="s">
        <v>144</v>
      </c>
      <c r="F2572" s="9">
        <v>85</v>
      </c>
      <c r="G2572" s="9" t="s">
        <v>1153</v>
      </c>
      <c r="H2572" s="5" t="s">
        <v>20</v>
      </c>
      <c r="I2572" s="5" t="s">
        <v>6184</v>
      </c>
      <c r="J2572" s="12" t="str">
        <f>HYPERLINK("https://www.boe.es/gazeta/dias/1805/10/22/pdfs/GMD-C-1805-85.pdf#page=8","Abrir facsímil")</f>
        <v>Abrir facsímil</v>
      </c>
      <c r="K2572" s="15" t="s">
        <v>22</v>
      </c>
    </row>
    <row r="2573" spans="1:11" ht="42" customHeight="1">
      <c r="A2573" s="4" t="s">
        <v>6185</v>
      </c>
      <c r="B2573" s="5" t="s">
        <v>6186</v>
      </c>
      <c r="C2573" s="5" t="s">
        <v>80</v>
      </c>
      <c r="D2573" s="5" t="s">
        <v>81</v>
      </c>
      <c r="E2573" s="5" t="s">
        <v>144</v>
      </c>
      <c r="F2573" s="9">
        <v>85</v>
      </c>
      <c r="G2573" s="9">
        <v>894</v>
      </c>
      <c r="H2573" s="5" t="s">
        <v>20</v>
      </c>
      <c r="I2573" s="5" t="s">
        <v>6187</v>
      </c>
      <c r="J2573" s="12" t="str">
        <f>HYPERLINK("https://www.boe.es/gazeta/dias/1805/10/22/pdfs/GMD-1805-85.pdf#page=2","Abrir facsímil")</f>
        <v>Abrir facsímil</v>
      </c>
      <c r="K2573" s="15" t="s">
        <v>22</v>
      </c>
    </row>
    <row r="2574" spans="1:11" ht="42" customHeight="1">
      <c r="A2574" s="4" t="s">
        <v>6188</v>
      </c>
      <c r="B2574" s="5" t="s">
        <v>6188</v>
      </c>
      <c r="C2574" s="5" t="s">
        <v>17</v>
      </c>
      <c r="D2574" s="5" t="s">
        <v>18</v>
      </c>
      <c r="E2574" s="5" t="s">
        <v>1432</v>
      </c>
      <c r="F2574" s="9">
        <v>53</v>
      </c>
      <c r="G2574" s="9">
        <v>567</v>
      </c>
      <c r="H2574" s="5" t="s">
        <v>20</v>
      </c>
      <c r="I2574" s="5" t="s">
        <v>6189</v>
      </c>
      <c r="J2574" s="12" t="str">
        <f>HYPERLINK("https://www.boe.es/gazeta/dias/1805/07/02/pdfs/GMD-1805-53.pdf#page=3","Abrir facsímil")</f>
        <v>Abrir facsímil</v>
      </c>
      <c r="K2574" s="15" t="s">
        <v>22</v>
      </c>
    </row>
    <row r="2575" spans="1:11" ht="42" customHeight="1">
      <c r="A2575" s="4" t="s">
        <v>6190</v>
      </c>
      <c r="B2575" s="5" t="s">
        <v>6191</v>
      </c>
      <c r="C2575" s="5" t="s">
        <v>52</v>
      </c>
      <c r="D2575" s="5" t="s">
        <v>53</v>
      </c>
      <c r="E2575" s="5" t="s">
        <v>82</v>
      </c>
      <c r="F2575" s="9">
        <v>25</v>
      </c>
      <c r="G2575" s="9" t="s">
        <v>145</v>
      </c>
      <c r="H2575" s="5" t="s">
        <v>20</v>
      </c>
      <c r="I2575" s="5" t="s">
        <v>6192</v>
      </c>
      <c r="J2575" s="12" t="str">
        <f>HYPERLINK("https://www.boe.es/gazeta/dias/1805/03/26/pdfs/GMD-C-1805-25.pdf#page=2","Abrir facsímil")</f>
        <v>Abrir facsímil</v>
      </c>
      <c r="K2575" s="15" t="s">
        <v>22</v>
      </c>
    </row>
    <row r="2576" spans="1:11" ht="42" customHeight="1">
      <c r="A2576" s="4" t="s">
        <v>6193</v>
      </c>
      <c r="B2576" s="5" t="s">
        <v>6193</v>
      </c>
      <c r="C2576" s="5" t="s">
        <v>17</v>
      </c>
      <c r="D2576" s="5" t="s">
        <v>18</v>
      </c>
      <c r="E2576" s="5" t="s">
        <v>44</v>
      </c>
      <c r="F2576" s="9">
        <v>29</v>
      </c>
      <c r="G2576" s="9">
        <v>313</v>
      </c>
      <c r="H2576" s="5" t="s">
        <v>20</v>
      </c>
      <c r="I2576" s="5" t="s">
        <v>6194</v>
      </c>
      <c r="J2576" s="12" t="str">
        <f>HYPERLINK("https://www.boe.es/gazeta/dias/1805/04/09/pdfs/GMD-1805-29.pdf#page=9","Abrir facsímil")</f>
        <v>Abrir facsímil</v>
      </c>
      <c r="K2576" s="15" t="s">
        <v>22</v>
      </c>
    </row>
    <row r="2577" spans="1:11" ht="42" customHeight="1">
      <c r="A2577" s="4" t="s">
        <v>6193</v>
      </c>
      <c r="B2577" s="5" t="s">
        <v>6193</v>
      </c>
      <c r="C2577" s="5" t="s">
        <v>85</v>
      </c>
      <c r="D2577" s="5" t="s">
        <v>86</v>
      </c>
      <c r="E2577" s="5" t="s">
        <v>506</v>
      </c>
      <c r="F2577" s="9">
        <v>80</v>
      </c>
      <c r="G2577" s="9">
        <v>851</v>
      </c>
      <c r="H2577" s="5" t="s">
        <v>20</v>
      </c>
      <c r="I2577" s="5" t="s">
        <v>6195</v>
      </c>
      <c r="J2577" s="12" t="str">
        <f>HYPERLINK("https://www.boe.es/gazeta/dias/1805/10/04/pdfs/GMD-1805-80.pdf#page=11","Abrir facsímil")</f>
        <v>Abrir facsímil</v>
      </c>
      <c r="K2577" s="15" t="s">
        <v>22</v>
      </c>
    </row>
    <row r="2578" spans="1:11" ht="42" customHeight="1">
      <c r="A2578" s="4" t="s">
        <v>6196</v>
      </c>
      <c r="B2578" s="5" t="s">
        <v>6196</v>
      </c>
      <c r="C2578" s="5" t="s">
        <v>35</v>
      </c>
      <c r="D2578" s="5" t="s">
        <v>36</v>
      </c>
      <c r="E2578" s="5" t="s">
        <v>24</v>
      </c>
      <c r="F2578" s="9">
        <v>11</v>
      </c>
      <c r="G2578" s="9">
        <v>120</v>
      </c>
      <c r="H2578" s="5" t="s">
        <v>20</v>
      </c>
      <c r="I2578" s="5" t="s">
        <v>6197</v>
      </c>
      <c r="J2578" s="12" t="str">
        <f>HYPERLINK("https://www.boe.es/gazeta/dias/1805/02/05/pdfs/GMD-1805-11.pdf#page=8","Abrir facsímil")</f>
        <v>Abrir facsímil</v>
      </c>
      <c r="K2578" s="15" t="s">
        <v>22</v>
      </c>
    </row>
    <row r="2579" spans="1:11" ht="42" customHeight="1">
      <c r="A2579" s="4" t="s">
        <v>6198</v>
      </c>
      <c r="B2579" s="5" t="s">
        <v>6199</v>
      </c>
      <c r="C2579" s="5" t="s">
        <v>35</v>
      </c>
      <c r="D2579" s="5" t="s">
        <v>36</v>
      </c>
      <c r="E2579" s="5" t="s">
        <v>200</v>
      </c>
      <c r="F2579" s="9">
        <v>91</v>
      </c>
      <c r="G2579" s="9">
        <v>979</v>
      </c>
      <c r="H2579" s="5" t="s">
        <v>20</v>
      </c>
      <c r="I2579" s="5" t="s">
        <v>6200</v>
      </c>
      <c r="J2579" s="12" t="str">
        <f>HYPERLINK("https://www.boe.es/gazeta/dias/1805/11/12/pdfs/GMD-1805-91.pdf#page=11","Abrir facsímil")</f>
        <v>Abrir facsímil</v>
      </c>
      <c r="K2579" s="15" t="s">
        <v>22</v>
      </c>
    </row>
    <row r="2580" spans="1:11" ht="42" customHeight="1">
      <c r="A2580" s="4" t="s">
        <v>6201</v>
      </c>
      <c r="B2580" s="5" t="s">
        <v>6202</v>
      </c>
      <c r="C2580" s="5" t="s">
        <v>17</v>
      </c>
      <c r="D2580" s="5" t="s">
        <v>18</v>
      </c>
      <c r="E2580" s="5" t="s">
        <v>356</v>
      </c>
      <c r="F2580" s="9">
        <v>12</v>
      </c>
      <c r="G2580" s="9">
        <v>131</v>
      </c>
      <c r="H2580" s="5" t="s">
        <v>20</v>
      </c>
      <c r="I2580" s="5" t="s">
        <v>6203</v>
      </c>
      <c r="J2580" s="12" t="str">
        <f>HYPERLINK("https://www.boe.es/gazeta/dias/1805/02/08/pdfs/GMD-1805-12.pdf#page=7","Abrir facsímil")</f>
        <v>Abrir facsímil</v>
      </c>
      <c r="K2580" s="15" t="s">
        <v>22</v>
      </c>
    </row>
    <row r="2581" spans="1:11" ht="42" customHeight="1">
      <c r="A2581" s="4" t="s">
        <v>6204</v>
      </c>
      <c r="B2581" s="5" t="s">
        <v>6205</v>
      </c>
      <c r="C2581" s="5" t="s">
        <v>17</v>
      </c>
      <c r="D2581" s="5" t="s">
        <v>18</v>
      </c>
      <c r="E2581" s="5" t="s">
        <v>120</v>
      </c>
      <c r="F2581" s="9">
        <v>24</v>
      </c>
      <c r="G2581" s="9">
        <v>258</v>
      </c>
      <c r="H2581" s="5" t="s">
        <v>20</v>
      </c>
      <c r="I2581" s="5" t="s">
        <v>6206</v>
      </c>
      <c r="J2581" s="12" t="str">
        <f>HYPERLINK("https://www.boe.es/gazeta/dias/1805/03/22/pdfs/GMD-1805-24.pdf#page=10","Abrir facsímil")</f>
        <v>Abrir facsímil</v>
      </c>
      <c r="K2581" s="15" t="s">
        <v>22</v>
      </c>
    </row>
    <row r="2582" spans="1:11" ht="42" customHeight="1">
      <c r="A2582" s="4" t="s">
        <v>6204</v>
      </c>
      <c r="B2582" s="5" t="s">
        <v>6205</v>
      </c>
      <c r="C2582" s="5" t="s">
        <v>17</v>
      </c>
      <c r="D2582" s="5" t="s">
        <v>18</v>
      </c>
      <c r="E2582" s="5" t="s">
        <v>958</v>
      </c>
      <c r="F2582" s="9">
        <v>58</v>
      </c>
      <c r="G2582" s="9">
        <v>621</v>
      </c>
      <c r="H2582" s="5" t="s">
        <v>20</v>
      </c>
      <c r="I2582" s="5" t="s">
        <v>6207</v>
      </c>
      <c r="J2582" s="12" t="str">
        <f>HYPERLINK("https://www.boe.es/gazeta/dias/1805/07/19/pdfs/GMD-1805-58.pdf#page=5","Abrir facsímil")</f>
        <v>Abrir facsímil</v>
      </c>
      <c r="K2582" s="15" t="s">
        <v>22</v>
      </c>
    </row>
    <row r="2583" spans="1:11" ht="42" customHeight="1">
      <c r="A2583" s="4" t="s">
        <v>6204</v>
      </c>
      <c r="B2583" s="5" t="s">
        <v>6205</v>
      </c>
      <c r="C2583" s="5" t="s">
        <v>17</v>
      </c>
      <c r="D2583" s="5" t="s">
        <v>18</v>
      </c>
      <c r="E2583" s="5" t="s">
        <v>886</v>
      </c>
      <c r="F2583" s="9">
        <v>93</v>
      </c>
      <c r="G2583" s="9">
        <v>1000</v>
      </c>
      <c r="H2583" s="5" t="s">
        <v>20</v>
      </c>
      <c r="I2583" s="5" t="s">
        <v>6208</v>
      </c>
      <c r="J2583" s="12" t="str">
        <f>HYPERLINK("https://www.boe.es/gazeta/dias/1805/11/19/pdfs/GMD-1805-93.pdf#page=12","Abrir facsímil")</f>
        <v>Abrir facsímil</v>
      </c>
      <c r="K2583" s="15" t="s">
        <v>22</v>
      </c>
    </row>
    <row r="2584" spans="1:11" ht="42" customHeight="1">
      <c r="A2584" s="4" t="s">
        <v>6209</v>
      </c>
      <c r="B2584" s="5" t="s">
        <v>6210</v>
      </c>
      <c r="C2584" s="5" t="s">
        <v>184</v>
      </c>
      <c r="D2584" s="5" t="s">
        <v>86</v>
      </c>
      <c r="E2584" s="5" t="s">
        <v>363</v>
      </c>
      <c r="F2584" s="9">
        <v>1</v>
      </c>
      <c r="G2584" s="9">
        <v>11</v>
      </c>
      <c r="H2584" s="5" t="s">
        <v>20</v>
      </c>
      <c r="I2584" s="5" t="s">
        <v>6211</v>
      </c>
      <c r="J2584" s="12" t="str">
        <f>HYPERLINK("https://www.boe.es/gazeta/dias/1805/01/01/pdfs/GMD-1805-1.pdf#page=11","Abrir facsímil")</f>
        <v>Abrir facsímil</v>
      </c>
      <c r="K2584" s="15" t="s">
        <v>22</v>
      </c>
    </row>
    <row r="2585" spans="1:11" ht="42" customHeight="1">
      <c r="A2585" s="4" t="s">
        <v>6209</v>
      </c>
      <c r="B2585" s="5" t="s">
        <v>6210</v>
      </c>
      <c r="C2585" s="5" t="s">
        <v>17</v>
      </c>
      <c r="D2585" s="5" t="s">
        <v>18</v>
      </c>
      <c r="E2585" s="5" t="s">
        <v>365</v>
      </c>
      <c r="F2585" s="9">
        <v>3</v>
      </c>
      <c r="G2585" s="9">
        <v>31</v>
      </c>
      <c r="H2585" s="5" t="s">
        <v>20</v>
      </c>
      <c r="I2585" s="5" t="s">
        <v>6212</v>
      </c>
      <c r="J2585" s="12" t="str">
        <f>HYPERLINK("https://www.boe.es/gazeta/dias/1805/01/08/pdfs/GMD-1805-3.pdf#page=7","Abrir facsímil")</f>
        <v>Abrir facsímil</v>
      </c>
      <c r="K2585" s="15" t="s">
        <v>22</v>
      </c>
    </row>
    <row r="2586" spans="1:11" ht="42" customHeight="1">
      <c r="A2586" s="4" t="s">
        <v>6209</v>
      </c>
      <c r="B2586" s="5" t="s">
        <v>6210</v>
      </c>
      <c r="C2586" s="5" t="s">
        <v>184</v>
      </c>
      <c r="D2586" s="5" t="s">
        <v>86</v>
      </c>
      <c r="E2586" s="5" t="s">
        <v>293</v>
      </c>
      <c r="F2586" s="9">
        <v>5</v>
      </c>
      <c r="G2586" s="9">
        <v>54</v>
      </c>
      <c r="H2586" s="5" t="s">
        <v>20</v>
      </c>
      <c r="I2586" s="5" t="s">
        <v>6213</v>
      </c>
      <c r="J2586" s="12" t="str">
        <f>HYPERLINK("https://www.boe.es/gazeta/dias/1805/01/15/pdfs/GMD-1805-5.pdf#page=10","Abrir facsímil")</f>
        <v>Abrir facsímil</v>
      </c>
      <c r="K2586" s="15" t="s">
        <v>22</v>
      </c>
    </row>
    <row r="2587" spans="1:11" ht="42" customHeight="1">
      <c r="A2587" s="4" t="s">
        <v>6209</v>
      </c>
      <c r="B2587" s="5" t="s">
        <v>6210</v>
      </c>
      <c r="C2587" s="5" t="s">
        <v>184</v>
      </c>
      <c r="D2587" s="5" t="s">
        <v>86</v>
      </c>
      <c r="E2587" s="5" t="s">
        <v>1445</v>
      </c>
      <c r="F2587" s="9">
        <v>6</v>
      </c>
      <c r="G2587" s="9">
        <v>67</v>
      </c>
      <c r="H2587" s="5" t="s">
        <v>20</v>
      </c>
      <c r="I2587" s="5" t="s">
        <v>6214</v>
      </c>
      <c r="J2587" s="12" t="str">
        <f>HYPERLINK("https://www.boe.es/gazeta/dias/1805/01/18/pdfs/GMD-1805-6.pdf#page=11","Abrir facsímil")</f>
        <v>Abrir facsímil</v>
      </c>
      <c r="K2587" s="15" t="s">
        <v>22</v>
      </c>
    </row>
    <row r="2588" spans="1:11" ht="42" customHeight="1">
      <c r="A2588" s="4" t="s">
        <v>6209</v>
      </c>
      <c r="B2588" s="5" t="s">
        <v>6210</v>
      </c>
      <c r="C2588" s="5" t="s">
        <v>184</v>
      </c>
      <c r="D2588" s="5" t="s">
        <v>86</v>
      </c>
      <c r="E2588" s="5" t="s">
        <v>649</v>
      </c>
      <c r="F2588" s="9">
        <v>7</v>
      </c>
      <c r="G2588" s="9">
        <v>78</v>
      </c>
      <c r="H2588" s="5" t="s">
        <v>20</v>
      </c>
      <c r="I2588" s="5" t="s">
        <v>6215</v>
      </c>
      <c r="J2588" s="12" t="str">
        <f>HYPERLINK("https://www.boe.es/gazeta/dias/1805/01/22/pdfs/GMD-1805-7.pdf#page=10","Abrir facsímil")</f>
        <v>Abrir facsímil</v>
      </c>
      <c r="K2588" s="15" t="s">
        <v>22</v>
      </c>
    </row>
    <row r="2589" spans="1:11" ht="42" customHeight="1">
      <c r="A2589" s="4" t="s">
        <v>6209</v>
      </c>
      <c r="B2589" s="5" t="s">
        <v>6210</v>
      </c>
      <c r="C2589" s="5" t="s">
        <v>184</v>
      </c>
      <c r="D2589" s="5" t="s">
        <v>86</v>
      </c>
      <c r="E2589" s="5" t="s">
        <v>170</v>
      </c>
      <c r="F2589" s="9">
        <v>9</v>
      </c>
      <c r="G2589" s="9">
        <v>100</v>
      </c>
      <c r="H2589" s="5" t="s">
        <v>20</v>
      </c>
      <c r="I2589" s="5" t="s">
        <v>6216</v>
      </c>
      <c r="J2589" s="12" t="str">
        <f>HYPERLINK("https://www.boe.es/gazeta/dias/1805/01/29/pdfs/GMD-1805-9.pdf#page=8","Abrir facsímil")</f>
        <v>Abrir facsímil</v>
      </c>
      <c r="K2589" s="15" t="s">
        <v>22</v>
      </c>
    </row>
    <row r="2590" spans="1:11" ht="42" customHeight="1">
      <c r="A2590" s="4" t="s">
        <v>6209</v>
      </c>
      <c r="B2590" s="5" t="s">
        <v>6210</v>
      </c>
      <c r="C2590" s="5" t="s">
        <v>184</v>
      </c>
      <c r="D2590" s="5" t="s">
        <v>86</v>
      </c>
      <c r="E2590" s="5" t="s">
        <v>170</v>
      </c>
      <c r="F2590" s="9">
        <v>9</v>
      </c>
      <c r="G2590" s="9">
        <v>101</v>
      </c>
      <c r="H2590" s="5" t="s">
        <v>20</v>
      </c>
      <c r="I2590" s="5" t="s">
        <v>6217</v>
      </c>
      <c r="J2590" s="12" t="str">
        <f>HYPERLINK("https://www.boe.es/gazeta/dias/1805/01/29/pdfs/GMD-1805-9.pdf#page=9","Abrir facsímil")</f>
        <v>Abrir facsímil</v>
      </c>
      <c r="K2590" s="15" t="s">
        <v>22</v>
      </c>
    </row>
    <row r="2591" spans="1:11" ht="42" customHeight="1">
      <c r="A2591" s="4" t="s">
        <v>6209</v>
      </c>
      <c r="B2591" s="5" t="s">
        <v>6210</v>
      </c>
      <c r="C2591" s="5" t="s">
        <v>184</v>
      </c>
      <c r="D2591" s="5" t="s">
        <v>86</v>
      </c>
      <c r="E2591" s="5" t="s">
        <v>327</v>
      </c>
      <c r="F2591" s="9">
        <v>10</v>
      </c>
      <c r="G2591" s="9">
        <v>110</v>
      </c>
      <c r="H2591" s="5" t="s">
        <v>20</v>
      </c>
      <c r="I2591" s="5" t="s">
        <v>6218</v>
      </c>
      <c r="J2591" s="12" t="str">
        <f>HYPERLINK("https://www.boe.es/gazeta/dias/1805/02/01/pdfs/GMD-1805-10.pdf#page=6","Abrir facsímil")</f>
        <v>Abrir facsímil</v>
      </c>
      <c r="K2591" s="15" t="s">
        <v>22</v>
      </c>
    </row>
    <row r="2592" spans="1:11" ht="42" customHeight="1">
      <c r="A2592" s="4" t="s">
        <v>6209</v>
      </c>
      <c r="B2592" s="5" t="s">
        <v>6210</v>
      </c>
      <c r="C2592" s="5" t="s">
        <v>184</v>
      </c>
      <c r="D2592" s="5" t="s">
        <v>86</v>
      </c>
      <c r="E2592" s="5" t="s">
        <v>117</v>
      </c>
      <c r="F2592" s="9">
        <v>20</v>
      </c>
      <c r="G2592" s="9">
        <v>211</v>
      </c>
      <c r="H2592" s="5" t="s">
        <v>20</v>
      </c>
      <c r="I2592" s="5" t="s">
        <v>6219</v>
      </c>
      <c r="J2592" s="12" t="str">
        <f>HYPERLINK("https://www.boe.es/gazeta/dias/1805/03/08/pdfs/GMD-1805-20.pdf#page=11","Abrir facsímil")</f>
        <v>Abrir facsímil</v>
      </c>
      <c r="K2592" s="15" t="s">
        <v>22</v>
      </c>
    </row>
    <row r="2593" spans="1:11" ht="42" customHeight="1">
      <c r="A2593" s="4" t="s">
        <v>6209</v>
      </c>
      <c r="B2593" s="5" t="s">
        <v>6210</v>
      </c>
      <c r="C2593" s="5" t="s">
        <v>29</v>
      </c>
      <c r="D2593" s="5" t="s">
        <v>30</v>
      </c>
      <c r="E2593" s="5" t="s">
        <v>82</v>
      </c>
      <c r="F2593" s="9">
        <v>25</v>
      </c>
      <c r="G2593" s="9">
        <v>268</v>
      </c>
      <c r="H2593" s="5" t="s">
        <v>20</v>
      </c>
      <c r="I2593" s="5" t="s">
        <v>6220</v>
      </c>
      <c r="J2593" s="12" t="str">
        <f>HYPERLINK("https://www.boe.es/gazeta/dias/1805/03/26/pdfs/GMD-1805-25.pdf#page=8","Abrir facsímil")</f>
        <v>Abrir facsímil</v>
      </c>
      <c r="K2593" s="15" t="s">
        <v>22</v>
      </c>
    </row>
    <row r="2594" spans="1:11" ht="42" customHeight="1">
      <c r="A2594" s="4" t="s">
        <v>6209</v>
      </c>
      <c r="B2594" s="5" t="s">
        <v>6210</v>
      </c>
      <c r="C2594" s="5" t="s">
        <v>184</v>
      </c>
      <c r="D2594" s="5" t="s">
        <v>86</v>
      </c>
      <c r="E2594" s="5" t="s">
        <v>440</v>
      </c>
      <c r="F2594" s="9">
        <v>27</v>
      </c>
      <c r="G2594" s="9">
        <v>289</v>
      </c>
      <c r="H2594" s="5" t="s">
        <v>20</v>
      </c>
      <c r="I2594" s="5" t="s">
        <v>6221</v>
      </c>
      <c r="J2594" s="12" t="str">
        <f>HYPERLINK("https://www.boe.es/gazeta/dias/1805/04/02/pdfs/GMD-1805-27.pdf#page=9","Abrir facsímil")</f>
        <v>Abrir facsímil</v>
      </c>
      <c r="K2594" s="15" t="s">
        <v>22</v>
      </c>
    </row>
    <row r="2595" spans="1:11" ht="42" customHeight="1">
      <c r="A2595" s="4" t="s">
        <v>6209</v>
      </c>
      <c r="B2595" s="5" t="s">
        <v>6210</v>
      </c>
      <c r="C2595" s="5" t="s">
        <v>184</v>
      </c>
      <c r="D2595" s="5" t="s">
        <v>86</v>
      </c>
      <c r="E2595" s="5" t="s">
        <v>1221</v>
      </c>
      <c r="F2595" s="9">
        <v>41</v>
      </c>
      <c r="G2595" s="9">
        <v>443</v>
      </c>
      <c r="H2595" s="5" t="s">
        <v>20</v>
      </c>
      <c r="I2595" s="5" t="s">
        <v>6222</v>
      </c>
      <c r="J2595" s="12" t="str">
        <f>HYPERLINK("https://www.boe.es/gazeta/dias/1805/05/21/pdfs/GMD-1805-41.pdf#page=11","Abrir facsímil")</f>
        <v>Abrir facsímil</v>
      </c>
      <c r="K2595" s="15" t="s">
        <v>22</v>
      </c>
    </row>
    <row r="2596" spans="1:11" ht="42" customHeight="1">
      <c r="A2596" s="4" t="s">
        <v>6209</v>
      </c>
      <c r="B2596" s="5" t="s">
        <v>6210</v>
      </c>
      <c r="C2596" s="5" t="s">
        <v>184</v>
      </c>
      <c r="D2596" s="5" t="s">
        <v>86</v>
      </c>
      <c r="E2596" s="5" t="s">
        <v>1022</v>
      </c>
      <c r="F2596" s="9">
        <v>52</v>
      </c>
      <c r="G2596" s="9">
        <v>563</v>
      </c>
      <c r="H2596" s="5" t="s">
        <v>20</v>
      </c>
      <c r="I2596" s="5" t="s">
        <v>6223</v>
      </c>
      <c r="J2596" s="12" t="str">
        <f>HYPERLINK("https://www.boe.es/gazeta/dias/1805/06/28/pdfs/GMD-1805-52.pdf#page=11","Abrir facsímil")</f>
        <v>Abrir facsímil</v>
      </c>
      <c r="K2596" s="15" t="s">
        <v>22</v>
      </c>
    </row>
    <row r="2597" spans="1:11" ht="42" customHeight="1">
      <c r="A2597" s="4" t="s">
        <v>6209</v>
      </c>
      <c r="B2597" s="5" t="s">
        <v>6210</v>
      </c>
      <c r="C2597" s="5" t="s">
        <v>184</v>
      </c>
      <c r="D2597" s="5" t="s">
        <v>86</v>
      </c>
      <c r="E2597" s="5" t="s">
        <v>40</v>
      </c>
      <c r="F2597" s="9">
        <v>59</v>
      </c>
      <c r="G2597" s="9">
        <v>634</v>
      </c>
      <c r="H2597" s="5" t="s">
        <v>20</v>
      </c>
      <c r="I2597" s="5" t="s">
        <v>6224</v>
      </c>
      <c r="J2597" s="12" t="str">
        <f>HYPERLINK("https://www.boe.es/gazeta/dias/1805/07/23/pdfs/GMD-1805-59.pdf#page=10","Abrir facsímil")</f>
        <v>Abrir facsímil</v>
      </c>
      <c r="K2597" s="15" t="s">
        <v>22</v>
      </c>
    </row>
    <row r="2598" spans="1:11" ht="42" customHeight="1">
      <c r="A2598" s="4" t="s">
        <v>6209</v>
      </c>
      <c r="B2598" s="5" t="s">
        <v>6210</v>
      </c>
      <c r="C2598" s="5" t="s">
        <v>184</v>
      </c>
      <c r="D2598" s="5" t="s">
        <v>86</v>
      </c>
      <c r="E2598" s="5" t="s">
        <v>76</v>
      </c>
      <c r="F2598" s="9">
        <v>66</v>
      </c>
      <c r="G2598" s="9">
        <v>711</v>
      </c>
      <c r="H2598" s="5" t="s">
        <v>20</v>
      </c>
      <c r="I2598" s="5" t="s">
        <v>6225</v>
      </c>
      <c r="J2598" s="12" t="str">
        <f>HYPERLINK("https://www.boe.es/gazeta/dias/1805/08/16/pdfs/GMD-1805-66.pdf#page=11","Abrir facsímil")</f>
        <v>Abrir facsímil</v>
      </c>
      <c r="K2598" s="15" t="s">
        <v>22</v>
      </c>
    </row>
    <row r="2599" spans="1:11" ht="42" customHeight="1">
      <c r="A2599" s="4" t="s">
        <v>6209</v>
      </c>
      <c r="B2599" s="5" t="s">
        <v>6210</v>
      </c>
      <c r="C2599" s="5" t="s">
        <v>184</v>
      </c>
      <c r="D2599" s="5" t="s">
        <v>86</v>
      </c>
      <c r="E2599" s="5" t="s">
        <v>188</v>
      </c>
      <c r="F2599" s="9">
        <v>68</v>
      </c>
      <c r="G2599" s="9">
        <v>730</v>
      </c>
      <c r="H2599" s="5" t="s">
        <v>20</v>
      </c>
      <c r="I2599" s="5" t="s">
        <v>6226</v>
      </c>
      <c r="J2599" s="12" t="str">
        <f>HYPERLINK("https://www.boe.es/gazeta/dias/1805/08/23/pdfs/GMD-1805-68.pdf#page=10","Abrir facsímil")</f>
        <v>Abrir facsímil</v>
      </c>
      <c r="K2599" s="15" t="s">
        <v>22</v>
      </c>
    </row>
    <row r="2600" spans="1:11" ht="42" customHeight="1">
      <c r="A2600" s="4" t="s">
        <v>6209</v>
      </c>
      <c r="B2600" s="5" t="s">
        <v>6210</v>
      </c>
      <c r="C2600" s="5" t="s">
        <v>184</v>
      </c>
      <c r="D2600" s="5" t="s">
        <v>86</v>
      </c>
      <c r="E2600" s="5" t="s">
        <v>1132</v>
      </c>
      <c r="F2600" s="9">
        <v>72</v>
      </c>
      <c r="G2600" s="9">
        <v>767</v>
      </c>
      <c r="H2600" s="5" t="s">
        <v>20</v>
      </c>
      <c r="I2600" s="5" t="s">
        <v>6227</v>
      </c>
      <c r="J2600" s="12" t="str">
        <f>HYPERLINK("https://www.boe.es/gazeta/dias/1805/09/06/pdfs/GMD-1805-72.pdf#page=7","Abrir facsímil")</f>
        <v>Abrir facsímil</v>
      </c>
      <c r="K2600" s="15" t="s">
        <v>22</v>
      </c>
    </row>
    <row r="2601" spans="1:11" ht="42" customHeight="1">
      <c r="A2601" s="4" t="s">
        <v>6209</v>
      </c>
      <c r="B2601" s="5" t="s">
        <v>6210</v>
      </c>
      <c r="C2601" s="5" t="s">
        <v>17</v>
      </c>
      <c r="D2601" s="5" t="s">
        <v>18</v>
      </c>
      <c r="E2601" s="5" t="s">
        <v>422</v>
      </c>
      <c r="F2601" s="9">
        <v>74</v>
      </c>
      <c r="G2601" s="9">
        <v>788</v>
      </c>
      <c r="H2601" s="5" t="s">
        <v>20</v>
      </c>
      <c r="I2601" s="5" t="s">
        <v>6228</v>
      </c>
      <c r="J2601" s="12" t="str">
        <f>HYPERLINK("https://www.boe.es/gazeta/dias/1805/09/13/pdfs/GMD-1805-74.pdf#page=12","Abrir facsímil")</f>
        <v>Abrir facsímil</v>
      </c>
      <c r="K2601" s="15" t="s">
        <v>22</v>
      </c>
    </row>
    <row r="2602" spans="1:11" ht="42" customHeight="1">
      <c r="A2602" s="4" t="s">
        <v>6209</v>
      </c>
      <c r="B2602" s="5" t="s">
        <v>6210</v>
      </c>
      <c r="C2602" s="5" t="s">
        <v>184</v>
      </c>
      <c r="D2602" s="5" t="s">
        <v>86</v>
      </c>
      <c r="E2602" s="5" t="s">
        <v>144</v>
      </c>
      <c r="F2602" s="9">
        <v>85</v>
      </c>
      <c r="G2602" s="9">
        <v>903</v>
      </c>
      <c r="H2602" s="5" t="s">
        <v>20</v>
      </c>
      <c r="I2602" s="5" t="s">
        <v>6229</v>
      </c>
      <c r="J2602" s="12" t="str">
        <f>HYPERLINK("https://www.boe.es/gazeta/dias/1805/10/22/pdfs/GMD-1805-85.pdf#page=11","Abrir facsímil")</f>
        <v>Abrir facsímil</v>
      </c>
      <c r="K2602" s="15" t="s">
        <v>22</v>
      </c>
    </row>
    <row r="2603" spans="1:11" ht="42" customHeight="1">
      <c r="A2603" s="4" t="s">
        <v>6209</v>
      </c>
      <c r="B2603" s="5" t="s">
        <v>6210</v>
      </c>
      <c r="C2603" s="5" t="s">
        <v>184</v>
      </c>
      <c r="D2603" s="5" t="s">
        <v>86</v>
      </c>
      <c r="E2603" s="5" t="s">
        <v>54</v>
      </c>
      <c r="F2603" s="9">
        <v>99</v>
      </c>
      <c r="G2603" s="9">
        <v>1069</v>
      </c>
      <c r="H2603" s="5" t="s">
        <v>20</v>
      </c>
      <c r="I2603" s="5" t="s">
        <v>6230</v>
      </c>
      <c r="J2603" s="12" t="str">
        <f>HYPERLINK("https://www.boe.es/gazeta/dias/1805/12/10/pdfs/GMD-1805-99.pdf#page=9","Abrir facsímil")</f>
        <v>Abrir facsímil</v>
      </c>
      <c r="K2603" s="15" t="s">
        <v>22</v>
      </c>
    </row>
    <row r="2604" spans="1:11" ht="42" customHeight="1">
      <c r="A2604" s="4" t="s">
        <v>6209</v>
      </c>
      <c r="B2604" s="5" t="s">
        <v>6210</v>
      </c>
      <c r="C2604" s="5" t="s">
        <v>184</v>
      </c>
      <c r="D2604" s="5" t="s">
        <v>86</v>
      </c>
      <c r="E2604" s="5" t="s">
        <v>138</v>
      </c>
      <c r="F2604" s="9">
        <v>102</v>
      </c>
      <c r="G2604" s="9">
        <v>1106</v>
      </c>
      <c r="H2604" s="5" t="s">
        <v>20</v>
      </c>
      <c r="I2604" s="5" t="s">
        <v>6231</v>
      </c>
      <c r="J2604" s="12" t="str">
        <f>HYPERLINK("https://www.boe.es/gazeta/dias/1805/12/20/pdfs/GMD-1805-102.pdf#page=10","Abrir facsímil")</f>
        <v>Abrir facsímil</v>
      </c>
      <c r="K2604" s="15" t="s">
        <v>22</v>
      </c>
    </row>
    <row r="2605" spans="1:11" ht="42" customHeight="1">
      <c r="A2605" s="4" t="s">
        <v>6232</v>
      </c>
      <c r="B2605" s="5" t="s">
        <v>6232</v>
      </c>
      <c r="C2605" s="5" t="s">
        <v>17</v>
      </c>
      <c r="D2605" s="5" t="s">
        <v>18</v>
      </c>
      <c r="E2605" s="5" t="s">
        <v>1221</v>
      </c>
      <c r="F2605" s="9">
        <v>41</v>
      </c>
      <c r="G2605" s="9">
        <v>442</v>
      </c>
      <c r="H2605" s="5" t="s">
        <v>20</v>
      </c>
      <c r="I2605" s="5" t="s">
        <v>6233</v>
      </c>
      <c r="J2605" s="12" t="str">
        <f>HYPERLINK("https://www.boe.es/gazeta/dias/1805/05/21/pdfs/GMD-1805-41.pdf#page=10","Abrir facsímil")</f>
        <v>Abrir facsímil</v>
      </c>
      <c r="K2605" s="15" t="s">
        <v>22</v>
      </c>
    </row>
    <row r="2606" spans="1:11" ht="42" customHeight="1">
      <c r="A2606" s="4" t="s">
        <v>6234</v>
      </c>
      <c r="B2606" s="5" t="s">
        <v>6235</v>
      </c>
      <c r="C2606" s="5" t="s">
        <v>35</v>
      </c>
      <c r="D2606" s="5" t="s">
        <v>36</v>
      </c>
      <c r="E2606" s="5" t="s">
        <v>567</v>
      </c>
      <c r="F2606" s="9">
        <v>49</v>
      </c>
      <c r="G2606" s="9">
        <v>531</v>
      </c>
      <c r="H2606" s="5" t="s">
        <v>20</v>
      </c>
      <c r="I2606" s="5" t="s">
        <v>6236</v>
      </c>
      <c r="J2606" s="12" t="str">
        <f>HYPERLINK("https://www.boe.es/gazeta/dias/1805/06/18/pdfs/GMD-1805-49.pdf#page=7","Abrir facsímil")</f>
        <v>Abrir facsímil</v>
      </c>
      <c r="K2606" s="15" t="s">
        <v>22</v>
      </c>
    </row>
    <row r="2607" spans="1:11" ht="42" customHeight="1">
      <c r="A2607" s="4" t="s">
        <v>6237</v>
      </c>
      <c r="B2607" s="5" t="s">
        <v>6237</v>
      </c>
      <c r="C2607" s="5" t="s">
        <v>17</v>
      </c>
      <c r="D2607" s="5" t="s">
        <v>18</v>
      </c>
      <c r="E2607" s="5" t="s">
        <v>854</v>
      </c>
      <c r="F2607" s="9">
        <v>46</v>
      </c>
      <c r="G2607" s="9">
        <v>499</v>
      </c>
      <c r="H2607" s="5" t="s">
        <v>20</v>
      </c>
      <c r="I2607" s="5" t="s">
        <v>6238</v>
      </c>
      <c r="J2607" s="12" t="str">
        <f>HYPERLINK("https://www.boe.es/gazeta/dias/1805/06/07/pdfs/GMD-1805-46.pdf#page=11","Abrir facsímil")</f>
        <v>Abrir facsímil</v>
      </c>
      <c r="K2607" s="15" t="s">
        <v>22</v>
      </c>
    </row>
    <row r="2608" spans="1:11" ht="42" customHeight="1">
      <c r="A2608" s="4" t="s">
        <v>6239</v>
      </c>
      <c r="B2608" s="5" t="s">
        <v>6240</v>
      </c>
      <c r="C2608" s="5" t="s">
        <v>35</v>
      </c>
      <c r="D2608" s="5" t="s">
        <v>36</v>
      </c>
      <c r="E2608" s="5" t="s">
        <v>27</v>
      </c>
      <c r="F2608" s="9">
        <v>37</v>
      </c>
      <c r="G2608" s="9">
        <v>401</v>
      </c>
      <c r="H2608" s="5" t="s">
        <v>20</v>
      </c>
      <c r="I2608" s="5" t="s">
        <v>6241</v>
      </c>
      <c r="J2608" s="12" t="str">
        <f>HYPERLINK("https://www.boe.es/gazeta/dias/1805/05/07/pdfs/GMD-1805-37.pdf#page=9","Abrir facsímil")</f>
        <v>Abrir facsímil</v>
      </c>
      <c r="K2608" s="15" t="s">
        <v>22</v>
      </c>
    </row>
    <row r="2609" spans="1:11" ht="42" customHeight="1">
      <c r="A2609" s="4" t="s">
        <v>6239</v>
      </c>
      <c r="B2609" s="5" t="s">
        <v>6240</v>
      </c>
      <c r="C2609" s="5" t="s">
        <v>17</v>
      </c>
      <c r="D2609" s="5" t="s">
        <v>18</v>
      </c>
      <c r="E2609" s="5" t="s">
        <v>585</v>
      </c>
      <c r="F2609" s="9">
        <v>64</v>
      </c>
      <c r="G2609" s="9">
        <v>684</v>
      </c>
      <c r="H2609" s="5" t="s">
        <v>20</v>
      </c>
      <c r="I2609" s="5" t="s">
        <v>6242</v>
      </c>
      <c r="J2609" s="12" t="str">
        <f>HYPERLINK("https://www.boe.es/gazeta/dias/1805/08/09/pdfs/GMD-1805-64.pdf#page=8","Abrir facsímil")</f>
        <v>Abrir facsímil</v>
      </c>
      <c r="K2609" s="15" t="s">
        <v>22</v>
      </c>
    </row>
    <row r="2610" spans="1:11" ht="42" customHeight="1">
      <c r="A2610" s="4" t="s">
        <v>6243</v>
      </c>
      <c r="B2610" s="5" t="s">
        <v>6244</v>
      </c>
      <c r="C2610" s="5" t="s">
        <v>52</v>
      </c>
      <c r="D2610" s="5" t="s">
        <v>53</v>
      </c>
      <c r="E2610" s="5" t="s">
        <v>54</v>
      </c>
      <c r="F2610" s="9">
        <v>99</v>
      </c>
      <c r="G2610" s="9" t="s">
        <v>222</v>
      </c>
      <c r="H2610" s="5" t="s">
        <v>20</v>
      </c>
      <c r="I2610" s="5" t="s">
        <v>6245</v>
      </c>
      <c r="J2610" s="12" t="str">
        <f>HYPERLINK("https://www.boe.es/gazeta/dias/1805/12/10/pdfs/GMD-C-1805-99.pdf#page=1","Abrir facsímil")</f>
        <v>Abrir facsímil</v>
      </c>
      <c r="K2610" s="15" t="s">
        <v>22</v>
      </c>
    </row>
    <row r="2611" spans="1:11" ht="42" customHeight="1">
      <c r="A2611" s="4" t="s">
        <v>6246</v>
      </c>
      <c r="B2611" s="5" t="s">
        <v>6246</v>
      </c>
      <c r="C2611" s="5" t="s">
        <v>35</v>
      </c>
      <c r="D2611" s="5" t="s">
        <v>36</v>
      </c>
      <c r="E2611" s="5" t="s">
        <v>335</v>
      </c>
      <c r="F2611" s="9">
        <v>79</v>
      </c>
      <c r="G2611" s="9">
        <v>838</v>
      </c>
      <c r="H2611" s="5" t="s">
        <v>20</v>
      </c>
      <c r="I2611" s="5" t="s">
        <v>6247</v>
      </c>
      <c r="J2611" s="12" t="str">
        <f>HYPERLINK("https://www.boe.es/gazeta/dias/1805/10/01/pdfs/GMD-1805-79.pdf#page=10","Abrir facsímil")</f>
        <v>Abrir facsímil</v>
      </c>
      <c r="K2611" s="15" t="s">
        <v>22</v>
      </c>
    </row>
    <row r="2612" spans="1:11" ht="42" customHeight="1">
      <c r="A2612" s="4" t="s">
        <v>6248</v>
      </c>
      <c r="B2612" s="5" t="s">
        <v>6249</v>
      </c>
      <c r="C2612" s="5" t="s">
        <v>17</v>
      </c>
      <c r="D2612" s="5" t="s">
        <v>18</v>
      </c>
      <c r="E2612" s="5" t="s">
        <v>365</v>
      </c>
      <c r="F2612" s="9">
        <v>3</v>
      </c>
      <c r="G2612" s="9">
        <v>31</v>
      </c>
      <c r="H2612" s="5" t="s">
        <v>20</v>
      </c>
      <c r="I2612" s="5" t="s">
        <v>6250</v>
      </c>
      <c r="J2612" s="12" t="str">
        <f>HYPERLINK("https://www.boe.es/gazeta/dias/1805/01/08/pdfs/GMD-1805-3.pdf#page=7","Abrir facsímil")</f>
        <v>Abrir facsímil</v>
      </c>
      <c r="K2612" s="15" t="s">
        <v>22</v>
      </c>
    </row>
    <row r="2613" spans="1:11" ht="42" customHeight="1">
      <c r="A2613" s="4" t="s">
        <v>6251</v>
      </c>
      <c r="B2613" s="5" t="s">
        <v>6252</v>
      </c>
      <c r="C2613" s="5" t="s">
        <v>52</v>
      </c>
      <c r="D2613" s="5" t="s">
        <v>53</v>
      </c>
      <c r="E2613" s="5" t="s">
        <v>82</v>
      </c>
      <c r="F2613" s="9">
        <v>25</v>
      </c>
      <c r="G2613" s="9" t="s">
        <v>222</v>
      </c>
      <c r="H2613" s="5" t="s">
        <v>20</v>
      </c>
      <c r="I2613" s="5" t="s">
        <v>6253</v>
      </c>
      <c r="J2613" s="12" t="str">
        <f>HYPERLINK("https://www.boe.es/gazeta/dias/1805/03/26/pdfs/GMD-C-1805-25.pdf#page=1","Abrir facsímil")</f>
        <v>Abrir facsímil</v>
      </c>
      <c r="K2613" s="15" t="s">
        <v>22</v>
      </c>
    </row>
    <row r="2614" spans="1:11" ht="42" customHeight="1">
      <c r="A2614" s="4" t="s">
        <v>6254</v>
      </c>
      <c r="B2614" s="5" t="s">
        <v>6255</v>
      </c>
      <c r="C2614" s="5" t="s">
        <v>17</v>
      </c>
      <c r="D2614" s="5" t="s">
        <v>18</v>
      </c>
      <c r="E2614" s="5" t="s">
        <v>290</v>
      </c>
      <c r="F2614" s="9">
        <v>36</v>
      </c>
      <c r="G2614" s="9">
        <v>389</v>
      </c>
      <c r="H2614" s="5" t="s">
        <v>20</v>
      </c>
      <c r="I2614" s="5" t="s">
        <v>6256</v>
      </c>
      <c r="J2614" s="12" t="str">
        <f>HYPERLINK("https://www.boe.es/gazeta/dias/1805/05/03/pdfs/GMD-1805-36.pdf#page=9","Abrir facsímil")</f>
        <v>Abrir facsímil</v>
      </c>
      <c r="K2614" s="15" t="s">
        <v>22</v>
      </c>
    </row>
    <row r="2615" spans="1:11" ht="42" customHeight="1">
      <c r="A2615" s="4" t="s">
        <v>6257</v>
      </c>
      <c r="B2615" s="5" t="s">
        <v>6257</v>
      </c>
      <c r="C2615" s="5" t="s">
        <v>17</v>
      </c>
      <c r="D2615" s="5" t="s">
        <v>18</v>
      </c>
      <c r="E2615" s="5" t="s">
        <v>117</v>
      </c>
      <c r="F2615" s="9">
        <v>20</v>
      </c>
      <c r="G2615" s="9">
        <v>206</v>
      </c>
      <c r="H2615" s="5" t="s">
        <v>20</v>
      </c>
      <c r="I2615" s="5" t="s">
        <v>6258</v>
      </c>
      <c r="J2615" s="12" t="str">
        <f>HYPERLINK("https://www.boe.es/gazeta/dias/1805/03/08/pdfs/GMD-1805-20.pdf#page=6","Abrir facsímil")</f>
        <v>Abrir facsímil</v>
      </c>
      <c r="K2615" s="15" t="s">
        <v>22</v>
      </c>
    </row>
    <row r="2616" spans="1:11" ht="42" customHeight="1">
      <c r="A2616" s="4" t="s">
        <v>6259</v>
      </c>
      <c r="B2616" s="5" t="s">
        <v>6260</v>
      </c>
      <c r="C2616" s="5" t="s">
        <v>80</v>
      </c>
      <c r="D2616" s="5" t="s">
        <v>81</v>
      </c>
      <c r="E2616" s="5" t="s">
        <v>300</v>
      </c>
      <c r="F2616" s="9">
        <v>81</v>
      </c>
      <c r="G2616" s="9">
        <v>856</v>
      </c>
      <c r="H2616" s="5" t="s">
        <v>20</v>
      </c>
      <c r="I2616" s="5" t="s">
        <v>6261</v>
      </c>
      <c r="J2616" s="12" t="str">
        <f>HYPERLINK("https://www.boe.es/gazeta/dias/1805/10/08/pdfs/GMD-1805-81.pdf#page=4","Abrir facsímil")</f>
        <v>Abrir facsímil</v>
      </c>
      <c r="K2616" s="15" t="s">
        <v>22</v>
      </c>
    </row>
    <row r="2617" spans="1:11" ht="42" customHeight="1">
      <c r="A2617" s="4" t="s">
        <v>6259</v>
      </c>
      <c r="B2617" s="5" t="s">
        <v>6260</v>
      </c>
      <c r="C2617" s="5" t="s">
        <v>35</v>
      </c>
      <c r="D2617" s="5" t="s">
        <v>36</v>
      </c>
      <c r="E2617" s="5" t="s">
        <v>144</v>
      </c>
      <c r="F2617" s="9">
        <v>85</v>
      </c>
      <c r="G2617" s="9">
        <v>895</v>
      </c>
      <c r="H2617" s="5" t="s">
        <v>20</v>
      </c>
      <c r="I2617" s="5" t="s">
        <v>6262</v>
      </c>
      <c r="J2617" s="12" t="str">
        <f>HYPERLINK("https://www.boe.es/gazeta/dias/1805/10/22/pdfs/GMD-1805-85.pdf#page=3","Abrir facsímil")</f>
        <v>Abrir facsímil</v>
      </c>
      <c r="K2617" s="15" t="s">
        <v>22</v>
      </c>
    </row>
    <row r="2618" spans="1:11" ht="42" customHeight="1">
      <c r="A2618" s="4" t="s">
        <v>6263</v>
      </c>
      <c r="B2618" s="5" t="s">
        <v>6263</v>
      </c>
      <c r="C2618" s="5" t="s">
        <v>35</v>
      </c>
      <c r="D2618" s="5" t="s">
        <v>36</v>
      </c>
      <c r="E2618" s="5" t="s">
        <v>958</v>
      </c>
      <c r="F2618" s="9">
        <v>58</v>
      </c>
      <c r="G2618" s="9">
        <v>618</v>
      </c>
      <c r="H2618" s="5" t="s">
        <v>20</v>
      </c>
      <c r="I2618" s="5" t="s">
        <v>6264</v>
      </c>
      <c r="J2618" s="12" t="str">
        <f>HYPERLINK("https://www.boe.es/gazeta/dias/1805/07/19/pdfs/GMD-1805-58.pdf#page=2","Abrir facsímil")</f>
        <v>Abrir facsímil</v>
      </c>
      <c r="K2618" s="15" t="s">
        <v>22</v>
      </c>
    </row>
    <row r="2619" spans="1:11" ht="42" customHeight="1">
      <c r="A2619" s="4" t="s">
        <v>6265</v>
      </c>
      <c r="B2619" s="5" t="s">
        <v>6265</v>
      </c>
      <c r="C2619" s="5" t="s">
        <v>80</v>
      </c>
      <c r="D2619" s="5" t="s">
        <v>81</v>
      </c>
      <c r="E2619" s="5" t="s">
        <v>37</v>
      </c>
      <c r="F2619" s="9">
        <v>54</v>
      </c>
      <c r="G2619" s="9">
        <v>573</v>
      </c>
      <c r="H2619" s="5" t="s">
        <v>20</v>
      </c>
      <c r="I2619" s="5" t="s">
        <v>6266</v>
      </c>
      <c r="J2619" s="12" t="str">
        <f>HYPERLINK("https://www.boe.es/gazeta/dias/1805/07/05/pdfs/GMD-1805-54.pdf#page=1","Abrir facsímil")</f>
        <v>Abrir facsímil</v>
      </c>
      <c r="K2619" s="15" t="s">
        <v>22</v>
      </c>
    </row>
    <row r="2620" spans="1:11" ht="42" customHeight="1">
      <c r="A2620" s="4" t="s">
        <v>6267</v>
      </c>
      <c r="B2620" s="5" t="s">
        <v>6267</v>
      </c>
      <c r="C2620" s="5" t="s">
        <v>80</v>
      </c>
      <c r="D2620" s="5" t="s">
        <v>81</v>
      </c>
      <c r="E2620" s="5" t="s">
        <v>512</v>
      </c>
      <c r="F2620" s="9">
        <v>100</v>
      </c>
      <c r="G2620" s="9">
        <v>1073</v>
      </c>
      <c r="H2620" s="5" t="s">
        <v>20</v>
      </c>
      <c r="I2620" s="5" t="s">
        <v>6268</v>
      </c>
      <c r="J2620" s="12" t="str">
        <f>HYPERLINK("https://www.boe.es/gazeta/dias/1805/12/13/pdfs/GMD-1805-100.pdf#page=1","Abrir facsímil")</f>
        <v>Abrir facsímil</v>
      </c>
      <c r="K2620" s="15" t="s">
        <v>22</v>
      </c>
    </row>
    <row r="2621" spans="1:11" ht="42" customHeight="1">
      <c r="A2621" s="4" t="s">
        <v>6269</v>
      </c>
      <c r="B2621" s="5" t="s">
        <v>6269</v>
      </c>
      <c r="C2621" s="5" t="s">
        <v>35</v>
      </c>
      <c r="D2621" s="5" t="s">
        <v>36</v>
      </c>
      <c r="E2621" s="5" t="s">
        <v>91</v>
      </c>
      <c r="F2621" s="9">
        <v>28</v>
      </c>
      <c r="G2621" s="9">
        <v>293</v>
      </c>
      <c r="H2621" s="5" t="s">
        <v>20</v>
      </c>
      <c r="I2621" s="5" t="s">
        <v>6270</v>
      </c>
      <c r="J2621" s="12" t="str">
        <f>HYPERLINK("https://www.boe.es/gazeta/dias/1805/04/05/pdfs/GMD-1805-28.pdf#page=1","Abrir facsímil")</f>
        <v>Abrir facsímil</v>
      </c>
      <c r="K2621" s="15" t="s">
        <v>22</v>
      </c>
    </row>
    <row r="2622" spans="1:11" ht="42" customHeight="1">
      <c r="A2622" s="4" t="s">
        <v>6271</v>
      </c>
      <c r="B2622" s="5" t="s">
        <v>6271</v>
      </c>
      <c r="C2622" s="5" t="s">
        <v>17</v>
      </c>
      <c r="D2622" s="5" t="s">
        <v>18</v>
      </c>
      <c r="E2622" s="5" t="s">
        <v>512</v>
      </c>
      <c r="F2622" s="9">
        <v>100</v>
      </c>
      <c r="G2622" s="9">
        <v>1083</v>
      </c>
      <c r="H2622" s="5" t="s">
        <v>20</v>
      </c>
      <c r="I2622" s="5" t="s">
        <v>6272</v>
      </c>
      <c r="J2622" s="12" t="str">
        <f>HYPERLINK("https://www.boe.es/gazeta/dias/1805/12/13/pdfs/GMD-1805-100.pdf#page=11","Abrir facsímil")</f>
        <v>Abrir facsímil</v>
      </c>
      <c r="K2622" s="15" t="s">
        <v>22</v>
      </c>
    </row>
    <row r="2623" spans="1:11" ht="42" customHeight="1">
      <c r="A2623" s="4" t="s">
        <v>6273</v>
      </c>
      <c r="B2623" s="5" t="s">
        <v>6273</v>
      </c>
      <c r="C2623" s="5" t="s">
        <v>35</v>
      </c>
      <c r="D2623" s="5" t="s">
        <v>36</v>
      </c>
      <c r="E2623" s="5" t="s">
        <v>148</v>
      </c>
      <c r="F2623" s="9">
        <v>50</v>
      </c>
      <c r="G2623" s="9">
        <v>540</v>
      </c>
      <c r="H2623" s="5" t="s">
        <v>20</v>
      </c>
      <c r="I2623" s="5" t="s">
        <v>6274</v>
      </c>
      <c r="J2623" s="12" t="str">
        <f>HYPERLINK("https://www.boe.es/gazeta/dias/1805/06/21/pdfs/GMD-1805-50.pdf#page=8","Abrir facsímil")</f>
        <v>Abrir facsímil</v>
      </c>
      <c r="K2623" s="15" t="s">
        <v>22</v>
      </c>
    </row>
    <row r="2624" spans="1:11" ht="42" customHeight="1">
      <c r="A2624" s="4" t="s">
        <v>6275</v>
      </c>
      <c r="B2624" s="5" t="s">
        <v>6276</v>
      </c>
      <c r="C2624" s="5" t="s">
        <v>17</v>
      </c>
      <c r="D2624" s="5" t="s">
        <v>18</v>
      </c>
      <c r="E2624" s="5" t="s">
        <v>733</v>
      </c>
      <c r="F2624" s="9">
        <v>45</v>
      </c>
      <c r="G2624" s="9">
        <v>484</v>
      </c>
      <c r="H2624" s="5" t="s">
        <v>20</v>
      </c>
      <c r="I2624" s="5" t="s">
        <v>6277</v>
      </c>
      <c r="J2624" s="12" t="str">
        <f>HYPERLINK("https://www.boe.es/gazeta/dias/1805/06/04/pdfs/GMD-1805-45.pdf#page=8","Abrir facsímil")</f>
        <v>Abrir facsímil</v>
      </c>
      <c r="K2624" s="15" t="s">
        <v>22</v>
      </c>
    </row>
    <row r="2625" spans="1:11" ht="42" customHeight="1">
      <c r="A2625" s="4" t="s">
        <v>6278</v>
      </c>
      <c r="B2625" s="5" t="s">
        <v>6279</v>
      </c>
      <c r="C2625" s="5" t="s">
        <v>80</v>
      </c>
      <c r="D2625" s="5" t="s">
        <v>81</v>
      </c>
      <c r="E2625" s="5" t="s">
        <v>293</v>
      </c>
      <c r="F2625" s="9">
        <v>5</v>
      </c>
      <c r="G2625" s="9">
        <v>51</v>
      </c>
      <c r="H2625" s="5" t="s">
        <v>20</v>
      </c>
      <c r="I2625" s="5" t="s">
        <v>6280</v>
      </c>
      <c r="J2625" s="12" t="str">
        <f>HYPERLINK("https://www.boe.es/gazeta/dias/1805/01/15/pdfs/GMD-1805-5.pdf#page=7","Abrir facsímil")</f>
        <v>Abrir facsímil</v>
      </c>
      <c r="K2625" s="15" t="s">
        <v>22</v>
      </c>
    </row>
    <row r="2626" spans="1:11" ht="42" customHeight="1">
      <c r="A2626" s="4" t="s">
        <v>6281</v>
      </c>
      <c r="B2626" s="5" t="s">
        <v>6282</v>
      </c>
      <c r="C2626" s="5" t="s">
        <v>17</v>
      </c>
      <c r="D2626" s="5" t="s">
        <v>18</v>
      </c>
      <c r="E2626" s="5" t="s">
        <v>63</v>
      </c>
      <c r="F2626" s="9">
        <v>101</v>
      </c>
      <c r="G2626" s="9">
        <v>1093</v>
      </c>
      <c r="H2626" s="5" t="s">
        <v>20</v>
      </c>
      <c r="I2626" s="5" t="s">
        <v>6283</v>
      </c>
      <c r="J2626" s="12" t="str">
        <f>HYPERLINK("https://www.boe.es/gazeta/dias/1805/12/17/pdfs/GMD-1805-101.pdf#page=9","Abrir facsímil")</f>
        <v>Abrir facsímil</v>
      </c>
      <c r="K2626" s="15" t="s">
        <v>22</v>
      </c>
    </row>
    <row r="2627" spans="1:11" ht="42" customHeight="1">
      <c r="A2627" s="4" t="s">
        <v>6284</v>
      </c>
      <c r="B2627" s="5" t="s">
        <v>6285</v>
      </c>
      <c r="C2627" s="5" t="s">
        <v>35</v>
      </c>
      <c r="D2627" s="5" t="s">
        <v>36</v>
      </c>
      <c r="E2627" s="5" t="s">
        <v>789</v>
      </c>
      <c r="F2627" s="9">
        <v>104</v>
      </c>
      <c r="G2627" s="9">
        <v>1128</v>
      </c>
      <c r="H2627" s="5" t="s">
        <v>20</v>
      </c>
      <c r="I2627" s="5" t="s">
        <v>6286</v>
      </c>
      <c r="J2627" s="12" t="str">
        <f>HYPERLINK("https://www.boe.es/gazeta/dias/1805/12/27/pdfs/GMD-1805-104.pdf#page=12","Abrir facsímil")</f>
        <v>Abrir facsímil</v>
      </c>
      <c r="K2627" s="15" t="s">
        <v>22</v>
      </c>
    </row>
    <row r="2628" spans="1:11" ht="42" customHeight="1">
      <c r="A2628" s="4" t="s">
        <v>6287</v>
      </c>
      <c r="B2628" s="5" t="s">
        <v>6288</v>
      </c>
      <c r="C2628" s="5" t="s">
        <v>35</v>
      </c>
      <c r="D2628" s="5" t="s">
        <v>36</v>
      </c>
      <c r="E2628" s="5" t="s">
        <v>107</v>
      </c>
      <c r="F2628" s="9">
        <v>19</v>
      </c>
      <c r="G2628" s="9">
        <v>198</v>
      </c>
      <c r="H2628" s="5" t="s">
        <v>20</v>
      </c>
      <c r="I2628" s="5" t="s">
        <v>6289</v>
      </c>
      <c r="J2628" s="12" t="str">
        <f>HYPERLINK("https://www.boe.es/gazeta/dias/1805/03/05/pdfs/GMD-1805-19.pdf#page=10","Abrir facsímil")</f>
        <v>Abrir facsímil</v>
      </c>
      <c r="K2628" s="15" t="s">
        <v>22</v>
      </c>
    </row>
    <row r="2629" spans="1:11" ht="42" customHeight="1">
      <c r="A2629" s="4" t="s">
        <v>6290</v>
      </c>
      <c r="B2629" s="5" t="s">
        <v>6291</v>
      </c>
      <c r="C2629" s="5" t="s">
        <v>35</v>
      </c>
      <c r="D2629" s="5" t="s">
        <v>36</v>
      </c>
      <c r="E2629" s="5" t="s">
        <v>854</v>
      </c>
      <c r="F2629" s="9">
        <v>46</v>
      </c>
      <c r="G2629" s="9">
        <v>499</v>
      </c>
      <c r="H2629" s="5" t="s">
        <v>20</v>
      </c>
      <c r="I2629" s="5" t="s">
        <v>6292</v>
      </c>
      <c r="J2629" s="12" t="str">
        <f>HYPERLINK("https://www.boe.es/gazeta/dias/1805/06/07/pdfs/GMD-1805-46.pdf#page=11","Abrir facsímil")</f>
        <v>Abrir facsímil</v>
      </c>
      <c r="K2629" s="15" t="s">
        <v>22</v>
      </c>
    </row>
    <row r="2630" spans="1:11" ht="42" customHeight="1">
      <c r="A2630" s="4" t="s">
        <v>6293</v>
      </c>
      <c r="B2630" s="5" t="s">
        <v>6294</v>
      </c>
      <c r="C2630" s="5" t="s">
        <v>52</v>
      </c>
      <c r="D2630" s="5" t="s">
        <v>53</v>
      </c>
      <c r="E2630" s="5" t="s">
        <v>54</v>
      </c>
      <c r="F2630" s="9">
        <v>99</v>
      </c>
      <c r="G2630" s="9" t="s">
        <v>159</v>
      </c>
      <c r="H2630" s="5" t="s">
        <v>20</v>
      </c>
      <c r="I2630" s="5" t="s">
        <v>6295</v>
      </c>
      <c r="J2630" s="12" t="str">
        <f>HYPERLINK("https://www.boe.es/gazeta/dias/1805/12/10/pdfs/GMD-C-1805-99.pdf#page=3","Abrir facsímil")</f>
        <v>Abrir facsímil</v>
      </c>
      <c r="K2630" s="15" t="s">
        <v>22</v>
      </c>
    </row>
    <row r="2631" spans="1:11" ht="42" customHeight="1">
      <c r="A2631" s="4" t="s">
        <v>6296</v>
      </c>
      <c r="B2631" s="5" t="s">
        <v>6296</v>
      </c>
      <c r="C2631" s="5" t="s">
        <v>80</v>
      </c>
      <c r="D2631" s="5" t="s">
        <v>81</v>
      </c>
      <c r="E2631" s="5" t="s">
        <v>733</v>
      </c>
      <c r="F2631" s="9">
        <v>45</v>
      </c>
      <c r="G2631" s="9">
        <v>482</v>
      </c>
      <c r="H2631" s="5" t="s">
        <v>20</v>
      </c>
      <c r="I2631" s="5" t="s">
        <v>6297</v>
      </c>
      <c r="J2631" s="12" t="str">
        <f>HYPERLINK("https://www.boe.es/gazeta/dias/1805/06/04/pdfs/GMD-1805-45.pdf#page=6","Abrir facsímil")</f>
        <v>Abrir facsímil</v>
      </c>
      <c r="K2631" s="15" t="s">
        <v>22</v>
      </c>
    </row>
    <row r="2632" spans="1:11" ht="42" customHeight="1">
      <c r="A2632" s="4" t="s">
        <v>6298</v>
      </c>
      <c r="B2632" s="5" t="s">
        <v>6299</v>
      </c>
      <c r="C2632" s="5" t="s">
        <v>17</v>
      </c>
      <c r="D2632" s="5" t="s">
        <v>18</v>
      </c>
      <c r="E2632" s="5" t="s">
        <v>787</v>
      </c>
      <c r="F2632" s="9">
        <v>95</v>
      </c>
      <c r="G2632" s="9">
        <v>1020</v>
      </c>
      <c r="H2632" s="5" t="s">
        <v>20</v>
      </c>
      <c r="I2632" s="5" t="s">
        <v>6300</v>
      </c>
      <c r="J2632" s="12" t="str">
        <f>HYPERLINK("https://www.boe.es/gazeta/dias/1805/11/26/pdfs/GMD-1805-95.pdf#page=8","Abrir facsímil")</f>
        <v>Abrir facsímil</v>
      </c>
      <c r="K2632" s="15" t="s">
        <v>22</v>
      </c>
    </row>
    <row r="2633" spans="1:11" ht="42" customHeight="1">
      <c r="A2633" s="4" t="s">
        <v>6301</v>
      </c>
      <c r="B2633" s="5" t="s">
        <v>6301</v>
      </c>
      <c r="C2633" s="5" t="s">
        <v>17</v>
      </c>
      <c r="D2633" s="5" t="s">
        <v>18</v>
      </c>
      <c r="E2633" s="5" t="s">
        <v>59</v>
      </c>
      <c r="F2633" s="9">
        <v>21</v>
      </c>
      <c r="G2633" s="9">
        <v>218</v>
      </c>
      <c r="H2633" s="5" t="s">
        <v>20</v>
      </c>
      <c r="I2633" s="5" t="s">
        <v>6302</v>
      </c>
      <c r="J2633" s="12" t="str">
        <f>HYPERLINK("https://www.boe.es/gazeta/dias/1805/03/12/pdfs/GMD-1805-21.pdf#page=6","Abrir facsímil")</f>
        <v>Abrir facsímil</v>
      </c>
      <c r="K2633" s="15" t="s">
        <v>22</v>
      </c>
    </row>
    <row r="2634" spans="1:11" ht="42" customHeight="1">
      <c r="A2634" s="4" t="s">
        <v>6303</v>
      </c>
      <c r="B2634" s="5" t="s">
        <v>6304</v>
      </c>
      <c r="C2634" s="5" t="s">
        <v>35</v>
      </c>
      <c r="D2634" s="5" t="s">
        <v>36</v>
      </c>
      <c r="E2634" s="5" t="s">
        <v>63</v>
      </c>
      <c r="F2634" s="9">
        <v>101</v>
      </c>
      <c r="G2634" s="9">
        <v>1093</v>
      </c>
      <c r="H2634" s="5" t="s">
        <v>20</v>
      </c>
      <c r="I2634" s="5" t="s">
        <v>6305</v>
      </c>
      <c r="J2634" s="12" t="str">
        <f>HYPERLINK("https://www.boe.es/gazeta/dias/1805/12/17/pdfs/GMD-1805-101.pdf#page=9","Abrir facsímil")</f>
        <v>Abrir facsímil</v>
      </c>
      <c r="K2634" s="15" t="s">
        <v>22</v>
      </c>
    </row>
    <row r="2635" spans="1:11" ht="42" customHeight="1">
      <c r="A2635" s="4" t="s">
        <v>6306</v>
      </c>
      <c r="B2635" s="5" t="s">
        <v>6307</v>
      </c>
      <c r="C2635" s="5" t="s">
        <v>35</v>
      </c>
      <c r="D2635" s="5" t="s">
        <v>36</v>
      </c>
      <c r="E2635" s="5" t="s">
        <v>63</v>
      </c>
      <c r="F2635" s="9">
        <v>101</v>
      </c>
      <c r="G2635" s="9">
        <v>1092</v>
      </c>
      <c r="H2635" s="5" t="s">
        <v>20</v>
      </c>
      <c r="I2635" s="5" t="s">
        <v>6308</v>
      </c>
      <c r="J2635" s="12" t="str">
        <f>HYPERLINK("https://www.boe.es/gazeta/dias/1805/12/17/pdfs/GMD-1805-101.pdf#page=8","Abrir facsímil")</f>
        <v>Abrir facsímil</v>
      </c>
      <c r="K2635" s="15" t="s">
        <v>22</v>
      </c>
    </row>
    <row r="2636" spans="1:11" ht="42" customHeight="1">
      <c r="A2636" s="4" t="s">
        <v>6309</v>
      </c>
      <c r="B2636" s="5" t="s">
        <v>6310</v>
      </c>
      <c r="C2636" s="5" t="s">
        <v>184</v>
      </c>
      <c r="D2636" s="5" t="s">
        <v>86</v>
      </c>
      <c r="E2636" s="5" t="s">
        <v>539</v>
      </c>
      <c r="F2636" s="9">
        <v>97</v>
      </c>
      <c r="G2636" s="9">
        <v>1046</v>
      </c>
      <c r="H2636" s="5" t="s">
        <v>20</v>
      </c>
      <c r="I2636" s="5" t="s">
        <v>6311</v>
      </c>
      <c r="J2636" s="12" t="str">
        <f>HYPERLINK("https://www.boe.es/gazeta/dias/1805/12/03/pdfs/GMD-1805-97.pdf#page=10","Abrir facsímil")</f>
        <v>Abrir facsímil</v>
      </c>
      <c r="K2636" s="15" t="s">
        <v>22</v>
      </c>
    </row>
    <row r="2637" spans="1:11" ht="42" customHeight="1">
      <c r="A2637" s="4" t="s">
        <v>6312</v>
      </c>
      <c r="B2637" s="5" t="s">
        <v>6313</v>
      </c>
      <c r="C2637" s="5" t="s">
        <v>80</v>
      </c>
      <c r="D2637" s="5" t="s">
        <v>81</v>
      </c>
      <c r="E2637" s="5" t="s">
        <v>512</v>
      </c>
      <c r="F2637" s="9">
        <v>100</v>
      </c>
      <c r="G2637" s="9">
        <v>1074</v>
      </c>
      <c r="H2637" s="5" t="s">
        <v>20</v>
      </c>
      <c r="I2637" s="5" t="s">
        <v>6314</v>
      </c>
      <c r="J2637" s="12" t="str">
        <f>HYPERLINK("https://www.boe.es/gazeta/dias/1805/12/13/pdfs/GMD-1805-100.pdf#page=2","Abrir facsímil")</f>
        <v>Abrir facsímil</v>
      </c>
      <c r="K2637" s="15" t="s">
        <v>22</v>
      </c>
    </row>
    <row r="2638" spans="1:11" ht="42" customHeight="1">
      <c r="A2638" s="4" t="s">
        <v>6315</v>
      </c>
      <c r="B2638" s="5" t="s">
        <v>6316</v>
      </c>
      <c r="C2638" s="5" t="s">
        <v>80</v>
      </c>
      <c r="D2638" s="5" t="s">
        <v>81</v>
      </c>
      <c r="E2638" s="5" t="s">
        <v>71</v>
      </c>
      <c r="F2638" s="9">
        <v>33</v>
      </c>
      <c r="G2638" s="9">
        <v>345</v>
      </c>
      <c r="H2638" s="5" t="s">
        <v>20</v>
      </c>
      <c r="I2638" s="5" t="s">
        <v>6317</v>
      </c>
      <c r="J2638" s="12" t="str">
        <f>HYPERLINK("https://www.boe.es/gazeta/dias/1805/04/23/pdfs/GMD-1805-33.pdf#page=1","Abrir facsímil")</f>
        <v>Abrir facsímil</v>
      </c>
      <c r="K2638" s="15" t="s">
        <v>22</v>
      </c>
    </row>
    <row r="2639" spans="1:11" ht="42" customHeight="1">
      <c r="A2639" s="4" t="s">
        <v>6318</v>
      </c>
      <c r="B2639" s="5" t="s">
        <v>6319</v>
      </c>
      <c r="C2639" s="5" t="s">
        <v>80</v>
      </c>
      <c r="D2639" s="5" t="s">
        <v>81</v>
      </c>
      <c r="E2639" s="5" t="s">
        <v>296</v>
      </c>
      <c r="F2639" s="9">
        <v>26</v>
      </c>
      <c r="G2639" s="9">
        <v>269</v>
      </c>
      <c r="H2639" s="5" t="s">
        <v>20</v>
      </c>
      <c r="I2639" s="5" t="s">
        <v>6320</v>
      </c>
      <c r="J2639" s="12" t="str">
        <f>HYPERLINK("https://www.boe.es/gazeta/dias/1805/03/29/pdfs/GMD-1805-26.pdf#page=1","Abrir facsímil")</f>
        <v>Abrir facsímil</v>
      </c>
      <c r="K2639" s="15" t="s">
        <v>22</v>
      </c>
    </row>
    <row r="2640" spans="1:11" ht="42" customHeight="1">
      <c r="A2640" s="4" t="s">
        <v>6321</v>
      </c>
      <c r="B2640" s="5" t="s">
        <v>6322</v>
      </c>
      <c r="C2640" s="5" t="s">
        <v>52</v>
      </c>
      <c r="D2640" s="5" t="s">
        <v>53</v>
      </c>
      <c r="E2640" s="5" t="s">
        <v>54</v>
      </c>
      <c r="F2640" s="9">
        <v>99</v>
      </c>
      <c r="G2640" s="9" t="s">
        <v>159</v>
      </c>
      <c r="H2640" s="5" t="s">
        <v>20</v>
      </c>
      <c r="I2640" s="5" t="s">
        <v>6323</v>
      </c>
      <c r="J2640" s="12" t="str">
        <f>HYPERLINK("https://www.boe.es/gazeta/dias/1805/12/10/pdfs/GMD-C-1805-99.pdf#page=3","Abrir facsímil")</f>
        <v>Abrir facsímil</v>
      </c>
      <c r="K2640" s="15" t="s">
        <v>22</v>
      </c>
    </row>
    <row r="2641" spans="1:11" ht="42" customHeight="1">
      <c r="A2641" s="4" t="s">
        <v>6324</v>
      </c>
      <c r="B2641" s="5" t="s">
        <v>6325</v>
      </c>
      <c r="C2641" s="5" t="s">
        <v>17</v>
      </c>
      <c r="D2641" s="5" t="s">
        <v>18</v>
      </c>
      <c r="E2641" s="5" t="s">
        <v>958</v>
      </c>
      <c r="F2641" s="9">
        <v>58</v>
      </c>
      <c r="G2641" s="9">
        <v>624</v>
      </c>
      <c r="H2641" s="5" t="s">
        <v>20</v>
      </c>
      <c r="I2641" s="5" t="s">
        <v>6326</v>
      </c>
      <c r="J2641" s="12" t="str">
        <f>HYPERLINK("https://www.boe.es/gazeta/dias/1805/07/19/pdfs/GMD-1805-58.pdf#page=8","Abrir facsímil")</f>
        <v>Abrir facsímil</v>
      </c>
      <c r="K2641" s="15" t="s">
        <v>22</v>
      </c>
    </row>
    <row r="2642" spans="1:11" ht="42" customHeight="1">
      <c r="A2642" s="4" t="s">
        <v>6327</v>
      </c>
      <c r="B2642" s="5" t="s">
        <v>6328</v>
      </c>
      <c r="C2642" s="5" t="s">
        <v>85</v>
      </c>
      <c r="D2642" s="5" t="s">
        <v>86</v>
      </c>
      <c r="E2642" s="5" t="s">
        <v>290</v>
      </c>
      <c r="F2642" s="9">
        <v>36</v>
      </c>
      <c r="G2642" s="9">
        <v>388</v>
      </c>
      <c r="H2642" s="5" t="s">
        <v>20</v>
      </c>
      <c r="I2642" s="5" t="s">
        <v>6329</v>
      </c>
      <c r="J2642" s="12" t="str">
        <f>HYPERLINK("https://www.boe.es/gazeta/dias/1805/05/03/pdfs/GMD-1805-36.pdf#page=8","Abrir facsímil")</f>
        <v>Abrir facsímil</v>
      </c>
      <c r="K2642" s="15" t="s">
        <v>22</v>
      </c>
    </row>
    <row r="2643" spans="1:11" ht="42" customHeight="1">
      <c r="A2643" s="4" t="s">
        <v>6330</v>
      </c>
      <c r="B2643" s="5" t="s">
        <v>6331</v>
      </c>
      <c r="C2643" s="5" t="s">
        <v>85</v>
      </c>
      <c r="D2643" s="5" t="s">
        <v>86</v>
      </c>
      <c r="E2643" s="5" t="s">
        <v>120</v>
      </c>
      <c r="F2643" s="9">
        <v>24</v>
      </c>
      <c r="G2643" s="9">
        <v>255</v>
      </c>
      <c r="H2643" s="5" t="s">
        <v>20</v>
      </c>
      <c r="I2643" s="5" t="s">
        <v>6332</v>
      </c>
      <c r="J2643" s="12" t="str">
        <f>HYPERLINK("https://www.boe.es/gazeta/dias/1805/03/22/pdfs/GMD-1805-24.pdf#page=7","Abrir facsímil")</f>
        <v>Abrir facsímil</v>
      </c>
      <c r="K2643" s="15" t="s">
        <v>22</v>
      </c>
    </row>
    <row r="2644" spans="1:11" ht="42" customHeight="1">
      <c r="A2644" s="4" t="s">
        <v>6333</v>
      </c>
      <c r="B2644" s="5" t="s">
        <v>6334</v>
      </c>
      <c r="C2644" s="5" t="s">
        <v>85</v>
      </c>
      <c r="D2644" s="5" t="s">
        <v>86</v>
      </c>
      <c r="E2644" s="5" t="s">
        <v>281</v>
      </c>
      <c r="F2644" s="9">
        <v>15</v>
      </c>
      <c r="G2644" s="9">
        <v>156</v>
      </c>
      <c r="H2644" s="5" t="s">
        <v>20</v>
      </c>
      <c r="I2644" s="5" t="s">
        <v>6335</v>
      </c>
      <c r="J2644" s="12" t="str">
        <f>HYPERLINK("https://www.boe.es/gazeta/dias/1805/02/19/pdfs/GMD-1805-15.pdf#page=8","Abrir facsímil")</f>
        <v>Abrir facsímil</v>
      </c>
      <c r="K2644" s="15" t="s">
        <v>22</v>
      </c>
    </row>
    <row r="2645" spans="1:11" ht="42" customHeight="1">
      <c r="A2645" s="4" t="s">
        <v>6336</v>
      </c>
      <c r="B2645" s="5" t="s">
        <v>6337</v>
      </c>
      <c r="C2645" s="5" t="s">
        <v>35</v>
      </c>
      <c r="D2645" s="5" t="s">
        <v>36</v>
      </c>
      <c r="E2645" s="5" t="s">
        <v>539</v>
      </c>
      <c r="F2645" s="9">
        <v>97</v>
      </c>
      <c r="G2645" s="9">
        <v>1045</v>
      </c>
      <c r="H2645" s="5" t="s">
        <v>20</v>
      </c>
      <c r="I2645" s="5" t="s">
        <v>6338</v>
      </c>
      <c r="J2645" s="12" t="str">
        <f>HYPERLINK("https://www.boe.es/gazeta/dias/1805/12/03/pdfs/GMD-1805-97.pdf#page=9","Abrir facsímil")</f>
        <v>Abrir facsímil</v>
      </c>
      <c r="K2645" s="15" t="s">
        <v>22</v>
      </c>
    </row>
    <row r="2646" spans="1:11" ht="42" customHeight="1">
      <c r="A2646" s="4" t="s">
        <v>6339</v>
      </c>
      <c r="B2646" s="5" t="s">
        <v>6340</v>
      </c>
      <c r="C2646" s="5" t="s">
        <v>35</v>
      </c>
      <c r="D2646" s="5" t="s">
        <v>36</v>
      </c>
      <c r="E2646" s="5" t="s">
        <v>387</v>
      </c>
      <c r="F2646" s="9">
        <v>4</v>
      </c>
      <c r="G2646" s="9">
        <v>42</v>
      </c>
      <c r="H2646" s="5" t="s">
        <v>20</v>
      </c>
      <c r="I2646" s="5" t="s">
        <v>6341</v>
      </c>
      <c r="J2646" s="12" t="str">
        <f>HYPERLINK("https://www.boe.es/gazeta/dias/1805/01/11/pdfs/GMD-1805-4.pdf#page=10","Abrir facsímil")</f>
        <v>Abrir facsímil</v>
      </c>
      <c r="K2646" s="15" t="s">
        <v>22</v>
      </c>
    </row>
    <row r="2647" spans="1:11" ht="42" customHeight="1">
      <c r="A2647" s="4" t="s">
        <v>6342</v>
      </c>
      <c r="B2647" s="5" t="s">
        <v>6343</v>
      </c>
      <c r="C2647" s="5" t="s">
        <v>85</v>
      </c>
      <c r="D2647" s="5" t="s">
        <v>86</v>
      </c>
      <c r="E2647" s="5" t="s">
        <v>471</v>
      </c>
      <c r="F2647" s="9">
        <v>22</v>
      </c>
      <c r="G2647" s="9">
        <v>233</v>
      </c>
      <c r="H2647" s="5" t="s">
        <v>20</v>
      </c>
      <c r="I2647" s="5" t="s">
        <v>6344</v>
      </c>
      <c r="J2647" s="12" t="str">
        <f>HYPERLINK("https://www.boe.es/gazeta/dias/1805/03/15/pdfs/GMD-1805-22.pdf#page=9","Abrir facsímil")</f>
        <v>Abrir facsímil</v>
      </c>
      <c r="K2647" s="15" t="s">
        <v>22</v>
      </c>
    </row>
    <row r="2648" spans="1:11" ht="42" customHeight="1">
      <c r="A2648" s="4" t="s">
        <v>6345</v>
      </c>
      <c r="B2648" s="5" t="s">
        <v>6346</v>
      </c>
      <c r="C2648" s="5" t="s">
        <v>35</v>
      </c>
      <c r="D2648" s="5" t="s">
        <v>36</v>
      </c>
      <c r="E2648" s="5" t="s">
        <v>286</v>
      </c>
      <c r="F2648" s="9">
        <v>48</v>
      </c>
      <c r="G2648" s="9">
        <v>521</v>
      </c>
      <c r="H2648" s="5" t="s">
        <v>20</v>
      </c>
      <c r="I2648" s="5" t="s">
        <v>6347</v>
      </c>
      <c r="J2648" s="12" t="str">
        <f>HYPERLINK("https://www.boe.es/gazeta/dias/1805/06/14/pdfs/GMD-1805-48.pdf#page=9","Abrir facsímil")</f>
        <v>Abrir facsímil</v>
      </c>
      <c r="K2648" s="15" t="s">
        <v>22</v>
      </c>
    </row>
    <row r="2649" spans="1:11" ht="42" customHeight="1">
      <c r="A2649" s="4" t="s">
        <v>6345</v>
      </c>
      <c r="B2649" s="5" t="s">
        <v>6346</v>
      </c>
      <c r="C2649" s="5" t="s">
        <v>35</v>
      </c>
      <c r="D2649" s="5" t="s">
        <v>36</v>
      </c>
      <c r="E2649" s="5" t="s">
        <v>422</v>
      </c>
      <c r="F2649" s="9">
        <v>74</v>
      </c>
      <c r="G2649" s="9">
        <v>786</v>
      </c>
      <c r="H2649" s="5" t="s">
        <v>20</v>
      </c>
      <c r="I2649" s="5" t="s">
        <v>6348</v>
      </c>
      <c r="J2649" s="12" t="str">
        <f>HYPERLINK("https://www.boe.es/gazeta/dias/1805/09/13/pdfs/GMD-1805-74.pdf#page=10","Abrir facsímil")</f>
        <v>Abrir facsímil</v>
      </c>
      <c r="K2649" s="15" t="s">
        <v>22</v>
      </c>
    </row>
    <row r="2650" spans="1:11" ht="42" customHeight="1">
      <c r="A2650" s="4" t="s">
        <v>6349</v>
      </c>
      <c r="B2650" s="5" t="s">
        <v>6350</v>
      </c>
      <c r="C2650" s="5" t="s">
        <v>35</v>
      </c>
      <c r="D2650" s="5" t="s">
        <v>36</v>
      </c>
      <c r="E2650" s="5" t="s">
        <v>1445</v>
      </c>
      <c r="F2650" s="9">
        <v>6</v>
      </c>
      <c r="G2650" s="9">
        <v>66</v>
      </c>
      <c r="H2650" s="5" t="s">
        <v>20</v>
      </c>
      <c r="I2650" s="5" t="s">
        <v>6351</v>
      </c>
      <c r="J2650" s="12" t="str">
        <f>HYPERLINK("https://www.boe.es/gazeta/dias/1805/01/18/pdfs/GMD-1805-6.pdf#page=10","Abrir facsímil")</f>
        <v>Abrir facsímil</v>
      </c>
      <c r="K2650" s="15" t="s">
        <v>22</v>
      </c>
    </row>
    <row r="2651" spans="1:11" ht="42" customHeight="1">
      <c r="A2651" s="4" t="s">
        <v>6352</v>
      </c>
      <c r="B2651" s="5" t="s">
        <v>6353</v>
      </c>
      <c r="C2651" s="5" t="s">
        <v>35</v>
      </c>
      <c r="D2651" s="5" t="s">
        <v>36</v>
      </c>
      <c r="E2651" s="5" t="s">
        <v>363</v>
      </c>
      <c r="F2651" s="9">
        <v>1</v>
      </c>
      <c r="G2651" s="9">
        <v>10</v>
      </c>
      <c r="H2651" s="5" t="s">
        <v>20</v>
      </c>
      <c r="I2651" s="5" t="s">
        <v>6354</v>
      </c>
      <c r="J2651" s="12" t="str">
        <f>HYPERLINK("https://www.boe.es/gazeta/dias/1805/01/01/pdfs/GMD-1805-1.pdf#page=10","Abrir facsímil")</f>
        <v>Abrir facsímil</v>
      </c>
      <c r="K2651" s="15" t="s">
        <v>22</v>
      </c>
    </row>
    <row r="2652" spans="1:11" ht="42" customHeight="1">
      <c r="A2652" s="4" t="s">
        <v>6355</v>
      </c>
      <c r="B2652" s="5" t="s">
        <v>6356</v>
      </c>
      <c r="C2652" s="5" t="s">
        <v>35</v>
      </c>
      <c r="D2652" s="5" t="s">
        <v>36</v>
      </c>
      <c r="E2652" s="5" t="s">
        <v>552</v>
      </c>
      <c r="F2652" s="9">
        <v>94</v>
      </c>
      <c r="G2652" s="9">
        <v>1008</v>
      </c>
      <c r="H2652" s="5" t="s">
        <v>20</v>
      </c>
      <c r="I2652" s="5" t="s">
        <v>6357</v>
      </c>
      <c r="J2652" s="12" t="str">
        <f>HYPERLINK("https://www.boe.es/gazeta/dias/1805/11/22/pdfs/GMD-1805-94.pdf#page=8","Abrir facsímil")</f>
        <v>Abrir facsímil</v>
      </c>
      <c r="K2652" s="15" t="s">
        <v>22</v>
      </c>
    </row>
    <row r="2653" spans="1:11" ht="42" customHeight="1">
      <c r="A2653" s="4" t="s">
        <v>6358</v>
      </c>
      <c r="B2653" s="5" t="s">
        <v>6359</v>
      </c>
      <c r="C2653" s="5" t="s">
        <v>184</v>
      </c>
      <c r="D2653" s="5" t="s">
        <v>86</v>
      </c>
      <c r="E2653" s="5" t="s">
        <v>120</v>
      </c>
      <c r="F2653" s="9">
        <v>24</v>
      </c>
      <c r="G2653" s="9">
        <v>258</v>
      </c>
      <c r="H2653" s="5" t="s">
        <v>20</v>
      </c>
      <c r="I2653" s="5" t="s">
        <v>6360</v>
      </c>
      <c r="J2653" s="12" t="str">
        <f>HYPERLINK("https://www.boe.es/gazeta/dias/1805/03/22/pdfs/GMD-1805-24.pdf#page=10","Abrir facsímil")</f>
        <v>Abrir facsímil</v>
      </c>
      <c r="K2653" s="15" t="s">
        <v>22</v>
      </c>
    </row>
    <row r="2654" spans="1:11" ht="42" customHeight="1">
      <c r="A2654" s="4" t="s">
        <v>6361</v>
      </c>
      <c r="B2654" s="5" t="s">
        <v>6362</v>
      </c>
      <c r="C2654" s="5" t="s">
        <v>35</v>
      </c>
      <c r="D2654" s="5" t="s">
        <v>36</v>
      </c>
      <c r="E2654" s="5" t="s">
        <v>422</v>
      </c>
      <c r="F2654" s="9">
        <v>74</v>
      </c>
      <c r="G2654" s="9">
        <v>786</v>
      </c>
      <c r="H2654" s="5" t="s">
        <v>20</v>
      </c>
      <c r="I2654" s="5" t="s">
        <v>6363</v>
      </c>
      <c r="J2654" s="12" t="str">
        <f>HYPERLINK("https://www.boe.es/gazeta/dias/1805/09/13/pdfs/GMD-1805-74.pdf#page=10","Abrir facsímil")</f>
        <v>Abrir facsímil</v>
      </c>
      <c r="K2654" s="15" t="s">
        <v>22</v>
      </c>
    </row>
    <row r="2655" spans="1:11" ht="42" customHeight="1">
      <c r="A2655" s="4" t="s">
        <v>6364</v>
      </c>
      <c r="B2655" s="5" t="s">
        <v>6365</v>
      </c>
      <c r="C2655" s="5" t="s">
        <v>35</v>
      </c>
      <c r="D2655" s="5" t="s">
        <v>36</v>
      </c>
      <c r="E2655" s="5" t="s">
        <v>1494</v>
      </c>
      <c r="F2655" s="9">
        <v>31</v>
      </c>
      <c r="G2655" s="9">
        <v>333</v>
      </c>
      <c r="H2655" s="5" t="s">
        <v>20</v>
      </c>
      <c r="I2655" s="5" t="s">
        <v>6366</v>
      </c>
      <c r="J2655" s="12" t="str">
        <f>HYPERLINK("https://www.boe.es/gazeta/dias/1805/04/16/pdfs/GMD-1805-31.pdf#page=9","Abrir facsímil")</f>
        <v>Abrir facsímil</v>
      </c>
      <c r="K2655" s="15" t="s">
        <v>22</v>
      </c>
    </row>
    <row r="2656" spans="1:11" ht="42" customHeight="1">
      <c r="A2656" s="4" t="s">
        <v>6367</v>
      </c>
      <c r="B2656" s="5" t="s">
        <v>6368</v>
      </c>
      <c r="C2656" s="5" t="s">
        <v>17</v>
      </c>
      <c r="D2656" s="5" t="s">
        <v>18</v>
      </c>
      <c r="E2656" s="5" t="s">
        <v>63</v>
      </c>
      <c r="F2656" s="9">
        <v>101</v>
      </c>
      <c r="G2656" s="9">
        <v>1091</v>
      </c>
      <c r="H2656" s="5" t="s">
        <v>20</v>
      </c>
      <c r="I2656" s="5" t="s">
        <v>6369</v>
      </c>
      <c r="J2656" s="12" t="str">
        <f>HYPERLINK("https://www.boe.es/gazeta/dias/1805/12/17/pdfs/GMD-1805-101.pdf#page=7","Abrir facsímil")</f>
        <v>Abrir facsímil</v>
      </c>
      <c r="K2656" s="15" t="s">
        <v>22</v>
      </c>
    </row>
    <row r="2657" spans="1:11" ht="42" customHeight="1">
      <c r="A2657" s="4" t="s">
        <v>6370</v>
      </c>
      <c r="B2657" s="5" t="s">
        <v>6371</v>
      </c>
      <c r="C2657" s="5" t="s">
        <v>85</v>
      </c>
      <c r="D2657" s="5" t="s">
        <v>86</v>
      </c>
      <c r="E2657" s="5" t="s">
        <v>426</v>
      </c>
      <c r="F2657" s="9">
        <v>75</v>
      </c>
      <c r="G2657" s="9">
        <v>798</v>
      </c>
      <c r="H2657" s="5" t="s">
        <v>20</v>
      </c>
      <c r="I2657" s="5" t="s">
        <v>6372</v>
      </c>
      <c r="J2657" s="12" t="str">
        <f>HYPERLINK("https://www.boe.es/gazeta/dias/1805/09/17/pdfs/GMD-1805-75.pdf#page=10","Abrir facsímil")</f>
        <v>Abrir facsímil</v>
      </c>
      <c r="K2657" s="15" t="s">
        <v>22</v>
      </c>
    </row>
    <row r="2658" spans="1:11" ht="42" customHeight="1">
      <c r="A2658" s="4" t="s">
        <v>6373</v>
      </c>
      <c r="B2658" s="5" t="s">
        <v>6374</v>
      </c>
      <c r="C2658" s="5" t="s">
        <v>85</v>
      </c>
      <c r="D2658" s="5" t="s">
        <v>86</v>
      </c>
      <c r="E2658" s="5" t="s">
        <v>539</v>
      </c>
      <c r="F2658" s="9">
        <v>97</v>
      </c>
      <c r="G2658" s="9">
        <v>1043</v>
      </c>
      <c r="H2658" s="5" t="s">
        <v>20</v>
      </c>
      <c r="I2658" s="5" t="s">
        <v>6375</v>
      </c>
      <c r="J2658" s="12" t="str">
        <f>HYPERLINK("https://www.boe.es/gazeta/dias/1805/12/03/pdfs/GMD-1805-97.pdf#page=7","Abrir facsímil")</f>
        <v>Abrir facsímil</v>
      </c>
      <c r="K2658" s="15" t="s">
        <v>22</v>
      </c>
    </row>
    <row r="2659" spans="1:11" ht="42" customHeight="1">
      <c r="A2659" s="4" t="s">
        <v>6376</v>
      </c>
      <c r="B2659" s="5" t="s">
        <v>6377</v>
      </c>
      <c r="C2659" s="5" t="s">
        <v>35</v>
      </c>
      <c r="D2659" s="5" t="s">
        <v>36</v>
      </c>
      <c r="E2659" s="5" t="s">
        <v>303</v>
      </c>
      <c r="F2659" s="9">
        <v>57</v>
      </c>
      <c r="G2659" s="9">
        <v>611</v>
      </c>
      <c r="H2659" s="5" t="s">
        <v>20</v>
      </c>
      <c r="I2659" s="5" t="s">
        <v>6378</v>
      </c>
      <c r="J2659" s="12" t="str">
        <f>HYPERLINK("https://www.boe.es/gazeta/dias/1805/07/16/pdfs/GMD-1805-57.pdf#page=7","Abrir facsímil")</f>
        <v>Abrir facsímil</v>
      </c>
      <c r="K2659" s="15" t="s">
        <v>22</v>
      </c>
    </row>
    <row r="2660" spans="1:11" ht="42" customHeight="1">
      <c r="A2660" s="4" t="s">
        <v>6379</v>
      </c>
      <c r="B2660" s="5" t="s">
        <v>6380</v>
      </c>
      <c r="C2660" s="5" t="s">
        <v>35</v>
      </c>
      <c r="D2660" s="5" t="s">
        <v>36</v>
      </c>
      <c r="E2660" s="5" t="s">
        <v>170</v>
      </c>
      <c r="F2660" s="9">
        <v>9</v>
      </c>
      <c r="G2660" s="9">
        <v>98</v>
      </c>
      <c r="H2660" s="5" t="s">
        <v>20</v>
      </c>
      <c r="I2660" s="5" t="s">
        <v>6381</v>
      </c>
      <c r="J2660" s="12" t="str">
        <f>HYPERLINK("https://www.boe.es/gazeta/dias/1805/01/29/pdfs/GMD-1805-9.pdf#page=6","Abrir facsímil")</f>
        <v>Abrir facsímil</v>
      </c>
      <c r="K2660" s="15" t="s">
        <v>22</v>
      </c>
    </row>
    <row r="2661" spans="1:11" ht="42" customHeight="1">
      <c r="A2661" s="4" t="s">
        <v>6382</v>
      </c>
      <c r="B2661" s="5" t="s">
        <v>6383</v>
      </c>
      <c r="C2661" s="5" t="s">
        <v>35</v>
      </c>
      <c r="D2661" s="5" t="s">
        <v>36</v>
      </c>
      <c r="E2661" s="5" t="s">
        <v>711</v>
      </c>
      <c r="F2661" s="9">
        <v>63</v>
      </c>
      <c r="G2661" s="9">
        <v>674</v>
      </c>
      <c r="H2661" s="5" t="s">
        <v>20</v>
      </c>
      <c r="I2661" s="5" t="s">
        <v>6384</v>
      </c>
      <c r="J2661" s="12" t="str">
        <f>HYPERLINK("https://www.boe.es/gazeta/dias/1805/08/06/pdfs/GMD-1805-63.pdf#page=10","Abrir facsímil")</f>
        <v>Abrir facsímil</v>
      </c>
      <c r="K2661" s="15" t="s">
        <v>22</v>
      </c>
    </row>
    <row r="2662" spans="1:11" ht="42" customHeight="1">
      <c r="A2662" s="4" t="s">
        <v>6385</v>
      </c>
      <c r="B2662" s="5" t="s">
        <v>6386</v>
      </c>
      <c r="C2662" s="5" t="s">
        <v>85</v>
      </c>
      <c r="D2662" s="5" t="s">
        <v>86</v>
      </c>
      <c r="E2662" s="5" t="s">
        <v>226</v>
      </c>
      <c r="F2662" s="9">
        <v>73</v>
      </c>
      <c r="G2662" s="9">
        <v>773</v>
      </c>
      <c r="H2662" s="5" t="s">
        <v>20</v>
      </c>
      <c r="I2662" s="5" t="s">
        <v>6387</v>
      </c>
      <c r="J2662" s="12" t="str">
        <f>HYPERLINK("https://www.boe.es/gazeta/dias/1805/09/10/pdfs/GMD-1805-73.pdf#page=5","Abrir facsímil")</f>
        <v>Abrir facsímil</v>
      </c>
      <c r="K2662" s="15" t="s">
        <v>22</v>
      </c>
    </row>
    <row r="2663" spans="1:11" ht="42" customHeight="1">
      <c r="A2663" s="4" t="s">
        <v>6388</v>
      </c>
      <c r="B2663" s="5" t="s">
        <v>6389</v>
      </c>
      <c r="C2663" s="5" t="s">
        <v>17</v>
      </c>
      <c r="D2663" s="5" t="s">
        <v>18</v>
      </c>
      <c r="E2663" s="5" t="s">
        <v>352</v>
      </c>
      <c r="F2663" s="9">
        <v>60</v>
      </c>
      <c r="G2663" s="9">
        <v>647</v>
      </c>
      <c r="H2663" s="5" t="s">
        <v>20</v>
      </c>
      <c r="I2663" s="5" t="s">
        <v>6390</v>
      </c>
      <c r="J2663" s="12" t="str">
        <f>HYPERLINK("https://www.boe.es/gazeta/dias/1805/07/26/pdfs/GMD-1805-60.pdf#page=11","Abrir facsímil")</f>
        <v>Abrir facsímil</v>
      </c>
      <c r="K2663" s="15" t="s">
        <v>22</v>
      </c>
    </row>
    <row r="2664" spans="1:11" ht="42" customHeight="1">
      <c r="A2664" s="4" t="s">
        <v>6391</v>
      </c>
      <c r="B2664" s="5" t="s">
        <v>6392</v>
      </c>
      <c r="C2664" s="5" t="s">
        <v>85</v>
      </c>
      <c r="D2664" s="5" t="s">
        <v>86</v>
      </c>
      <c r="E2664" s="5" t="s">
        <v>303</v>
      </c>
      <c r="F2664" s="9">
        <v>57</v>
      </c>
      <c r="G2664" s="9">
        <v>610</v>
      </c>
      <c r="H2664" s="5" t="s">
        <v>20</v>
      </c>
      <c r="I2664" s="5" t="s">
        <v>6393</v>
      </c>
      <c r="J2664" s="12" t="str">
        <f>HYPERLINK("https://www.boe.es/gazeta/dias/1805/07/16/pdfs/GMD-1805-57.pdf#page=6","Abrir facsímil")</f>
        <v>Abrir facsímil</v>
      </c>
      <c r="K2664" s="15" t="s">
        <v>22</v>
      </c>
    </row>
    <row r="2665" spans="1:11" ht="42" customHeight="1">
      <c r="A2665" s="4" t="s">
        <v>6394</v>
      </c>
      <c r="B2665" s="5" t="s">
        <v>6395</v>
      </c>
      <c r="C2665" s="5" t="s">
        <v>35</v>
      </c>
      <c r="D2665" s="5" t="s">
        <v>36</v>
      </c>
      <c r="E2665" s="5" t="s">
        <v>226</v>
      </c>
      <c r="F2665" s="9">
        <v>73</v>
      </c>
      <c r="G2665" s="9">
        <v>772</v>
      </c>
      <c r="H2665" s="5" t="s">
        <v>20</v>
      </c>
      <c r="I2665" s="5" t="s">
        <v>6396</v>
      </c>
      <c r="J2665" s="12" t="str">
        <f>HYPERLINK("https://www.boe.es/gazeta/dias/1805/09/10/pdfs/GMD-1805-73.pdf#page=4","Abrir facsímil")</f>
        <v>Abrir facsímil</v>
      </c>
      <c r="K2665" s="15" t="s">
        <v>22</v>
      </c>
    </row>
    <row r="2666" spans="1:11" ht="42" customHeight="1">
      <c r="A2666" s="4" t="s">
        <v>6397</v>
      </c>
      <c r="B2666" s="5" t="s">
        <v>6398</v>
      </c>
      <c r="C2666" s="5" t="s">
        <v>17</v>
      </c>
      <c r="D2666" s="5" t="s">
        <v>18</v>
      </c>
      <c r="E2666" s="5" t="s">
        <v>200</v>
      </c>
      <c r="F2666" s="9">
        <v>91</v>
      </c>
      <c r="G2666" s="9">
        <v>977</v>
      </c>
      <c r="H2666" s="5" t="s">
        <v>20</v>
      </c>
      <c r="I2666" s="5" t="s">
        <v>6399</v>
      </c>
      <c r="J2666" s="12" t="str">
        <f>HYPERLINK("https://www.boe.es/gazeta/dias/1805/11/12/pdfs/GMD-1805-91.pdf#page=9","Abrir facsímil")</f>
        <v>Abrir facsímil</v>
      </c>
      <c r="K2666" s="15" t="s">
        <v>22</v>
      </c>
    </row>
    <row r="2667" spans="1:11" ht="42" customHeight="1">
      <c r="A2667" s="4" t="s">
        <v>6400</v>
      </c>
      <c r="B2667" s="5" t="s">
        <v>6401</v>
      </c>
      <c r="C2667" s="5" t="s">
        <v>85</v>
      </c>
      <c r="D2667" s="5" t="s">
        <v>86</v>
      </c>
      <c r="E2667" s="5" t="s">
        <v>471</v>
      </c>
      <c r="F2667" s="9">
        <v>22</v>
      </c>
      <c r="G2667" s="9">
        <v>233</v>
      </c>
      <c r="H2667" s="5" t="s">
        <v>20</v>
      </c>
      <c r="I2667" s="5" t="s">
        <v>6402</v>
      </c>
      <c r="J2667" s="12" t="str">
        <f>HYPERLINK("https://www.boe.es/gazeta/dias/1805/03/15/pdfs/GMD-1805-22.pdf#page=9","Abrir facsímil")</f>
        <v>Abrir facsímil</v>
      </c>
      <c r="K2667" s="15" t="s">
        <v>22</v>
      </c>
    </row>
    <row r="2668" spans="1:11" ht="42" customHeight="1">
      <c r="A2668" s="4" t="s">
        <v>6403</v>
      </c>
      <c r="B2668" s="5" t="s">
        <v>6404</v>
      </c>
      <c r="C2668" s="5" t="s">
        <v>85</v>
      </c>
      <c r="D2668" s="5" t="s">
        <v>86</v>
      </c>
      <c r="E2668" s="5" t="s">
        <v>539</v>
      </c>
      <c r="F2668" s="9">
        <v>97</v>
      </c>
      <c r="G2668" s="9">
        <v>1044</v>
      </c>
      <c r="H2668" s="5" t="s">
        <v>20</v>
      </c>
      <c r="I2668" s="5" t="s">
        <v>6405</v>
      </c>
      <c r="J2668" s="12" t="str">
        <f>HYPERLINK("https://www.boe.es/gazeta/dias/1805/12/03/pdfs/GMD-1805-97.pdf#page=8","Abrir facsímil")</f>
        <v>Abrir facsímil</v>
      </c>
      <c r="K2668" s="15" t="s">
        <v>22</v>
      </c>
    </row>
    <row r="2669" spans="1:11" ht="42" customHeight="1">
      <c r="A2669" s="4" t="s">
        <v>6406</v>
      </c>
      <c r="B2669" s="5" t="s">
        <v>6407</v>
      </c>
      <c r="C2669" s="5" t="s">
        <v>35</v>
      </c>
      <c r="D2669" s="5" t="s">
        <v>36</v>
      </c>
      <c r="E2669" s="5" t="s">
        <v>87</v>
      </c>
      <c r="F2669" s="9">
        <v>14</v>
      </c>
      <c r="G2669" s="9">
        <v>147</v>
      </c>
      <c r="H2669" s="5" t="s">
        <v>20</v>
      </c>
      <c r="I2669" s="5" t="s">
        <v>6408</v>
      </c>
      <c r="J2669" s="12" t="str">
        <f>HYPERLINK("https://www.boe.es/gazeta/dias/1805/02/15/pdfs/GMD-1805-14.pdf#page=7","Abrir facsímil")</f>
        <v>Abrir facsímil</v>
      </c>
      <c r="K2669" s="15" t="s">
        <v>22</v>
      </c>
    </row>
    <row r="2670" spans="1:11" ht="42" customHeight="1">
      <c r="A2670" s="4" t="s">
        <v>6409</v>
      </c>
      <c r="B2670" s="5" t="s">
        <v>6410</v>
      </c>
      <c r="C2670" s="5" t="s">
        <v>29</v>
      </c>
      <c r="D2670" s="5" t="s">
        <v>30</v>
      </c>
      <c r="E2670" s="5" t="s">
        <v>112</v>
      </c>
      <c r="F2670" s="9">
        <v>16</v>
      </c>
      <c r="G2670" s="9">
        <v>168</v>
      </c>
      <c r="H2670" s="5" t="s">
        <v>20</v>
      </c>
      <c r="I2670" s="5" t="s">
        <v>6411</v>
      </c>
      <c r="J2670" s="12" t="str">
        <f>HYPERLINK("https://www.boe.es/gazeta/dias/1805/02/22/pdfs/GMD-1805-16.pdf#page=8","Abrir facsímil")</f>
        <v>Abrir facsímil</v>
      </c>
      <c r="K2670" s="15" t="s">
        <v>22</v>
      </c>
    </row>
    <row r="2671" spans="1:11" ht="42" customHeight="1">
      <c r="A2671" s="4" t="s">
        <v>6412</v>
      </c>
      <c r="B2671" s="5" t="s">
        <v>6413</v>
      </c>
      <c r="C2671" s="5" t="s">
        <v>35</v>
      </c>
      <c r="D2671" s="5" t="s">
        <v>36</v>
      </c>
      <c r="E2671" s="5" t="s">
        <v>854</v>
      </c>
      <c r="F2671" s="9">
        <v>46</v>
      </c>
      <c r="G2671" s="9">
        <v>496</v>
      </c>
      <c r="H2671" s="5" t="s">
        <v>20</v>
      </c>
      <c r="I2671" s="5" t="s">
        <v>6414</v>
      </c>
      <c r="J2671" s="12" t="str">
        <f>HYPERLINK("https://www.boe.es/gazeta/dias/1805/06/07/pdfs/GMD-1805-46.pdf#page=8","Abrir facsímil")</f>
        <v>Abrir facsímil</v>
      </c>
      <c r="K2671" s="15" t="s">
        <v>22</v>
      </c>
    </row>
    <row r="2672" spans="1:11" ht="42" customHeight="1">
      <c r="A2672" s="4" t="s">
        <v>6415</v>
      </c>
      <c r="B2672" s="5" t="s">
        <v>6416</v>
      </c>
      <c r="C2672" s="5" t="s">
        <v>17</v>
      </c>
      <c r="D2672" s="5" t="s">
        <v>18</v>
      </c>
      <c r="E2672" s="5" t="s">
        <v>300</v>
      </c>
      <c r="F2672" s="9">
        <v>81</v>
      </c>
      <c r="G2672" s="9">
        <v>858</v>
      </c>
      <c r="H2672" s="5" t="s">
        <v>20</v>
      </c>
      <c r="I2672" s="5" t="s">
        <v>6417</v>
      </c>
      <c r="J2672" s="12" t="str">
        <f>HYPERLINK("https://www.boe.es/gazeta/dias/1805/10/08/pdfs/GMD-1805-81.pdf#page=6","Abrir facsímil")</f>
        <v>Abrir facsímil</v>
      </c>
      <c r="K2672" s="15" t="s">
        <v>22</v>
      </c>
    </row>
    <row r="2673" spans="1:11" ht="42" customHeight="1">
      <c r="A2673" s="4" t="s">
        <v>6418</v>
      </c>
      <c r="B2673" s="5" t="s">
        <v>6419</v>
      </c>
      <c r="C2673" s="5" t="s">
        <v>35</v>
      </c>
      <c r="D2673" s="5" t="s">
        <v>36</v>
      </c>
      <c r="E2673" s="5" t="s">
        <v>1259</v>
      </c>
      <c r="F2673" s="9">
        <v>78</v>
      </c>
      <c r="G2673" s="9">
        <v>827</v>
      </c>
      <c r="H2673" s="5" t="s">
        <v>20</v>
      </c>
      <c r="I2673" s="5" t="s">
        <v>6420</v>
      </c>
      <c r="J2673" s="12" t="str">
        <f>HYPERLINK("https://www.boe.es/gazeta/dias/1805/09/27/pdfs/GMD-1805-78.pdf#page=7","Abrir facsímil")</f>
        <v>Abrir facsímil</v>
      </c>
      <c r="K2673" s="15" t="s">
        <v>22</v>
      </c>
    </row>
    <row r="2674" spans="1:11" ht="42" customHeight="1">
      <c r="A2674" s="4" t="s">
        <v>6421</v>
      </c>
      <c r="B2674" s="5" t="s">
        <v>6422</v>
      </c>
      <c r="C2674" s="5" t="s">
        <v>17</v>
      </c>
      <c r="D2674" s="5" t="s">
        <v>18</v>
      </c>
      <c r="E2674" s="5" t="s">
        <v>135</v>
      </c>
      <c r="F2674" s="9">
        <v>71</v>
      </c>
      <c r="G2674" s="9">
        <v>759</v>
      </c>
      <c r="H2674" s="5" t="s">
        <v>20</v>
      </c>
      <c r="I2674" s="5" t="s">
        <v>6423</v>
      </c>
      <c r="J2674" s="12" t="str">
        <f>HYPERLINK("https://www.boe.es/gazeta/dias/1805/09/03/pdfs/GMD-1805-71.pdf#page=11","Abrir facsímil")</f>
        <v>Abrir facsímil</v>
      </c>
      <c r="K2674" s="15" t="s">
        <v>22</v>
      </c>
    </row>
    <row r="2675" spans="1:11" ht="42" customHeight="1">
      <c r="A2675" s="4" t="s">
        <v>6424</v>
      </c>
      <c r="B2675" s="5" t="s">
        <v>6425</v>
      </c>
      <c r="C2675" s="5" t="s">
        <v>35</v>
      </c>
      <c r="D2675" s="5" t="s">
        <v>36</v>
      </c>
      <c r="E2675" s="5" t="s">
        <v>506</v>
      </c>
      <c r="F2675" s="9">
        <v>80</v>
      </c>
      <c r="G2675" s="9">
        <v>850</v>
      </c>
      <c r="H2675" s="5" t="s">
        <v>20</v>
      </c>
      <c r="I2675" s="5" t="s">
        <v>6426</v>
      </c>
      <c r="J2675" s="12" t="str">
        <f>HYPERLINK("https://www.boe.es/gazeta/dias/1805/10/04/pdfs/GMD-1805-80.pdf#page=10","Abrir facsímil")</f>
        <v>Abrir facsímil</v>
      </c>
      <c r="K2675" s="15" t="s">
        <v>22</v>
      </c>
    </row>
    <row r="2676" spans="1:11" ht="42" customHeight="1">
      <c r="A2676" s="4" t="s">
        <v>6427</v>
      </c>
      <c r="B2676" s="5" t="s">
        <v>6428</v>
      </c>
      <c r="C2676" s="5" t="s">
        <v>35</v>
      </c>
      <c r="D2676" s="5" t="s">
        <v>36</v>
      </c>
      <c r="E2676" s="5" t="s">
        <v>303</v>
      </c>
      <c r="F2676" s="9">
        <v>57</v>
      </c>
      <c r="G2676" s="9">
        <v>610</v>
      </c>
      <c r="H2676" s="5" t="s">
        <v>20</v>
      </c>
      <c r="I2676" s="5" t="s">
        <v>6429</v>
      </c>
      <c r="J2676" s="12" t="str">
        <f>HYPERLINK("https://www.boe.es/gazeta/dias/1805/07/16/pdfs/GMD-1805-57.pdf#page=6","Abrir facsímil")</f>
        <v>Abrir facsímil</v>
      </c>
      <c r="K2676" s="15" t="s">
        <v>22</v>
      </c>
    </row>
    <row r="2677" spans="1:11" ht="42" customHeight="1">
      <c r="A2677" s="4" t="s">
        <v>6430</v>
      </c>
      <c r="B2677" s="5" t="s">
        <v>6431</v>
      </c>
      <c r="C2677" s="5" t="s">
        <v>35</v>
      </c>
      <c r="D2677" s="5" t="s">
        <v>36</v>
      </c>
      <c r="E2677" s="5" t="s">
        <v>54</v>
      </c>
      <c r="F2677" s="9">
        <v>99</v>
      </c>
      <c r="G2677" s="9">
        <v>1070</v>
      </c>
      <c r="H2677" s="5" t="s">
        <v>20</v>
      </c>
      <c r="I2677" s="5" t="s">
        <v>6432</v>
      </c>
      <c r="J2677" s="12" t="str">
        <f>HYPERLINK("https://www.boe.es/gazeta/dias/1805/12/10/pdfs/GMD-1805-99.pdf#page=10","Abrir facsímil")</f>
        <v>Abrir facsímil</v>
      </c>
      <c r="K2677" s="15" t="s">
        <v>22</v>
      </c>
    </row>
    <row r="2678" spans="1:11" ht="42" customHeight="1">
      <c r="A2678" s="4" t="s">
        <v>6433</v>
      </c>
      <c r="B2678" s="5" t="s">
        <v>6434</v>
      </c>
      <c r="C2678" s="5" t="s">
        <v>17</v>
      </c>
      <c r="D2678" s="5" t="s">
        <v>18</v>
      </c>
      <c r="E2678" s="5" t="s">
        <v>71</v>
      </c>
      <c r="F2678" s="9">
        <v>33</v>
      </c>
      <c r="G2678" s="9">
        <v>352</v>
      </c>
      <c r="H2678" s="5" t="s">
        <v>20</v>
      </c>
      <c r="I2678" s="5" t="s">
        <v>6435</v>
      </c>
      <c r="J2678" s="12" t="str">
        <f>HYPERLINK("https://www.boe.es/gazeta/dias/1805/04/23/pdfs/GMD-1805-33.pdf#page=8","Abrir facsímil")</f>
        <v>Abrir facsímil</v>
      </c>
      <c r="K2678" s="15" t="s">
        <v>22</v>
      </c>
    </row>
    <row r="2679" spans="1:11" ht="42" customHeight="1">
      <c r="A2679" s="4" t="s">
        <v>6436</v>
      </c>
      <c r="B2679" s="5" t="s">
        <v>6437</v>
      </c>
      <c r="C2679" s="5" t="s">
        <v>17</v>
      </c>
      <c r="D2679" s="5" t="s">
        <v>18</v>
      </c>
      <c r="E2679" s="5" t="s">
        <v>114</v>
      </c>
      <c r="F2679" s="9">
        <v>17</v>
      </c>
      <c r="G2679" s="9">
        <v>180</v>
      </c>
      <c r="H2679" s="5" t="s">
        <v>20</v>
      </c>
      <c r="I2679" s="5" t="s">
        <v>6438</v>
      </c>
      <c r="J2679" s="12" t="str">
        <f>HYPERLINK("https://www.boe.es/gazeta/dias/1805/02/26/pdfs/GMD-1805-17.pdf#page=12","Abrir facsímil")</f>
        <v>Abrir facsímil</v>
      </c>
      <c r="K2679" s="15" t="s">
        <v>22</v>
      </c>
    </row>
    <row r="2680" spans="1:11" ht="42" customHeight="1">
      <c r="A2680" s="4" t="s">
        <v>6439</v>
      </c>
      <c r="B2680" s="5" t="s">
        <v>6439</v>
      </c>
      <c r="C2680" s="5" t="s">
        <v>35</v>
      </c>
      <c r="D2680" s="5" t="s">
        <v>36</v>
      </c>
      <c r="E2680" s="5" t="s">
        <v>135</v>
      </c>
      <c r="F2680" s="9">
        <v>71</v>
      </c>
      <c r="G2680" s="9">
        <v>758</v>
      </c>
      <c r="H2680" s="5" t="s">
        <v>20</v>
      </c>
      <c r="I2680" s="5" t="s">
        <v>6440</v>
      </c>
      <c r="J2680" s="12" t="str">
        <f>HYPERLINK("https://www.boe.es/gazeta/dias/1805/09/03/pdfs/GMD-1805-71.pdf#page=10","Abrir facsímil")</f>
        <v>Abrir facsímil</v>
      </c>
      <c r="K2680" s="15" t="s">
        <v>22</v>
      </c>
    </row>
    <row r="2681" spans="1:11" ht="42" customHeight="1">
      <c r="A2681" s="4" t="s">
        <v>6441</v>
      </c>
      <c r="B2681" s="5" t="s">
        <v>6442</v>
      </c>
      <c r="C2681" s="5" t="s">
        <v>35</v>
      </c>
      <c r="D2681" s="5" t="s">
        <v>36</v>
      </c>
      <c r="E2681" s="5" t="s">
        <v>44</v>
      </c>
      <c r="F2681" s="9">
        <v>29</v>
      </c>
      <c r="G2681" s="9">
        <v>312</v>
      </c>
      <c r="H2681" s="5" t="s">
        <v>20</v>
      </c>
      <c r="I2681" s="5" t="s">
        <v>6443</v>
      </c>
      <c r="J2681" s="12" t="str">
        <f>HYPERLINK("https://www.boe.es/gazeta/dias/1805/04/09/pdfs/GMD-1805-29.pdf#page=8","Abrir facsímil")</f>
        <v>Abrir facsímil</v>
      </c>
      <c r="K2681" s="15" t="s">
        <v>22</v>
      </c>
    </row>
    <row r="2682" spans="1:11" ht="42" customHeight="1">
      <c r="A2682" s="4" t="s">
        <v>6444</v>
      </c>
      <c r="B2682" s="5" t="s">
        <v>6445</v>
      </c>
      <c r="C2682" s="5" t="s">
        <v>35</v>
      </c>
      <c r="D2682" s="5" t="s">
        <v>36</v>
      </c>
      <c r="E2682" s="5" t="s">
        <v>63</v>
      </c>
      <c r="F2682" s="9">
        <v>101</v>
      </c>
      <c r="G2682" s="9">
        <v>1092</v>
      </c>
      <c r="H2682" s="5" t="s">
        <v>20</v>
      </c>
      <c r="I2682" s="5" t="s">
        <v>6446</v>
      </c>
      <c r="J2682" s="12" t="str">
        <f>HYPERLINK("https://www.boe.es/gazeta/dias/1805/12/17/pdfs/GMD-1805-101.pdf#page=8","Abrir facsímil")</f>
        <v>Abrir facsímil</v>
      </c>
      <c r="K2682" s="15" t="s">
        <v>22</v>
      </c>
    </row>
    <row r="2683" spans="1:11" ht="42" customHeight="1">
      <c r="A2683" s="4" t="s">
        <v>6447</v>
      </c>
      <c r="B2683" s="5" t="s">
        <v>6448</v>
      </c>
      <c r="C2683" s="5" t="s">
        <v>35</v>
      </c>
      <c r="D2683" s="5" t="s">
        <v>36</v>
      </c>
      <c r="E2683" s="5" t="s">
        <v>1471</v>
      </c>
      <c r="F2683" s="9">
        <v>34</v>
      </c>
      <c r="G2683" s="9">
        <v>361</v>
      </c>
      <c r="H2683" s="5" t="s">
        <v>20</v>
      </c>
      <c r="I2683" s="5" t="s">
        <v>6449</v>
      </c>
      <c r="J2683" s="12" t="str">
        <f>HYPERLINK("https://www.boe.es/gazeta/dias/1805/04/26/pdfs/GMD-1805-34.pdf#page=5","Abrir facsímil")</f>
        <v>Abrir facsímil</v>
      </c>
      <c r="K2683" s="15" t="s">
        <v>22</v>
      </c>
    </row>
    <row r="2684" spans="1:11" ht="42" customHeight="1">
      <c r="A2684" s="4" t="s">
        <v>6450</v>
      </c>
      <c r="B2684" s="5" t="s">
        <v>6451</v>
      </c>
      <c r="C2684" s="5" t="s">
        <v>52</v>
      </c>
      <c r="D2684" s="5" t="s">
        <v>53</v>
      </c>
      <c r="E2684" s="5" t="s">
        <v>54</v>
      </c>
      <c r="F2684" s="9">
        <v>99</v>
      </c>
      <c r="G2684" s="9" t="s">
        <v>159</v>
      </c>
      <c r="H2684" s="5" t="s">
        <v>20</v>
      </c>
      <c r="I2684" s="5" t="s">
        <v>6452</v>
      </c>
      <c r="J2684" s="12" t="str">
        <f>HYPERLINK("https://www.boe.es/gazeta/dias/1805/12/10/pdfs/GMD-C-1805-99.pdf#page=3","Abrir facsímil")</f>
        <v>Abrir facsímil</v>
      </c>
      <c r="K2684" s="15" t="s">
        <v>22</v>
      </c>
    </row>
    <row r="2685" spans="1:11" ht="42" customHeight="1">
      <c r="A2685" s="4" t="s">
        <v>6453</v>
      </c>
      <c r="B2685" s="5" t="s">
        <v>6454</v>
      </c>
      <c r="C2685" s="5" t="s">
        <v>184</v>
      </c>
      <c r="D2685" s="5" t="s">
        <v>86</v>
      </c>
      <c r="E2685" s="5" t="s">
        <v>1445</v>
      </c>
      <c r="F2685" s="9">
        <v>6</v>
      </c>
      <c r="G2685" s="9">
        <v>67</v>
      </c>
      <c r="H2685" s="5" t="s">
        <v>20</v>
      </c>
      <c r="I2685" s="5" t="s">
        <v>6455</v>
      </c>
      <c r="J2685" s="12" t="str">
        <f>HYPERLINK("https://www.boe.es/gazeta/dias/1805/01/18/pdfs/GMD-1805-6.pdf#page=11","Abrir facsímil")</f>
        <v>Abrir facsímil</v>
      </c>
      <c r="K2685" s="15" t="s">
        <v>22</v>
      </c>
    </row>
    <row r="2686" spans="1:11" ht="42" customHeight="1">
      <c r="A2686" s="4" t="s">
        <v>6453</v>
      </c>
      <c r="B2686" s="5" t="s">
        <v>6454</v>
      </c>
      <c r="C2686" s="5" t="s">
        <v>35</v>
      </c>
      <c r="D2686" s="5" t="s">
        <v>36</v>
      </c>
      <c r="E2686" s="5" t="s">
        <v>103</v>
      </c>
      <c r="F2686" s="9">
        <v>30</v>
      </c>
      <c r="G2686" s="9">
        <v>323</v>
      </c>
      <c r="H2686" s="5" t="s">
        <v>20</v>
      </c>
      <c r="I2686" s="5" t="s">
        <v>6456</v>
      </c>
      <c r="J2686" s="12" t="str">
        <f>HYPERLINK("https://www.boe.es/gazeta/dias/1805/04/12/pdfs/GMD-1805-30.pdf#page=7","Abrir facsímil")</f>
        <v>Abrir facsímil</v>
      </c>
      <c r="K2686" s="15" t="s">
        <v>22</v>
      </c>
    </row>
    <row r="2687" spans="1:11" ht="42" customHeight="1">
      <c r="A2687" s="4" t="s">
        <v>6457</v>
      </c>
      <c r="B2687" s="5" t="s">
        <v>6458</v>
      </c>
      <c r="C2687" s="5" t="s">
        <v>52</v>
      </c>
      <c r="D2687" s="5" t="s">
        <v>53</v>
      </c>
      <c r="E2687" s="5" t="s">
        <v>54</v>
      </c>
      <c r="F2687" s="9">
        <v>99</v>
      </c>
      <c r="G2687" s="9" t="s">
        <v>55</v>
      </c>
      <c r="H2687" s="5" t="s">
        <v>20</v>
      </c>
      <c r="I2687" s="5" t="s">
        <v>6459</v>
      </c>
      <c r="J2687" s="12" t="str">
        <f>HYPERLINK("https://www.boe.es/gazeta/dias/1805/12/10/pdfs/GMD-C-1805-99.pdf#page=4","Abrir facsímil")</f>
        <v>Abrir facsímil</v>
      </c>
      <c r="K2687" s="15" t="s">
        <v>22</v>
      </c>
    </row>
    <row r="2688" spans="1:11" ht="42" customHeight="1">
      <c r="A2688" s="4" t="s">
        <v>6460</v>
      </c>
      <c r="B2688" s="5" t="s">
        <v>6461</v>
      </c>
      <c r="C2688" s="5" t="s">
        <v>184</v>
      </c>
      <c r="D2688" s="5" t="s">
        <v>86</v>
      </c>
      <c r="E2688" s="5" t="s">
        <v>128</v>
      </c>
      <c r="F2688" s="9">
        <v>23</v>
      </c>
      <c r="G2688" s="9">
        <v>247</v>
      </c>
      <c r="H2688" s="5" t="s">
        <v>20</v>
      </c>
      <c r="I2688" s="5" t="s">
        <v>6462</v>
      </c>
      <c r="J2688" s="12" t="str">
        <f>HYPERLINK("https://www.boe.es/gazeta/dias/1805/03/19/pdfs/GMD-1805-23.pdf#page=11","Abrir facsímil")</f>
        <v>Abrir facsímil</v>
      </c>
      <c r="K2688" s="15" t="s">
        <v>22</v>
      </c>
    </row>
    <row r="2689" spans="1:11" ht="42" customHeight="1">
      <c r="A2689" s="4" t="s">
        <v>6460</v>
      </c>
      <c r="B2689" s="5" t="s">
        <v>6461</v>
      </c>
      <c r="C2689" s="5" t="s">
        <v>35</v>
      </c>
      <c r="D2689" s="5" t="s">
        <v>36</v>
      </c>
      <c r="E2689" s="5" t="s">
        <v>399</v>
      </c>
      <c r="F2689" s="9">
        <v>39</v>
      </c>
      <c r="G2689" s="9">
        <v>423</v>
      </c>
      <c r="H2689" s="5" t="s">
        <v>20</v>
      </c>
      <c r="I2689" s="5" t="s">
        <v>6463</v>
      </c>
      <c r="J2689" s="12" t="str">
        <f>HYPERLINK("https://www.boe.es/gazeta/dias/1805/05/14/pdfs/GMD-1805-39.pdf#page=11","Abrir facsímil")</f>
        <v>Abrir facsímil</v>
      </c>
      <c r="K2689" s="15" t="s">
        <v>22</v>
      </c>
    </row>
    <row r="2690" spans="1:11" ht="42" customHeight="1">
      <c r="A2690" s="4" t="s">
        <v>6460</v>
      </c>
      <c r="B2690" s="5" t="s">
        <v>6461</v>
      </c>
      <c r="C2690" s="5" t="s">
        <v>35</v>
      </c>
      <c r="D2690" s="5" t="s">
        <v>36</v>
      </c>
      <c r="E2690" s="5" t="s">
        <v>399</v>
      </c>
      <c r="F2690" s="9">
        <v>39</v>
      </c>
      <c r="G2690" s="9">
        <v>424</v>
      </c>
      <c r="H2690" s="5" t="s">
        <v>20</v>
      </c>
      <c r="I2690" s="5" t="s">
        <v>6464</v>
      </c>
      <c r="J2690" s="12" t="str">
        <f>HYPERLINK("https://www.boe.es/gazeta/dias/1805/05/14/pdfs/GMD-1805-39.pdf#page=12","Abrir facsímil")</f>
        <v>Abrir facsímil</v>
      </c>
      <c r="K2690" s="15" t="s">
        <v>22</v>
      </c>
    </row>
    <row r="2691" spans="1:11" ht="42" customHeight="1">
      <c r="A2691" s="4" t="s">
        <v>6460</v>
      </c>
      <c r="B2691" s="5" t="s">
        <v>6461</v>
      </c>
      <c r="C2691" s="5" t="s">
        <v>29</v>
      </c>
      <c r="D2691" s="5" t="s">
        <v>30</v>
      </c>
      <c r="E2691" s="5" t="s">
        <v>352</v>
      </c>
      <c r="F2691" s="9">
        <v>60</v>
      </c>
      <c r="G2691" s="9">
        <v>646</v>
      </c>
      <c r="H2691" s="5" t="s">
        <v>20</v>
      </c>
      <c r="I2691" s="5" t="s">
        <v>6465</v>
      </c>
      <c r="J2691" s="12" t="str">
        <f>HYPERLINK("https://www.boe.es/gazeta/dias/1805/07/26/pdfs/GMD-1805-60.pdf#page=10","Abrir facsímil")</f>
        <v>Abrir facsímil</v>
      </c>
      <c r="K2691" s="15" t="s">
        <v>22</v>
      </c>
    </row>
    <row r="2692" spans="1:11" ht="42" customHeight="1">
      <c r="A2692" s="4" t="s">
        <v>6460</v>
      </c>
      <c r="B2692" s="5" t="s">
        <v>6461</v>
      </c>
      <c r="C2692" s="5" t="s">
        <v>35</v>
      </c>
      <c r="D2692" s="5" t="s">
        <v>36</v>
      </c>
      <c r="E2692" s="5" t="s">
        <v>19</v>
      </c>
      <c r="F2692" s="9">
        <v>86</v>
      </c>
      <c r="G2692" s="9">
        <v>915</v>
      </c>
      <c r="H2692" s="5" t="s">
        <v>20</v>
      </c>
      <c r="I2692" s="5" t="s">
        <v>6466</v>
      </c>
      <c r="J2692" s="12" t="str">
        <f>HYPERLINK("https://www.boe.es/gazeta/dias/1805/10/25/pdfs/GMD-1805-86.pdf#page=11","Abrir facsímil")</f>
        <v>Abrir facsímil</v>
      </c>
      <c r="K2692" s="15" t="s">
        <v>22</v>
      </c>
    </row>
    <row r="2693" spans="1:11" ht="42" customHeight="1">
      <c r="A2693" s="4" t="s">
        <v>6467</v>
      </c>
      <c r="B2693" s="5" t="s">
        <v>6468</v>
      </c>
      <c r="C2693" s="5" t="s">
        <v>52</v>
      </c>
      <c r="D2693" s="5" t="s">
        <v>53</v>
      </c>
      <c r="E2693" s="5" t="s">
        <v>144</v>
      </c>
      <c r="F2693" s="9">
        <v>85</v>
      </c>
      <c r="G2693" s="9" t="s">
        <v>145</v>
      </c>
      <c r="H2693" s="5" t="s">
        <v>20</v>
      </c>
      <c r="I2693" s="5" t="s">
        <v>6469</v>
      </c>
      <c r="J2693" s="12" t="str">
        <f>HYPERLINK("https://www.boe.es/gazeta/dias/1805/10/22/pdfs/GMD-C-1805-85.pdf#page=2","Abrir facsímil")</f>
        <v>Abrir facsímil</v>
      </c>
      <c r="K2693" s="15" t="s">
        <v>22</v>
      </c>
    </row>
    <row r="2694" spans="1:11" ht="42" customHeight="1">
      <c r="A2694" s="4" t="s">
        <v>6470</v>
      </c>
      <c r="B2694" s="5" t="s">
        <v>6471</v>
      </c>
      <c r="C2694" s="5" t="s">
        <v>17</v>
      </c>
      <c r="D2694" s="5" t="s">
        <v>18</v>
      </c>
      <c r="E2694" s="5" t="s">
        <v>286</v>
      </c>
      <c r="F2694" s="9">
        <v>48</v>
      </c>
      <c r="G2694" s="9">
        <v>521</v>
      </c>
      <c r="H2694" s="5" t="s">
        <v>20</v>
      </c>
      <c r="I2694" s="5" t="s">
        <v>6472</v>
      </c>
      <c r="J2694" s="12" t="str">
        <f>HYPERLINK("https://www.boe.es/gazeta/dias/1805/06/14/pdfs/GMD-1805-48.pdf#page=9","Abrir facsímil")</f>
        <v>Abrir facsímil</v>
      </c>
      <c r="K2694" s="15" t="s">
        <v>22</v>
      </c>
    </row>
    <row r="2695" spans="1:11" ht="42" customHeight="1">
      <c r="A2695" s="4" t="s">
        <v>6470</v>
      </c>
      <c r="B2695" s="5" t="s">
        <v>6471</v>
      </c>
      <c r="C2695" s="5" t="s">
        <v>35</v>
      </c>
      <c r="D2695" s="5" t="s">
        <v>36</v>
      </c>
      <c r="E2695" s="5" t="s">
        <v>276</v>
      </c>
      <c r="F2695" s="9">
        <v>51</v>
      </c>
      <c r="G2695" s="9">
        <v>551</v>
      </c>
      <c r="H2695" s="5" t="s">
        <v>20</v>
      </c>
      <c r="I2695" s="5" t="s">
        <v>6473</v>
      </c>
      <c r="J2695" s="12" t="str">
        <f>HYPERLINK("https://www.boe.es/gazeta/dias/1805/06/25/pdfs/GMD-1805-51.pdf#page=7","Abrir facsímil")</f>
        <v>Abrir facsímil</v>
      </c>
      <c r="K2695" s="15" t="s">
        <v>22</v>
      </c>
    </row>
    <row r="2696" spans="1:11" ht="42" customHeight="1">
      <c r="A2696" s="4" t="s">
        <v>6470</v>
      </c>
      <c r="B2696" s="5" t="s">
        <v>6471</v>
      </c>
      <c r="C2696" s="5" t="s">
        <v>17</v>
      </c>
      <c r="D2696" s="5" t="s">
        <v>18</v>
      </c>
      <c r="E2696" s="5" t="s">
        <v>506</v>
      </c>
      <c r="F2696" s="9">
        <v>80</v>
      </c>
      <c r="G2696" s="9">
        <v>849</v>
      </c>
      <c r="H2696" s="5" t="s">
        <v>20</v>
      </c>
      <c r="I2696" s="5" t="s">
        <v>6474</v>
      </c>
      <c r="J2696" s="12" t="str">
        <f>HYPERLINK("https://www.boe.es/gazeta/dias/1805/10/04/pdfs/GMD-1805-80.pdf#page=9","Abrir facsímil")</f>
        <v>Abrir facsímil</v>
      </c>
      <c r="K2696" s="15" t="s">
        <v>22</v>
      </c>
    </row>
    <row r="2697" spans="1:11" ht="42" customHeight="1">
      <c r="A2697" s="4" t="s">
        <v>6475</v>
      </c>
      <c r="B2697" s="5" t="s">
        <v>6476</v>
      </c>
      <c r="C2697" s="5" t="s">
        <v>35</v>
      </c>
      <c r="D2697" s="5" t="s">
        <v>36</v>
      </c>
      <c r="E2697" s="5" t="s">
        <v>91</v>
      </c>
      <c r="F2697" s="9">
        <v>28</v>
      </c>
      <c r="G2697" s="9">
        <v>299</v>
      </c>
      <c r="H2697" s="5" t="s">
        <v>20</v>
      </c>
      <c r="I2697" s="5" t="s">
        <v>6477</v>
      </c>
      <c r="J2697" s="12" t="str">
        <f>HYPERLINK("https://www.boe.es/gazeta/dias/1805/04/05/pdfs/GMD-1805-28.pdf#page=7","Abrir facsímil")</f>
        <v>Abrir facsímil</v>
      </c>
      <c r="K2697" s="15" t="s">
        <v>22</v>
      </c>
    </row>
    <row r="2698" spans="1:11" ht="42" customHeight="1">
      <c r="A2698" s="4" t="s">
        <v>6475</v>
      </c>
      <c r="B2698" s="5" t="s">
        <v>6476</v>
      </c>
      <c r="C2698" s="5" t="s">
        <v>35</v>
      </c>
      <c r="D2698" s="5" t="s">
        <v>36</v>
      </c>
      <c r="E2698" s="5" t="s">
        <v>539</v>
      </c>
      <c r="F2698" s="9">
        <v>97</v>
      </c>
      <c r="G2698" s="9">
        <v>1045</v>
      </c>
      <c r="H2698" s="5" t="s">
        <v>20</v>
      </c>
      <c r="I2698" s="5" t="s">
        <v>6478</v>
      </c>
      <c r="J2698" s="12" t="str">
        <f>HYPERLINK("https://www.boe.es/gazeta/dias/1805/12/03/pdfs/GMD-1805-97.pdf#page=9","Abrir facsímil")</f>
        <v>Abrir facsímil</v>
      </c>
      <c r="K2698" s="15" t="s">
        <v>22</v>
      </c>
    </row>
    <row r="2699" spans="1:11" ht="42" customHeight="1">
      <c r="A2699" s="4" t="s">
        <v>6475</v>
      </c>
      <c r="B2699" s="5" t="s">
        <v>6476</v>
      </c>
      <c r="C2699" s="5" t="s">
        <v>35</v>
      </c>
      <c r="D2699" s="5" t="s">
        <v>36</v>
      </c>
      <c r="E2699" s="5" t="s">
        <v>192</v>
      </c>
      <c r="F2699" s="9">
        <v>105</v>
      </c>
      <c r="G2699" s="9">
        <v>1137</v>
      </c>
      <c r="H2699" s="5" t="s">
        <v>20</v>
      </c>
      <c r="I2699" s="5" t="s">
        <v>6479</v>
      </c>
      <c r="J2699" s="12" t="str">
        <f>HYPERLINK("https://www.boe.es/gazeta/dias/1805/12/31/pdfs/GMD-1805-105.pdf#page=9","Abrir facsímil")</f>
        <v>Abrir facsímil</v>
      </c>
      <c r="K2699" s="15" t="s">
        <v>22</v>
      </c>
    </row>
    <row r="2700" spans="1:11" ht="42" customHeight="1">
      <c r="A2700" s="4" t="s">
        <v>6480</v>
      </c>
      <c r="B2700" s="5" t="s">
        <v>6481</v>
      </c>
      <c r="C2700" s="5" t="s">
        <v>85</v>
      </c>
      <c r="D2700" s="5" t="s">
        <v>86</v>
      </c>
      <c r="E2700" s="5" t="s">
        <v>1221</v>
      </c>
      <c r="F2700" s="9">
        <v>41</v>
      </c>
      <c r="G2700" s="9">
        <v>442</v>
      </c>
      <c r="H2700" s="5" t="s">
        <v>20</v>
      </c>
      <c r="I2700" s="5" t="s">
        <v>6482</v>
      </c>
      <c r="J2700" s="12" t="str">
        <f>HYPERLINK("https://www.boe.es/gazeta/dias/1805/05/21/pdfs/GMD-1805-41.pdf#page=10","Abrir facsímil")</f>
        <v>Abrir facsímil</v>
      </c>
      <c r="K2700" s="15" t="s">
        <v>22</v>
      </c>
    </row>
    <row r="2701" spans="1:11" ht="42" customHeight="1">
      <c r="A2701" s="4" t="s">
        <v>6483</v>
      </c>
      <c r="B2701" s="5" t="s">
        <v>6484</v>
      </c>
      <c r="C2701" s="5" t="s">
        <v>85</v>
      </c>
      <c r="D2701" s="5" t="s">
        <v>86</v>
      </c>
      <c r="E2701" s="5" t="s">
        <v>107</v>
      </c>
      <c r="F2701" s="9">
        <v>19</v>
      </c>
      <c r="G2701" s="9">
        <v>198</v>
      </c>
      <c r="H2701" s="5" t="s">
        <v>20</v>
      </c>
      <c r="I2701" s="5" t="s">
        <v>6485</v>
      </c>
      <c r="J2701" s="12" t="str">
        <f>HYPERLINK("https://www.boe.es/gazeta/dias/1805/03/05/pdfs/GMD-1805-19.pdf#page=10","Abrir facsímil")</f>
        <v>Abrir facsímil</v>
      </c>
      <c r="K2701" s="15" t="s">
        <v>22</v>
      </c>
    </row>
    <row r="2702" spans="1:11" ht="42" customHeight="1">
      <c r="A2702" s="4" t="s">
        <v>6483</v>
      </c>
      <c r="B2702" s="5" t="s">
        <v>6484</v>
      </c>
      <c r="C2702" s="5" t="s">
        <v>35</v>
      </c>
      <c r="D2702" s="5" t="s">
        <v>36</v>
      </c>
      <c r="E2702" s="5" t="s">
        <v>91</v>
      </c>
      <c r="F2702" s="9">
        <v>28</v>
      </c>
      <c r="G2702" s="9">
        <v>300</v>
      </c>
      <c r="H2702" s="5" t="s">
        <v>20</v>
      </c>
      <c r="I2702" s="5" t="s">
        <v>6486</v>
      </c>
      <c r="J2702" s="12" t="str">
        <f>HYPERLINK("https://www.boe.es/gazeta/dias/1805/04/05/pdfs/GMD-1805-28.pdf#page=8","Abrir facsímil")</f>
        <v>Abrir facsímil</v>
      </c>
      <c r="K2702" s="15" t="s">
        <v>22</v>
      </c>
    </row>
    <row r="2703" spans="1:11" ht="42" customHeight="1">
      <c r="A2703" s="4" t="s">
        <v>6483</v>
      </c>
      <c r="B2703" s="5" t="s">
        <v>6484</v>
      </c>
      <c r="C2703" s="5" t="s">
        <v>35</v>
      </c>
      <c r="D2703" s="5" t="s">
        <v>36</v>
      </c>
      <c r="E2703" s="5" t="s">
        <v>539</v>
      </c>
      <c r="F2703" s="9">
        <v>97</v>
      </c>
      <c r="G2703" s="9">
        <v>1045</v>
      </c>
      <c r="H2703" s="5" t="s">
        <v>20</v>
      </c>
      <c r="I2703" s="5" t="s">
        <v>6487</v>
      </c>
      <c r="J2703" s="12" t="str">
        <f>HYPERLINK("https://www.boe.es/gazeta/dias/1805/12/03/pdfs/GMD-1805-97.pdf#page=9","Abrir facsímil")</f>
        <v>Abrir facsímil</v>
      </c>
      <c r="K2703" s="15" t="s">
        <v>22</v>
      </c>
    </row>
    <row r="2704" spans="1:11" ht="42" customHeight="1">
      <c r="A2704" s="4" t="s">
        <v>6488</v>
      </c>
      <c r="B2704" s="5" t="s">
        <v>6489</v>
      </c>
      <c r="C2704" s="5" t="s">
        <v>52</v>
      </c>
      <c r="D2704" s="5" t="s">
        <v>53</v>
      </c>
      <c r="E2704" s="5" t="s">
        <v>144</v>
      </c>
      <c r="F2704" s="9">
        <v>85</v>
      </c>
      <c r="G2704" s="9" t="s">
        <v>145</v>
      </c>
      <c r="H2704" s="5" t="s">
        <v>20</v>
      </c>
      <c r="I2704" s="5" t="s">
        <v>6490</v>
      </c>
      <c r="J2704" s="12" t="str">
        <f>HYPERLINK("https://www.boe.es/gazeta/dias/1805/10/22/pdfs/GMD-C-1805-85.pdf#page=2","Abrir facsímil")</f>
        <v>Abrir facsímil</v>
      </c>
      <c r="K2704" s="15" t="s">
        <v>22</v>
      </c>
    </row>
    <row r="2705" spans="1:11" ht="42" customHeight="1">
      <c r="A2705" s="4" t="s">
        <v>6491</v>
      </c>
      <c r="B2705" s="5" t="s">
        <v>6492</v>
      </c>
      <c r="C2705" s="5" t="s">
        <v>35</v>
      </c>
      <c r="D2705" s="5" t="s">
        <v>36</v>
      </c>
      <c r="E2705" s="5" t="s">
        <v>144</v>
      </c>
      <c r="F2705" s="9">
        <v>85</v>
      </c>
      <c r="G2705" s="9">
        <v>901</v>
      </c>
      <c r="H2705" s="5" t="s">
        <v>20</v>
      </c>
      <c r="I2705" s="5" t="s">
        <v>6493</v>
      </c>
      <c r="J2705" s="12" t="str">
        <f>HYPERLINK("https://www.boe.es/gazeta/dias/1805/10/22/pdfs/GMD-1805-85.pdf#page=9","Abrir facsímil")</f>
        <v>Abrir facsímil</v>
      </c>
      <c r="K2705" s="15" t="s">
        <v>22</v>
      </c>
    </row>
    <row r="2706" spans="1:11" ht="42" customHeight="1">
      <c r="A2706" s="4" t="s">
        <v>6494</v>
      </c>
      <c r="B2706" s="5" t="s">
        <v>6495</v>
      </c>
      <c r="C2706" s="5" t="s">
        <v>35</v>
      </c>
      <c r="D2706" s="5" t="s">
        <v>36</v>
      </c>
      <c r="E2706" s="5" t="s">
        <v>456</v>
      </c>
      <c r="F2706" s="9">
        <v>70</v>
      </c>
      <c r="G2706" s="9">
        <v>746</v>
      </c>
      <c r="H2706" s="5" t="s">
        <v>20</v>
      </c>
      <c r="I2706" s="5" t="s">
        <v>6496</v>
      </c>
      <c r="J2706" s="12" t="str">
        <f>HYPERLINK("https://www.boe.es/gazeta/dias/1805/08/30/pdfs/GMD-1805-70.pdf#page=6","Abrir facsímil")</f>
        <v>Abrir facsímil</v>
      </c>
      <c r="K2706" s="15" t="s">
        <v>22</v>
      </c>
    </row>
    <row r="2707" spans="1:11" ht="42" customHeight="1">
      <c r="A2707" s="4" t="s">
        <v>6497</v>
      </c>
      <c r="B2707" s="5" t="s">
        <v>6498</v>
      </c>
      <c r="C2707" s="5" t="s">
        <v>35</v>
      </c>
      <c r="D2707" s="5" t="s">
        <v>36</v>
      </c>
      <c r="E2707" s="5" t="s">
        <v>188</v>
      </c>
      <c r="F2707" s="9">
        <v>68</v>
      </c>
      <c r="G2707" s="9">
        <v>729</v>
      </c>
      <c r="H2707" s="5" t="s">
        <v>20</v>
      </c>
      <c r="I2707" s="5" t="s">
        <v>6499</v>
      </c>
      <c r="J2707" s="12" t="str">
        <f>HYPERLINK("https://www.boe.es/gazeta/dias/1805/08/23/pdfs/GMD-1805-68.pdf#page=9","Abrir facsímil")</f>
        <v>Abrir facsímil</v>
      </c>
      <c r="K2707" s="15" t="s">
        <v>22</v>
      </c>
    </row>
    <row r="2708" spans="1:11" ht="42" customHeight="1">
      <c r="A2708" s="4" t="s">
        <v>6500</v>
      </c>
      <c r="B2708" s="5" t="s">
        <v>6501</v>
      </c>
      <c r="C2708" s="5" t="s">
        <v>35</v>
      </c>
      <c r="D2708" s="5" t="s">
        <v>36</v>
      </c>
      <c r="E2708" s="5" t="s">
        <v>1292</v>
      </c>
      <c r="F2708" s="9">
        <v>43</v>
      </c>
      <c r="G2708" s="9">
        <v>462</v>
      </c>
      <c r="H2708" s="5" t="s">
        <v>20</v>
      </c>
      <c r="I2708" s="5" t="s">
        <v>6502</v>
      </c>
      <c r="J2708" s="12" t="str">
        <f>HYPERLINK("https://www.boe.es/gazeta/dias/1805/05/28/pdfs/GMD-1805-43.pdf#page=6","Abrir facsímil")</f>
        <v>Abrir facsímil</v>
      </c>
      <c r="K2708" s="15" t="s">
        <v>22</v>
      </c>
    </row>
    <row r="2709" spans="1:11" ht="42" customHeight="1">
      <c r="A2709" s="4" t="s">
        <v>6503</v>
      </c>
      <c r="B2709" s="5" t="s">
        <v>6504</v>
      </c>
      <c r="C2709" s="5" t="s">
        <v>35</v>
      </c>
      <c r="D2709" s="5" t="s">
        <v>36</v>
      </c>
      <c r="E2709" s="5" t="s">
        <v>217</v>
      </c>
      <c r="F2709" s="9">
        <v>96</v>
      </c>
      <c r="G2709" s="9">
        <v>1030</v>
      </c>
      <c r="H2709" s="5" t="s">
        <v>20</v>
      </c>
      <c r="I2709" s="5" t="s">
        <v>6505</v>
      </c>
      <c r="J2709" s="12" t="str">
        <f>HYPERLINK("https://www.boe.es/gazeta/dias/1805/11/29/pdfs/GMD-1805-96.pdf#page=6","Abrir facsímil")</f>
        <v>Abrir facsímil</v>
      </c>
      <c r="K2709" s="15" t="s">
        <v>22</v>
      </c>
    </row>
    <row r="2710" spans="1:11" ht="42" customHeight="1">
      <c r="A2710" s="4" t="s">
        <v>6506</v>
      </c>
      <c r="B2710" s="5" t="s">
        <v>6507</v>
      </c>
      <c r="C2710" s="5" t="s">
        <v>35</v>
      </c>
      <c r="D2710" s="5" t="s">
        <v>36</v>
      </c>
      <c r="E2710" s="5" t="s">
        <v>117</v>
      </c>
      <c r="F2710" s="9">
        <v>20</v>
      </c>
      <c r="G2710" s="9">
        <v>205</v>
      </c>
      <c r="H2710" s="5" t="s">
        <v>20</v>
      </c>
      <c r="I2710" s="5" t="s">
        <v>6508</v>
      </c>
      <c r="J2710" s="12" t="str">
        <f>HYPERLINK("https://www.boe.es/gazeta/dias/1805/03/08/pdfs/GMD-1805-20.pdf#page=5","Abrir facsímil")</f>
        <v>Abrir facsímil</v>
      </c>
      <c r="K2710" s="15" t="s">
        <v>22</v>
      </c>
    </row>
    <row r="2711" spans="1:11" ht="42" customHeight="1">
      <c r="A2711" s="4" t="s">
        <v>6509</v>
      </c>
      <c r="B2711" s="5" t="s">
        <v>6510</v>
      </c>
      <c r="C2711" s="5" t="s">
        <v>80</v>
      </c>
      <c r="D2711" s="5" t="s">
        <v>81</v>
      </c>
      <c r="E2711" s="5" t="s">
        <v>456</v>
      </c>
      <c r="F2711" s="9">
        <v>70</v>
      </c>
      <c r="G2711" s="9">
        <v>744</v>
      </c>
      <c r="H2711" s="5" t="s">
        <v>20</v>
      </c>
      <c r="I2711" s="5" t="s">
        <v>6511</v>
      </c>
      <c r="J2711" s="12" t="str">
        <f>HYPERLINK("https://www.boe.es/gazeta/dias/1805/08/30/pdfs/GMD-1805-70.pdf#page=4","Abrir facsímil")</f>
        <v>Abrir facsímil</v>
      </c>
      <c r="K2711" s="15" t="s">
        <v>22</v>
      </c>
    </row>
    <row r="2712" spans="1:11" ht="42" customHeight="1">
      <c r="A2712" s="4" t="s">
        <v>6512</v>
      </c>
      <c r="B2712" s="5" t="s">
        <v>6512</v>
      </c>
      <c r="C2712" s="5" t="s">
        <v>17</v>
      </c>
      <c r="D2712" s="5" t="s">
        <v>18</v>
      </c>
      <c r="E2712" s="5" t="s">
        <v>24</v>
      </c>
      <c r="F2712" s="9">
        <v>11</v>
      </c>
      <c r="G2712" s="9">
        <v>119</v>
      </c>
      <c r="H2712" s="5" t="s">
        <v>20</v>
      </c>
      <c r="I2712" s="5" t="s">
        <v>6513</v>
      </c>
      <c r="J2712" s="12" t="str">
        <f>HYPERLINK("https://www.boe.es/gazeta/dias/1805/02/05/pdfs/GMD-1805-11.pdf#page=7","Abrir facsímil")</f>
        <v>Abrir facsímil</v>
      </c>
      <c r="K2712" s="15" t="s">
        <v>22</v>
      </c>
    </row>
    <row r="2713" spans="1:11" ht="42" customHeight="1">
      <c r="A2713" s="4" t="s">
        <v>6514</v>
      </c>
      <c r="B2713" s="5" t="s">
        <v>6515</v>
      </c>
      <c r="C2713" s="5" t="s">
        <v>80</v>
      </c>
      <c r="D2713" s="5" t="s">
        <v>81</v>
      </c>
      <c r="E2713" s="5" t="s">
        <v>144</v>
      </c>
      <c r="F2713" s="9">
        <v>85</v>
      </c>
      <c r="G2713" s="9">
        <v>900</v>
      </c>
      <c r="H2713" s="5" t="s">
        <v>20</v>
      </c>
      <c r="I2713" s="5" t="s">
        <v>6516</v>
      </c>
      <c r="J2713" s="12" t="str">
        <f>HYPERLINK("https://www.boe.es/gazeta/dias/1805/10/22/pdfs/GMD-1805-85.pdf#page=8","Abrir facsímil")</f>
        <v>Abrir facsímil</v>
      </c>
      <c r="K2713" s="15" t="s">
        <v>22</v>
      </c>
    </row>
    <row r="2714" spans="1:11" ht="42" customHeight="1">
      <c r="A2714" s="4" t="s">
        <v>6517</v>
      </c>
      <c r="B2714" s="5" t="s">
        <v>6517</v>
      </c>
      <c r="C2714" s="5" t="s">
        <v>17</v>
      </c>
      <c r="D2714" s="5" t="s">
        <v>18</v>
      </c>
      <c r="E2714" s="5" t="s">
        <v>114</v>
      </c>
      <c r="F2714" s="9">
        <v>17</v>
      </c>
      <c r="G2714" s="9">
        <v>176</v>
      </c>
      <c r="H2714" s="5" t="s">
        <v>20</v>
      </c>
      <c r="I2714" s="5" t="s">
        <v>6518</v>
      </c>
      <c r="J2714" s="12" t="str">
        <f>HYPERLINK("https://www.boe.es/gazeta/dias/1805/02/26/pdfs/GMD-1805-17.pdf#page=8","Abrir facsímil")</f>
        <v>Abrir facsímil</v>
      </c>
      <c r="K2714" s="15" t="s">
        <v>22</v>
      </c>
    </row>
    <row r="2715" spans="1:11" ht="42" customHeight="1">
      <c r="A2715" s="4" t="s">
        <v>6519</v>
      </c>
      <c r="B2715" s="5" t="s">
        <v>6520</v>
      </c>
      <c r="C2715" s="5" t="s">
        <v>35</v>
      </c>
      <c r="D2715" s="5" t="s">
        <v>36</v>
      </c>
      <c r="E2715" s="5" t="s">
        <v>138</v>
      </c>
      <c r="F2715" s="9">
        <v>102</v>
      </c>
      <c r="G2715" s="9">
        <v>1099</v>
      </c>
      <c r="H2715" s="5" t="s">
        <v>20</v>
      </c>
      <c r="I2715" s="5" t="s">
        <v>6521</v>
      </c>
      <c r="J2715" s="12" t="str">
        <f>HYPERLINK("https://www.boe.es/gazeta/dias/1805/12/20/pdfs/GMD-1805-102.pdf#page=3","Abrir facsímil")</f>
        <v>Abrir facsímil</v>
      </c>
      <c r="K2715" s="15" t="s">
        <v>22</v>
      </c>
    </row>
    <row r="2716" spans="1:11" ht="42" customHeight="1">
      <c r="A2716" s="4" t="s">
        <v>6522</v>
      </c>
      <c r="B2716" s="5" t="s">
        <v>6523</v>
      </c>
      <c r="C2716" s="5" t="s">
        <v>29</v>
      </c>
      <c r="D2716" s="5" t="s">
        <v>30</v>
      </c>
      <c r="E2716" s="5" t="s">
        <v>63</v>
      </c>
      <c r="F2716" s="9">
        <v>101</v>
      </c>
      <c r="G2716" s="9">
        <v>1090</v>
      </c>
      <c r="H2716" s="5" t="s">
        <v>20</v>
      </c>
      <c r="I2716" s="5" t="s">
        <v>6524</v>
      </c>
      <c r="J2716" s="12" t="str">
        <f>HYPERLINK("https://www.boe.es/gazeta/dias/1805/12/17/pdfs/GMD-1805-101.pdf#page=6","Abrir facsímil")</f>
        <v>Abrir facsímil</v>
      </c>
      <c r="K2716" s="15" t="s">
        <v>22</v>
      </c>
    </row>
    <row r="2717" spans="1:11" ht="42" customHeight="1">
      <c r="A2717" s="4" t="s">
        <v>6525</v>
      </c>
      <c r="B2717" s="5" t="s">
        <v>6526</v>
      </c>
      <c r="C2717" s="5" t="s">
        <v>35</v>
      </c>
      <c r="D2717" s="5" t="s">
        <v>36</v>
      </c>
      <c r="E2717" s="5" t="s">
        <v>95</v>
      </c>
      <c r="F2717" s="9">
        <v>13</v>
      </c>
      <c r="G2717" s="9">
        <v>139</v>
      </c>
      <c r="H2717" s="5" t="s">
        <v>20</v>
      </c>
      <c r="I2717" s="5" t="s">
        <v>6527</v>
      </c>
      <c r="J2717" s="12" t="str">
        <f>HYPERLINK("https://www.boe.es/gazeta/dias/1805/02/12/pdfs/GMD-1805-13.pdf#page=7","Abrir facsímil")</f>
        <v>Abrir facsímil</v>
      </c>
      <c r="K2717" s="15" t="s">
        <v>22</v>
      </c>
    </row>
    <row r="2718" spans="1:11" ht="42" customHeight="1">
      <c r="A2718" s="4" t="s">
        <v>6528</v>
      </c>
      <c r="B2718" s="5" t="s">
        <v>6529</v>
      </c>
      <c r="C2718" s="5" t="s">
        <v>17</v>
      </c>
      <c r="D2718" s="5" t="s">
        <v>18</v>
      </c>
      <c r="E2718" s="5" t="s">
        <v>63</v>
      </c>
      <c r="F2718" s="9">
        <v>101</v>
      </c>
      <c r="G2718" s="9">
        <v>1092</v>
      </c>
      <c r="H2718" s="5" t="s">
        <v>20</v>
      </c>
      <c r="I2718" s="5" t="s">
        <v>6530</v>
      </c>
      <c r="J2718" s="12" t="str">
        <f>HYPERLINK("https://www.boe.es/gazeta/dias/1805/12/17/pdfs/GMD-1805-101.pdf#page=8","Abrir facsímil")</f>
        <v>Abrir facsímil</v>
      </c>
      <c r="K2718" s="15" t="s">
        <v>22</v>
      </c>
    </row>
    <row r="2719" spans="1:11" ht="42" customHeight="1">
      <c r="A2719" s="4" t="s">
        <v>6531</v>
      </c>
      <c r="B2719" s="5" t="s">
        <v>6531</v>
      </c>
      <c r="C2719" s="5" t="s">
        <v>80</v>
      </c>
      <c r="D2719" s="5" t="s">
        <v>81</v>
      </c>
      <c r="E2719" s="5" t="s">
        <v>711</v>
      </c>
      <c r="F2719" s="9">
        <v>63</v>
      </c>
      <c r="G2719" s="9">
        <v>670</v>
      </c>
      <c r="H2719" s="5" t="s">
        <v>20</v>
      </c>
      <c r="I2719" s="5" t="s">
        <v>6532</v>
      </c>
      <c r="J2719" s="12" t="str">
        <f>HYPERLINK("https://www.boe.es/gazeta/dias/1805/08/06/pdfs/GMD-1805-63.pdf#page=6","Abrir facsímil")</f>
        <v>Abrir facsímil</v>
      </c>
      <c r="K2719" s="15" t="s">
        <v>22</v>
      </c>
    </row>
    <row r="2720" spans="1:11" ht="42" customHeight="1">
      <c r="A2720" s="4" t="s">
        <v>6533</v>
      </c>
      <c r="B2720" s="5" t="s">
        <v>6534</v>
      </c>
      <c r="C2720" s="5" t="s">
        <v>35</v>
      </c>
      <c r="D2720" s="5" t="s">
        <v>36</v>
      </c>
      <c r="E2720" s="5" t="s">
        <v>1132</v>
      </c>
      <c r="F2720" s="9">
        <v>72</v>
      </c>
      <c r="G2720" s="9">
        <v>765</v>
      </c>
      <c r="H2720" s="5" t="s">
        <v>20</v>
      </c>
      <c r="I2720" s="5" t="s">
        <v>6535</v>
      </c>
      <c r="J2720" s="12" t="str">
        <f>HYPERLINK("https://www.boe.es/gazeta/dias/1805/09/06/pdfs/GMD-1805-72.pdf#page=5","Abrir facsímil")</f>
        <v>Abrir facsímil</v>
      </c>
      <c r="K2720" s="15" t="s">
        <v>22</v>
      </c>
    </row>
    <row r="2721" spans="1:11" ht="42" customHeight="1">
      <c r="A2721" s="4" t="s">
        <v>6536</v>
      </c>
      <c r="B2721" s="5" t="s">
        <v>6537</v>
      </c>
      <c r="C2721" s="5" t="s">
        <v>52</v>
      </c>
      <c r="D2721" s="5" t="s">
        <v>53</v>
      </c>
      <c r="E2721" s="5" t="s">
        <v>82</v>
      </c>
      <c r="F2721" s="9">
        <v>25</v>
      </c>
      <c r="G2721" s="9" t="s">
        <v>222</v>
      </c>
      <c r="H2721" s="5" t="s">
        <v>20</v>
      </c>
      <c r="I2721" s="5" t="s">
        <v>6538</v>
      </c>
      <c r="J2721" s="12" t="str">
        <f>HYPERLINK("https://www.boe.es/gazeta/dias/1805/03/26/pdfs/GMD-C-1805-25.pdf#page=1","Abrir facsímil")</f>
        <v>Abrir facsímil</v>
      </c>
      <c r="K2721" s="15" t="s">
        <v>22</v>
      </c>
    </row>
    <row r="2722" spans="1:11" ht="42" customHeight="1">
      <c r="A2722" s="4" t="s">
        <v>6539</v>
      </c>
      <c r="B2722" s="5" t="s">
        <v>6540</v>
      </c>
      <c r="C2722" s="5" t="s">
        <v>80</v>
      </c>
      <c r="D2722" s="5" t="s">
        <v>81</v>
      </c>
      <c r="E2722" s="5" t="s">
        <v>864</v>
      </c>
      <c r="F2722" s="9">
        <v>88</v>
      </c>
      <c r="G2722" s="9">
        <v>932</v>
      </c>
      <c r="H2722" s="5" t="s">
        <v>20</v>
      </c>
      <c r="I2722" s="5" t="s">
        <v>6541</v>
      </c>
      <c r="J2722" s="12" t="str">
        <f>HYPERLINK("https://www.boe.es/gazeta/dias/1805/11/01/pdfs/GMD-1805-88.pdf#page=4","Abrir facsímil")</f>
        <v>Abrir facsímil</v>
      </c>
      <c r="K2722" s="15" t="s">
        <v>22</v>
      </c>
    </row>
    <row r="2723" spans="1:11" ht="42" customHeight="1">
      <c r="A2723" s="4" t="s">
        <v>6542</v>
      </c>
      <c r="B2723" s="5" t="s">
        <v>6543</v>
      </c>
      <c r="C2723" s="5" t="s">
        <v>35</v>
      </c>
      <c r="D2723" s="5" t="s">
        <v>36</v>
      </c>
      <c r="E2723" s="5" t="s">
        <v>471</v>
      </c>
      <c r="F2723" s="9">
        <v>22</v>
      </c>
      <c r="G2723" s="9">
        <v>233</v>
      </c>
      <c r="H2723" s="5" t="s">
        <v>20</v>
      </c>
      <c r="I2723" s="5" t="s">
        <v>6544</v>
      </c>
      <c r="J2723" s="12" t="str">
        <f>HYPERLINK("https://www.boe.es/gazeta/dias/1805/03/15/pdfs/GMD-1805-22.pdf#page=9","Abrir facsímil")</f>
        <v>Abrir facsímil</v>
      </c>
      <c r="K2723" s="15" t="s">
        <v>22</v>
      </c>
    </row>
    <row r="2724" spans="1:11" ht="42" customHeight="1">
      <c r="A2724" s="4" t="s">
        <v>6545</v>
      </c>
      <c r="B2724" s="5" t="s">
        <v>6546</v>
      </c>
      <c r="C2724" s="5" t="s">
        <v>80</v>
      </c>
      <c r="D2724" s="5" t="s">
        <v>81</v>
      </c>
      <c r="E2724" s="5" t="s">
        <v>170</v>
      </c>
      <c r="F2724" s="9">
        <v>9</v>
      </c>
      <c r="G2724" s="9">
        <v>96</v>
      </c>
      <c r="H2724" s="5" t="s">
        <v>20</v>
      </c>
      <c r="I2724" s="5" t="s">
        <v>6547</v>
      </c>
      <c r="J2724" s="12" t="str">
        <f>HYPERLINK("https://www.boe.es/gazeta/dias/1805/01/29/pdfs/GMD-1805-9.pdf#page=4","Abrir facsímil")</f>
        <v>Abrir facsímil</v>
      </c>
      <c r="K2724" s="15" t="s">
        <v>22</v>
      </c>
    </row>
    <row r="2725" spans="1:11" ht="42" customHeight="1">
      <c r="A2725" s="4" t="s">
        <v>6548</v>
      </c>
      <c r="B2725" s="5" t="s">
        <v>6549</v>
      </c>
      <c r="C2725" s="5" t="s">
        <v>80</v>
      </c>
      <c r="D2725" s="5" t="s">
        <v>81</v>
      </c>
      <c r="E2725" s="5" t="s">
        <v>40</v>
      </c>
      <c r="F2725" s="9">
        <v>59</v>
      </c>
      <c r="G2725" s="9">
        <v>627</v>
      </c>
      <c r="H2725" s="5" t="s">
        <v>20</v>
      </c>
      <c r="I2725" s="5" t="s">
        <v>6550</v>
      </c>
      <c r="J2725" s="12" t="str">
        <f>HYPERLINK("https://www.boe.es/gazeta/dias/1805/07/23/pdfs/GMD-1805-59.pdf#page=3","Abrir facsímil")</f>
        <v>Abrir facsímil</v>
      </c>
      <c r="K2725" s="15" t="s">
        <v>22</v>
      </c>
    </row>
    <row r="2726" spans="1:11" ht="42" customHeight="1">
      <c r="A2726" s="4" t="s">
        <v>6551</v>
      </c>
      <c r="B2726" s="5" t="s">
        <v>6552</v>
      </c>
      <c r="C2726" s="5" t="s">
        <v>17</v>
      </c>
      <c r="D2726" s="5" t="s">
        <v>18</v>
      </c>
      <c r="E2726" s="5" t="s">
        <v>1132</v>
      </c>
      <c r="F2726" s="9">
        <v>72</v>
      </c>
      <c r="G2726" s="9">
        <v>765</v>
      </c>
      <c r="H2726" s="5" t="s">
        <v>20</v>
      </c>
      <c r="I2726" s="5" t="s">
        <v>6553</v>
      </c>
      <c r="J2726" s="12" t="str">
        <f>HYPERLINK("https://www.boe.es/gazeta/dias/1805/09/06/pdfs/GMD-1805-72.pdf#page=5","Abrir facsímil")</f>
        <v>Abrir facsímil</v>
      </c>
      <c r="K2726" s="15" t="s">
        <v>22</v>
      </c>
    </row>
    <row r="2727" spans="1:11" ht="42" customHeight="1">
      <c r="A2727" s="4" t="s">
        <v>6554</v>
      </c>
      <c r="B2727" s="5" t="s">
        <v>6555</v>
      </c>
      <c r="C2727" s="5" t="s">
        <v>17</v>
      </c>
      <c r="D2727" s="5" t="s">
        <v>18</v>
      </c>
      <c r="E2727" s="5" t="s">
        <v>831</v>
      </c>
      <c r="F2727" s="9">
        <v>62</v>
      </c>
      <c r="G2727" s="9">
        <v>662</v>
      </c>
      <c r="H2727" s="5" t="s">
        <v>20</v>
      </c>
      <c r="I2727" s="5" t="s">
        <v>6556</v>
      </c>
      <c r="J2727" s="12" t="str">
        <f>HYPERLINK("https://www.boe.es/gazeta/dias/1805/08/02/pdfs/GMD-1805-62.pdf#page=6","Abrir facsímil")</f>
        <v>Abrir facsímil</v>
      </c>
      <c r="K2727" s="15" t="s">
        <v>22</v>
      </c>
    </row>
    <row r="2728" spans="1:11" ht="42" customHeight="1">
      <c r="A2728" s="4" t="s">
        <v>6554</v>
      </c>
      <c r="B2728" s="5" t="s">
        <v>6555</v>
      </c>
      <c r="C2728" s="5" t="s">
        <v>17</v>
      </c>
      <c r="D2728" s="5" t="s">
        <v>18</v>
      </c>
      <c r="E2728" s="5" t="s">
        <v>711</v>
      </c>
      <c r="F2728" s="9">
        <v>63</v>
      </c>
      <c r="G2728" s="9">
        <v>673</v>
      </c>
      <c r="H2728" s="5" t="s">
        <v>20</v>
      </c>
      <c r="I2728" s="5" t="s">
        <v>6557</v>
      </c>
      <c r="J2728" s="12" t="str">
        <f>HYPERLINK("https://www.boe.es/gazeta/dias/1805/08/06/pdfs/GMD-1805-63.pdf#page=9","Abrir facsímil")</f>
        <v>Abrir facsímil</v>
      </c>
      <c r="K2728" s="15" t="s">
        <v>22</v>
      </c>
    </row>
    <row r="2729" spans="1:11" ht="42" customHeight="1">
      <c r="A2729" s="4" t="s">
        <v>6554</v>
      </c>
      <c r="B2729" s="5" t="s">
        <v>6555</v>
      </c>
      <c r="C2729" s="5" t="s">
        <v>17</v>
      </c>
      <c r="D2729" s="5" t="s">
        <v>18</v>
      </c>
      <c r="E2729" s="5" t="s">
        <v>585</v>
      </c>
      <c r="F2729" s="9">
        <v>64</v>
      </c>
      <c r="G2729" s="9">
        <v>685</v>
      </c>
      <c r="H2729" s="5" t="s">
        <v>20</v>
      </c>
      <c r="I2729" s="5" t="s">
        <v>6558</v>
      </c>
      <c r="J2729" s="12" t="str">
        <f>HYPERLINK("https://www.boe.es/gazeta/dias/1805/08/09/pdfs/GMD-1805-64.pdf#page=9","Abrir facsímil")</f>
        <v>Abrir facsímil</v>
      </c>
      <c r="K2729" s="15" t="s">
        <v>22</v>
      </c>
    </row>
    <row r="2730" spans="1:11" ht="42" customHeight="1">
      <c r="A2730" s="4" t="s">
        <v>6554</v>
      </c>
      <c r="B2730" s="5" t="s">
        <v>6555</v>
      </c>
      <c r="C2730" s="5" t="s">
        <v>17</v>
      </c>
      <c r="D2730" s="5" t="s">
        <v>18</v>
      </c>
      <c r="E2730" s="5" t="s">
        <v>585</v>
      </c>
      <c r="F2730" s="9">
        <v>64</v>
      </c>
      <c r="G2730" s="9">
        <v>686</v>
      </c>
      <c r="H2730" s="5" t="s">
        <v>20</v>
      </c>
      <c r="I2730" s="5" t="s">
        <v>6559</v>
      </c>
      <c r="J2730" s="12" t="str">
        <f>HYPERLINK("https://www.boe.es/gazeta/dias/1805/08/09/pdfs/GMD-1805-64.pdf#page=10","Abrir facsímil")</f>
        <v>Abrir facsímil</v>
      </c>
      <c r="K2730" s="15" t="s">
        <v>22</v>
      </c>
    </row>
    <row r="2731" spans="1:11" ht="42" customHeight="1">
      <c r="A2731" s="4" t="s">
        <v>6554</v>
      </c>
      <c r="B2731" s="5" t="s">
        <v>6555</v>
      </c>
      <c r="C2731" s="5" t="s">
        <v>80</v>
      </c>
      <c r="D2731" s="5" t="s">
        <v>81</v>
      </c>
      <c r="E2731" s="5" t="s">
        <v>456</v>
      </c>
      <c r="F2731" s="9">
        <v>70</v>
      </c>
      <c r="G2731" s="9">
        <v>744</v>
      </c>
      <c r="H2731" s="5" t="s">
        <v>20</v>
      </c>
      <c r="I2731" s="5" t="s">
        <v>6560</v>
      </c>
      <c r="J2731" s="12" t="str">
        <f>HYPERLINK("https://www.boe.es/gazeta/dias/1805/08/30/pdfs/GMD-1805-70.pdf#page=4","Abrir facsímil")</f>
        <v>Abrir facsímil</v>
      </c>
      <c r="K2731" s="15" t="s">
        <v>22</v>
      </c>
    </row>
    <row r="2732" spans="1:11" ht="42" customHeight="1">
      <c r="A2732" s="4" t="s">
        <v>6554</v>
      </c>
      <c r="B2732" s="5" t="s">
        <v>6555</v>
      </c>
      <c r="C2732" s="5" t="s">
        <v>17</v>
      </c>
      <c r="D2732" s="5" t="s">
        <v>18</v>
      </c>
      <c r="E2732" s="5" t="s">
        <v>209</v>
      </c>
      <c r="F2732" s="9">
        <v>89</v>
      </c>
      <c r="G2732" s="9">
        <v>954</v>
      </c>
      <c r="H2732" s="5" t="s">
        <v>20</v>
      </c>
      <c r="I2732" s="5" t="s">
        <v>6561</v>
      </c>
      <c r="J2732" s="12" t="str">
        <f>HYPERLINK("https://www.boe.es/gazeta/dias/1805/11/05/pdfs/GMD-1805-89.pdf#page=14","Abrir facsímil")</f>
        <v>Abrir facsímil</v>
      </c>
      <c r="K2732" s="15" t="s">
        <v>22</v>
      </c>
    </row>
    <row r="2733" spans="1:11" ht="42" customHeight="1">
      <c r="A2733" s="4" t="s">
        <v>6554</v>
      </c>
      <c r="B2733" s="5" t="s">
        <v>6555</v>
      </c>
      <c r="C2733" s="5" t="s">
        <v>17</v>
      </c>
      <c r="D2733" s="5" t="s">
        <v>18</v>
      </c>
      <c r="E2733" s="5" t="s">
        <v>209</v>
      </c>
      <c r="F2733" s="9">
        <v>89</v>
      </c>
      <c r="G2733" s="9">
        <v>955</v>
      </c>
      <c r="H2733" s="5" t="s">
        <v>20</v>
      </c>
      <c r="I2733" s="5" t="s">
        <v>6562</v>
      </c>
      <c r="J2733" s="12" t="str">
        <f>HYPERLINK("https://www.boe.es/gazeta/dias/1805/11/05/pdfs/GMD-1805-89.pdf#page=15","Abrir facsímil")</f>
        <v>Abrir facsímil</v>
      </c>
      <c r="K2733" s="15" t="s">
        <v>22</v>
      </c>
    </row>
    <row r="2734" spans="1:11" ht="42" customHeight="1">
      <c r="A2734" s="4" t="s">
        <v>6563</v>
      </c>
      <c r="B2734" s="5" t="s">
        <v>6563</v>
      </c>
      <c r="C2734" s="5" t="s">
        <v>80</v>
      </c>
      <c r="D2734" s="5" t="s">
        <v>81</v>
      </c>
      <c r="E2734" s="5" t="s">
        <v>170</v>
      </c>
      <c r="F2734" s="9">
        <v>9</v>
      </c>
      <c r="G2734" s="9">
        <v>97</v>
      </c>
      <c r="H2734" s="5" t="s">
        <v>20</v>
      </c>
      <c r="I2734" s="5" t="s">
        <v>6564</v>
      </c>
      <c r="J2734" s="12" t="str">
        <f>HYPERLINK("https://www.boe.es/gazeta/dias/1805/01/29/pdfs/GMD-1805-9.pdf#page=5","Abrir facsímil")</f>
        <v>Abrir facsímil</v>
      </c>
      <c r="K2734" s="15" t="s">
        <v>22</v>
      </c>
    </row>
    <row r="2735" spans="1:11" ht="42" customHeight="1">
      <c r="A2735" s="4" t="s">
        <v>6565</v>
      </c>
      <c r="B2735" s="5" t="s">
        <v>6565</v>
      </c>
      <c r="C2735" s="5" t="s">
        <v>80</v>
      </c>
      <c r="D2735" s="5" t="s">
        <v>81</v>
      </c>
      <c r="E2735" s="5" t="s">
        <v>170</v>
      </c>
      <c r="F2735" s="9">
        <v>9</v>
      </c>
      <c r="G2735" s="9">
        <v>97</v>
      </c>
      <c r="H2735" s="5" t="s">
        <v>20</v>
      </c>
      <c r="I2735" s="5" t="s">
        <v>6566</v>
      </c>
      <c r="J2735" s="12" t="str">
        <f>HYPERLINK("https://www.boe.es/gazeta/dias/1805/01/29/pdfs/GMD-1805-9.pdf#page=5","Abrir facsímil")</f>
        <v>Abrir facsímil</v>
      </c>
      <c r="K2735" s="15" t="s">
        <v>22</v>
      </c>
    </row>
    <row r="2736" spans="1:11" ht="42" customHeight="1">
      <c r="A2736" s="4" t="s">
        <v>6567</v>
      </c>
      <c r="B2736" s="5" t="s">
        <v>6567</v>
      </c>
      <c r="C2736" s="5" t="s">
        <v>29</v>
      </c>
      <c r="D2736" s="5" t="s">
        <v>30</v>
      </c>
      <c r="E2736" s="5" t="s">
        <v>645</v>
      </c>
      <c r="F2736" s="9">
        <v>55</v>
      </c>
      <c r="G2736" s="9">
        <v>588</v>
      </c>
      <c r="H2736" s="5" t="s">
        <v>20</v>
      </c>
      <c r="I2736" s="5" t="s">
        <v>6568</v>
      </c>
      <c r="J2736" s="12" t="str">
        <f>HYPERLINK("https://www.boe.es/gazeta/dias/1805/07/09/pdfs/GMD-1805-55.pdf#page=8","Abrir facsímil")</f>
        <v>Abrir facsímil</v>
      </c>
      <c r="K2736" s="15" t="s">
        <v>22</v>
      </c>
    </row>
    <row r="2737" spans="1:11" ht="42" customHeight="1">
      <c r="A2737" s="4" t="s">
        <v>6569</v>
      </c>
      <c r="B2737" s="5" t="s">
        <v>6570</v>
      </c>
      <c r="C2737" s="5" t="s">
        <v>184</v>
      </c>
      <c r="D2737" s="5" t="s">
        <v>86</v>
      </c>
      <c r="E2737" s="5" t="s">
        <v>261</v>
      </c>
      <c r="F2737" s="9">
        <v>18</v>
      </c>
      <c r="G2737" s="9" t="s">
        <v>159</v>
      </c>
      <c r="H2737" s="5" t="s">
        <v>20</v>
      </c>
      <c r="I2737" s="5" t="s">
        <v>6571</v>
      </c>
      <c r="J2737" s="12" t="str">
        <f>HYPERLINK("https://www.boe.es/gazeta/dias/1805/03/01/pdfs/GMD-C-1805-18.pdf#page=3","Abrir facsímil")</f>
        <v>Abrir facsímil</v>
      </c>
      <c r="K2737" s="15" t="s">
        <v>22</v>
      </c>
    </row>
    <row r="2738" spans="1:11" ht="42" customHeight="1">
      <c r="A2738" s="4" t="s">
        <v>6569</v>
      </c>
      <c r="B2738" s="5" t="s">
        <v>6570</v>
      </c>
      <c r="C2738" s="5" t="s">
        <v>264</v>
      </c>
      <c r="D2738" s="5" t="s">
        <v>265</v>
      </c>
      <c r="E2738" s="5" t="s">
        <v>261</v>
      </c>
      <c r="F2738" s="9">
        <v>18</v>
      </c>
      <c r="G2738" s="9" t="s">
        <v>55</v>
      </c>
      <c r="H2738" s="5" t="s">
        <v>20</v>
      </c>
      <c r="I2738" s="5" t="s">
        <v>6572</v>
      </c>
      <c r="J2738" s="12" t="str">
        <f>HYPERLINK("https://www.boe.es/gazeta/dias/1805/03/01/pdfs/GMD-C-1805-18.pdf#page=4","Abrir facsímil")</f>
        <v>Abrir facsímil</v>
      </c>
      <c r="K2738" s="15" t="s">
        <v>22</v>
      </c>
    </row>
    <row r="2739" spans="1:11" ht="42" customHeight="1">
      <c r="A2739" s="4" t="s">
        <v>6573</v>
      </c>
      <c r="B2739" s="5" t="s">
        <v>6574</v>
      </c>
      <c r="C2739" s="5" t="s">
        <v>184</v>
      </c>
      <c r="D2739" s="5" t="s">
        <v>86</v>
      </c>
      <c r="E2739" s="5" t="s">
        <v>27</v>
      </c>
      <c r="F2739" s="9">
        <v>37</v>
      </c>
      <c r="G2739" s="9">
        <v>398</v>
      </c>
      <c r="H2739" s="5" t="s">
        <v>20</v>
      </c>
      <c r="I2739" s="5" t="s">
        <v>6575</v>
      </c>
      <c r="J2739" s="12" t="str">
        <f>HYPERLINK("https://www.boe.es/gazeta/dias/1805/05/07/pdfs/GMD-1805-37.pdf#page=6","Abrir facsímil")</f>
        <v>Abrir facsímil</v>
      </c>
      <c r="K2739" s="15" t="s">
        <v>22</v>
      </c>
    </row>
    <row r="2740" spans="1:11" ht="42" customHeight="1">
      <c r="A2740" s="4" t="s">
        <v>6576</v>
      </c>
      <c r="B2740" s="5" t="s">
        <v>6577</v>
      </c>
      <c r="C2740" s="5" t="s">
        <v>17</v>
      </c>
      <c r="D2740" s="5" t="s">
        <v>18</v>
      </c>
      <c r="E2740" s="5" t="s">
        <v>59</v>
      </c>
      <c r="F2740" s="9">
        <v>21</v>
      </c>
      <c r="G2740" s="9">
        <v>216</v>
      </c>
      <c r="H2740" s="5" t="s">
        <v>20</v>
      </c>
      <c r="I2740" s="5" t="s">
        <v>6578</v>
      </c>
      <c r="J2740" s="12" t="str">
        <f>HYPERLINK("https://www.boe.es/gazeta/dias/1805/03/12/pdfs/GMD-1805-21.pdf#page=4","Abrir facsímil")</f>
        <v>Abrir facsímil</v>
      </c>
      <c r="K2740" s="15" t="s">
        <v>22</v>
      </c>
    </row>
    <row r="2741" spans="1:11" ht="42" customHeight="1">
      <c r="A2741" s="4" t="s">
        <v>6576</v>
      </c>
      <c r="B2741" s="5" t="s">
        <v>6577</v>
      </c>
      <c r="C2741" s="5" t="s">
        <v>17</v>
      </c>
      <c r="D2741" s="5" t="s">
        <v>18</v>
      </c>
      <c r="E2741" s="5" t="s">
        <v>59</v>
      </c>
      <c r="F2741" s="9">
        <v>21</v>
      </c>
      <c r="G2741" s="9">
        <v>217</v>
      </c>
      <c r="H2741" s="5" t="s">
        <v>20</v>
      </c>
      <c r="I2741" s="5" t="s">
        <v>6579</v>
      </c>
      <c r="J2741" s="12" t="str">
        <f>HYPERLINK("https://www.boe.es/gazeta/dias/1805/03/12/pdfs/GMD-1805-21.pdf#page=5","Abrir facsímil")</f>
        <v>Abrir facsímil</v>
      </c>
      <c r="K2741" s="15" t="s">
        <v>22</v>
      </c>
    </row>
    <row r="2742" spans="1:11" ht="42" customHeight="1">
      <c r="A2742" s="4" t="s">
        <v>6576</v>
      </c>
      <c r="B2742" s="5" t="s">
        <v>6577</v>
      </c>
      <c r="C2742" s="5" t="s">
        <v>80</v>
      </c>
      <c r="D2742" s="5" t="s">
        <v>81</v>
      </c>
      <c r="E2742" s="5" t="s">
        <v>1494</v>
      </c>
      <c r="F2742" s="9">
        <v>31</v>
      </c>
      <c r="G2742" s="9">
        <v>329</v>
      </c>
      <c r="H2742" s="5" t="s">
        <v>20</v>
      </c>
      <c r="I2742" s="5" t="s">
        <v>6580</v>
      </c>
      <c r="J2742" s="12" t="str">
        <f>HYPERLINK("https://www.boe.es/gazeta/dias/1805/04/16/pdfs/GMD-1805-31.pdf#page=5","Abrir facsímil")</f>
        <v>Abrir facsímil</v>
      </c>
      <c r="K2742" s="15" t="s">
        <v>22</v>
      </c>
    </row>
    <row r="2743" spans="1:11" ht="42" customHeight="1">
      <c r="A2743" s="4" t="s">
        <v>6576</v>
      </c>
      <c r="B2743" s="5" t="s">
        <v>6577</v>
      </c>
      <c r="C2743" s="5" t="s">
        <v>80</v>
      </c>
      <c r="D2743" s="5" t="s">
        <v>81</v>
      </c>
      <c r="E2743" s="5" t="s">
        <v>48</v>
      </c>
      <c r="F2743" s="9">
        <v>35</v>
      </c>
      <c r="G2743" s="9">
        <v>374</v>
      </c>
      <c r="H2743" s="5" t="s">
        <v>20</v>
      </c>
      <c r="I2743" s="5" t="s">
        <v>6581</v>
      </c>
      <c r="J2743" s="12" t="str">
        <f>HYPERLINK("https://www.boe.es/gazeta/dias/1805/04/30/pdfs/GMD-1805-35.pdf#page=6","Abrir facsímil")</f>
        <v>Abrir facsímil</v>
      </c>
      <c r="K2743" s="15" t="s">
        <v>22</v>
      </c>
    </row>
    <row r="2744" spans="1:11" ht="42" customHeight="1">
      <c r="A2744" s="4" t="s">
        <v>6576</v>
      </c>
      <c r="B2744" s="5" t="s">
        <v>6577</v>
      </c>
      <c r="C2744" s="5" t="s">
        <v>80</v>
      </c>
      <c r="D2744" s="5" t="s">
        <v>81</v>
      </c>
      <c r="E2744" s="5" t="s">
        <v>27</v>
      </c>
      <c r="F2744" s="9">
        <v>37</v>
      </c>
      <c r="G2744" s="9">
        <v>398</v>
      </c>
      <c r="H2744" s="5" t="s">
        <v>20</v>
      </c>
      <c r="I2744" s="5" t="s">
        <v>6582</v>
      </c>
      <c r="J2744" s="12" t="str">
        <f>HYPERLINK("https://www.boe.es/gazeta/dias/1805/05/07/pdfs/GMD-1805-37.pdf#page=6","Abrir facsímil")</f>
        <v>Abrir facsímil</v>
      </c>
      <c r="K2744" s="15" t="s">
        <v>22</v>
      </c>
    </row>
    <row r="2745" spans="1:11" ht="42" customHeight="1">
      <c r="A2745" s="4" t="s">
        <v>6576</v>
      </c>
      <c r="B2745" s="5" t="s">
        <v>6577</v>
      </c>
      <c r="C2745" s="5" t="s">
        <v>80</v>
      </c>
      <c r="D2745" s="5" t="s">
        <v>81</v>
      </c>
      <c r="E2745" s="5" t="s">
        <v>122</v>
      </c>
      <c r="F2745" s="9">
        <v>38</v>
      </c>
      <c r="G2745" s="9">
        <v>408</v>
      </c>
      <c r="H2745" s="5" t="s">
        <v>20</v>
      </c>
      <c r="I2745" s="5" t="s">
        <v>6583</v>
      </c>
      <c r="J2745" s="12" t="str">
        <f>HYPERLINK("https://www.boe.es/gazeta/dias/1805/05/10/pdfs/GMD-1805-38.pdf#page=4","Abrir facsímil")</f>
        <v>Abrir facsímil</v>
      </c>
      <c r="K2745" s="15" t="s">
        <v>22</v>
      </c>
    </row>
    <row r="2746" spans="1:11" ht="42" customHeight="1">
      <c r="A2746" s="4" t="s">
        <v>6576</v>
      </c>
      <c r="B2746" s="5" t="s">
        <v>6577</v>
      </c>
      <c r="C2746" s="5" t="s">
        <v>80</v>
      </c>
      <c r="D2746" s="5" t="s">
        <v>81</v>
      </c>
      <c r="E2746" s="5" t="s">
        <v>276</v>
      </c>
      <c r="F2746" s="9">
        <v>51</v>
      </c>
      <c r="G2746" s="9">
        <v>546</v>
      </c>
      <c r="H2746" s="5" t="s">
        <v>20</v>
      </c>
      <c r="I2746" s="5" t="s">
        <v>6584</v>
      </c>
      <c r="J2746" s="12" t="str">
        <f>HYPERLINK("https://www.boe.es/gazeta/dias/1805/06/25/pdfs/GMD-1805-51.pdf#page=2","Abrir facsímil")</f>
        <v>Abrir facsímil</v>
      </c>
      <c r="K2746" s="15" t="s">
        <v>22</v>
      </c>
    </row>
    <row r="2747" spans="1:11" ht="42" customHeight="1">
      <c r="A2747" s="4" t="s">
        <v>6576</v>
      </c>
      <c r="B2747" s="5" t="s">
        <v>6577</v>
      </c>
      <c r="C2747" s="5" t="s">
        <v>80</v>
      </c>
      <c r="D2747" s="5" t="s">
        <v>81</v>
      </c>
      <c r="E2747" s="5" t="s">
        <v>711</v>
      </c>
      <c r="F2747" s="9">
        <v>63</v>
      </c>
      <c r="G2747" s="9">
        <v>668</v>
      </c>
      <c r="H2747" s="5" t="s">
        <v>20</v>
      </c>
      <c r="I2747" s="5" t="s">
        <v>6585</v>
      </c>
      <c r="J2747" s="12" t="str">
        <f>HYPERLINK("https://www.boe.es/gazeta/dias/1805/08/06/pdfs/GMD-1805-63.pdf#page=4","Abrir facsímil")</f>
        <v>Abrir facsímil</v>
      </c>
      <c r="K2747" s="15" t="s">
        <v>22</v>
      </c>
    </row>
    <row r="2748" spans="1:11" ht="42" customHeight="1">
      <c r="A2748" s="4" t="s">
        <v>6576</v>
      </c>
      <c r="B2748" s="5" t="s">
        <v>6577</v>
      </c>
      <c r="C2748" s="5" t="s">
        <v>80</v>
      </c>
      <c r="D2748" s="5" t="s">
        <v>81</v>
      </c>
      <c r="E2748" s="5" t="s">
        <v>585</v>
      </c>
      <c r="F2748" s="9">
        <v>64</v>
      </c>
      <c r="G2748" s="9">
        <v>680</v>
      </c>
      <c r="H2748" s="5" t="s">
        <v>20</v>
      </c>
      <c r="I2748" s="5" t="s">
        <v>6586</v>
      </c>
      <c r="J2748" s="12" t="str">
        <f>HYPERLINK("https://www.boe.es/gazeta/dias/1805/08/09/pdfs/GMD-1805-64.pdf#page=4","Abrir facsímil")</f>
        <v>Abrir facsímil</v>
      </c>
      <c r="K2748" s="15" t="s">
        <v>22</v>
      </c>
    </row>
    <row r="2749" spans="1:11" ht="42" customHeight="1">
      <c r="A2749" s="4" t="s">
        <v>6587</v>
      </c>
      <c r="B2749" s="5" t="s">
        <v>6587</v>
      </c>
      <c r="C2749" s="5" t="s">
        <v>17</v>
      </c>
      <c r="D2749" s="5" t="s">
        <v>18</v>
      </c>
      <c r="E2749" s="5" t="s">
        <v>471</v>
      </c>
      <c r="F2749" s="9">
        <v>22</v>
      </c>
      <c r="G2749" s="9">
        <v>226</v>
      </c>
      <c r="H2749" s="5" t="s">
        <v>20</v>
      </c>
      <c r="I2749" s="5" t="s">
        <v>6588</v>
      </c>
      <c r="J2749" s="12" t="str">
        <f>HYPERLINK("https://www.boe.es/gazeta/dias/1805/03/15/pdfs/GMD-1805-22.pdf#page=2","Abrir facsímil")</f>
        <v>Abrir facsímil</v>
      </c>
      <c r="K2749" s="15" t="s">
        <v>22</v>
      </c>
    </row>
    <row r="2750" spans="1:11" ht="42" customHeight="1">
      <c r="A2750" s="4" t="s">
        <v>6587</v>
      </c>
      <c r="B2750" s="5" t="s">
        <v>6587</v>
      </c>
      <c r="C2750" s="5" t="s">
        <v>17</v>
      </c>
      <c r="D2750" s="5" t="s">
        <v>18</v>
      </c>
      <c r="E2750" s="5" t="s">
        <v>471</v>
      </c>
      <c r="F2750" s="9">
        <v>22</v>
      </c>
      <c r="G2750" s="9">
        <v>227</v>
      </c>
      <c r="H2750" s="5" t="s">
        <v>20</v>
      </c>
      <c r="I2750" s="5" t="s">
        <v>6589</v>
      </c>
      <c r="J2750" s="12" t="str">
        <f>HYPERLINK("https://www.boe.es/gazeta/dias/1805/03/15/pdfs/GMD-1805-22.pdf#page=3","Abrir facsímil")</f>
        <v>Abrir facsímil</v>
      </c>
      <c r="K2750" s="15" t="s">
        <v>22</v>
      </c>
    </row>
    <row r="2751" spans="1:11" ht="42" customHeight="1">
      <c r="A2751" s="4" t="s">
        <v>6587</v>
      </c>
      <c r="B2751" s="5" t="s">
        <v>6587</v>
      </c>
      <c r="C2751" s="5" t="s">
        <v>17</v>
      </c>
      <c r="D2751" s="5" t="s">
        <v>18</v>
      </c>
      <c r="E2751" s="5" t="s">
        <v>120</v>
      </c>
      <c r="F2751" s="9">
        <v>24</v>
      </c>
      <c r="G2751" s="9">
        <v>251</v>
      </c>
      <c r="H2751" s="5" t="s">
        <v>20</v>
      </c>
      <c r="I2751" s="5" t="s">
        <v>6590</v>
      </c>
      <c r="J2751" s="12" t="str">
        <f>HYPERLINK("https://www.boe.es/gazeta/dias/1805/03/22/pdfs/GMD-1805-24.pdf#page=3","Abrir facsímil")</f>
        <v>Abrir facsímil</v>
      </c>
      <c r="K2751" s="15" t="s">
        <v>22</v>
      </c>
    </row>
    <row r="2752" spans="1:11" ht="42" customHeight="1">
      <c r="A2752" s="4" t="s">
        <v>6587</v>
      </c>
      <c r="B2752" s="5" t="s">
        <v>6587</v>
      </c>
      <c r="C2752" s="5" t="s">
        <v>35</v>
      </c>
      <c r="D2752" s="5" t="s">
        <v>36</v>
      </c>
      <c r="E2752" s="5" t="s">
        <v>48</v>
      </c>
      <c r="F2752" s="9">
        <v>35</v>
      </c>
      <c r="G2752" s="9">
        <v>374</v>
      </c>
      <c r="H2752" s="5" t="s">
        <v>20</v>
      </c>
      <c r="I2752" s="5" t="s">
        <v>6591</v>
      </c>
      <c r="J2752" s="12" t="str">
        <f>HYPERLINK("https://www.boe.es/gazeta/dias/1805/04/30/pdfs/GMD-1805-35.pdf#page=6","Abrir facsímil")</f>
        <v>Abrir facsímil</v>
      </c>
      <c r="K2752" s="15" t="s">
        <v>22</v>
      </c>
    </row>
    <row r="2753" spans="1:11" ht="42" customHeight="1">
      <c r="A2753" s="4" t="s">
        <v>6587</v>
      </c>
      <c r="B2753" s="5" t="s">
        <v>6587</v>
      </c>
      <c r="C2753" s="5" t="s">
        <v>80</v>
      </c>
      <c r="D2753" s="5" t="s">
        <v>81</v>
      </c>
      <c r="E2753" s="5" t="s">
        <v>733</v>
      </c>
      <c r="F2753" s="9">
        <v>45</v>
      </c>
      <c r="G2753" s="9">
        <v>480</v>
      </c>
      <c r="H2753" s="5" t="s">
        <v>20</v>
      </c>
      <c r="I2753" s="5" t="s">
        <v>6592</v>
      </c>
      <c r="J2753" s="12" t="str">
        <f>HYPERLINK("https://www.boe.es/gazeta/dias/1805/06/04/pdfs/GMD-1805-45.pdf#page=4","Abrir facsímil")</f>
        <v>Abrir facsímil</v>
      </c>
      <c r="K2753" s="15" t="s">
        <v>22</v>
      </c>
    </row>
    <row r="2754" spans="1:11" ht="42" customHeight="1">
      <c r="A2754" s="4" t="s">
        <v>6587</v>
      </c>
      <c r="B2754" s="5" t="s">
        <v>6587</v>
      </c>
      <c r="C2754" s="5" t="s">
        <v>80</v>
      </c>
      <c r="D2754" s="5" t="s">
        <v>81</v>
      </c>
      <c r="E2754" s="5" t="s">
        <v>148</v>
      </c>
      <c r="F2754" s="9">
        <v>50</v>
      </c>
      <c r="G2754" s="9">
        <v>537</v>
      </c>
      <c r="H2754" s="5" t="s">
        <v>20</v>
      </c>
      <c r="I2754" s="5" t="s">
        <v>6593</v>
      </c>
      <c r="J2754" s="12" t="str">
        <f>HYPERLINK("https://www.boe.es/gazeta/dias/1805/06/21/pdfs/GMD-1805-50.pdf#page=5","Abrir facsímil")</f>
        <v>Abrir facsímil</v>
      </c>
      <c r="K2754" s="15" t="s">
        <v>22</v>
      </c>
    </row>
    <row r="2755" spans="1:11" ht="42" customHeight="1">
      <c r="A2755" s="4" t="s">
        <v>6587</v>
      </c>
      <c r="B2755" s="5" t="s">
        <v>6587</v>
      </c>
      <c r="C2755" s="5" t="s">
        <v>29</v>
      </c>
      <c r="D2755" s="5" t="s">
        <v>30</v>
      </c>
      <c r="E2755" s="5" t="s">
        <v>958</v>
      </c>
      <c r="F2755" s="9">
        <v>58</v>
      </c>
      <c r="G2755" s="9">
        <v>618</v>
      </c>
      <c r="H2755" s="5" t="s">
        <v>20</v>
      </c>
      <c r="I2755" s="5" t="s">
        <v>6594</v>
      </c>
      <c r="J2755" s="12" t="str">
        <f>HYPERLINK("https://www.boe.es/gazeta/dias/1805/07/19/pdfs/GMD-1805-58.pdf#page=2","Abrir facsímil")</f>
        <v>Abrir facsímil</v>
      </c>
      <c r="K2755" s="15" t="s">
        <v>22</v>
      </c>
    </row>
    <row r="2756" spans="1:11" ht="42" customHeight="1">
      <c r="A2756" s="4" t="s">
        <v>6587</v>
      </c>
      <c r="B2756" s="5" t="s">
        <v>6587</v>
      </c>
      <c r="C2756" s="5" t="s">
        <v>17</v>
      </c>
      <c r="D2756" s="5" t="s">
        <v>18</v>
      </c>
      <c r="E2756" s="5" t="s">
        <v>352</v>
      </c>
      <c r="F2756" s="9">
        <v>60</v>
      </c>
      <c r="G2756" s="9">
        <v>642</v>
      </c>
      <c r="H2756" s="5" t="s">
        <v>20</v>
      </c>
      <c r="I2756" s="5" t="s">
        <v>6595</v>
      </c>
      <c r="J2756" s="12" t="str">
        <f>HYPERLINK("https://www.boe.es/gazeta/dias/1805/07/26/pdfs/GMD-1805-60.pdf#page=6","Abrir facsímil")</f>
        <v>Abrir facsímil</v>
      </c>
      <c r="K2756" s="15" t="s">
        <v>22</v>
      </c>
    </row>
    <row r="2757" spans="1:11" ht="42" customHeight="1">
      <c r="A2757" s="4" t="s">
        <v>6587</v>
      </c>
      <c r="B2757" s="5" t="s">
        <v>6587</v>
      </c>
      <c r="C2757" s="5" t="s">
        <v>80</v>
      </c>
      <c r="D2757" s="5" t="s">
        <v>81</v>
      </c>
      <c r="E2757" s="5" t="s">
        <v>729</v>
      </c>
      <c r="F2757" s="9">
        <v>61</v>
      </c>
      <c r="G2757" s="9">
        <v>653</v>
      </c>
      <c r="H2757" s="5" t="s">
        <v>20</v>
      </c>
      <c r="I2757" s="5" t="s">
        <v>6596</v>
      </c>
      <c r="J2757" s="12" t="str">
        <f>HYPERLINK("https://www.boe.es/gazeta/dias/1805/07/30/pdfs/GMD-1805-61.pdf#page=5","Abrir facsímil")</f>
        <v>Abrir facsímil</v>
      </c>
      <c r="K2757" s="15" t="s">
        <v>22</v>
      </c>
    </row>
    <row r="2758" spans="1:11" ht="42" customHeight="1">
      <c r="A2758" s="4" t="s">
        <v>6597</v>
      </c>
      <c r="B2758" s="5" t="s">
        <v>6598</v>
      </c>
      <c r="C2758" s="5" t="s">
        <v>80</v>
      </c>
      <c r="D2758" s="5" t="s">
        <v>81</v>
      </c>
      <c r="E2758" s="5" t="s">
        <v>303</v>
      </c>
      <c r="F2758" s="9">
        <v>57</v>
      </c>
      <c r="G2758" s="9">
        <v>605</v>
      </c>
      <c r="H2758" s="5" t="s">
        <v>20</v>
      </c>
      <c r="I2758" s="5" t="s">
        <v>6599</v>
      </c>
      <c r="J2758" s="12" t="str">
        <f>HYPERLINK("https://www.boe.es/gazeta/dias/1805/07/16/pdfs/GMD-1805-57.pdf#page=1","Abrir facsímil")</f>
        <v>Abrir facsímil</v>
      </c>
      <c r="K2758" s="15" t="s">
        <v>22</v>
      </c>
    </row>
    <row r="2759" spans="1:11" ht="42" customHeight="1">
      <c r="A2759" s="4" t="s">
        <v>6600</v>
      </c>
      <c r="B2759" s="5" t="s">
        <v>6601</v>
      </c>
      <c r="C2759" s="5" t="s">
        <v>80</v>
      </c>
      <c r="D2759" s="5" t="s">
        <v>81</v>
      </c>
      <c r="E2759" s="5" t="s">
        <v>356</v>
      </c>
      <c r="F2759" s="9">
        <v>12</v>
      </c>
      <c r="G2759" s="9">
        <v>127</v>
      </c>
      <c r="H2759" s="5" t="s">
        <v>20</v>
      </c>
      <c r="I2759" s="5" t="s">
        <v>6602</v>
      </c>
      <c r="J2759" s="12" t="str">
        <f>HYPERLINK("https://www.boe.es/gazeta/dias/1805/02/08/pdfs/GMD-1805-12.pdf#page=3","Abrir facsímil")</f>
        <v>Abrir facsímil</v>
      </c>
      <c r="K2759" s="15" t="s">
        <v>22</v>
      </c>
    </row>
    <row r="2760" spans="1:11" ht="42" customHeight="1">
      <c r="A2760" s="4" t="s">
        <v>6603</v>
      </c>
      <c r="B2760" s="5" t="s">
        <v>6604</v>
      </c>
      <c r="C2760" s="5" t="s">
        <v>184</v>
      </c>
      <c r="D2760" s="5" t="s">
        <v>86</v>
      </c>
      <c r="E2760" s="5" t="s">
        <v>1432</v>
      </c>
      <c r="F2760" s="9">
        <v>53</v>
      </c>
      <c r="G2760" s="9">
        <v>568</v>
      </c>
      <c r="H2760" s="5" t="s">
        <v>20</v>
      </c>
      <c r="I2760" s="5" t="s">
        <v>6605</v>
      </c>
      <c r="J2760" s="12" t="str">
        <f>HYPERLINK("https://www.boe.es/gazeta/dias/1805/07/02/pdfs/GMD-1805-53.pdf#page=4","Abrir facsímil")</f>
        <v>Abrir facsímil</v>
      </c>
      <c r="K2760" s="15" t="s">
        <v>22</v>
      </c>
    </row>
    <row r="2761" spans="1:11" ht="42" customHeight="1">
      <c r="A2761" s="4" t="s">
        <v>6606</v>
      </c>
      <c r="B2761" s="5" t="s">
        <v>6607</v>
      </c>
      <c r="C2761" s="5" t="s">
        <v>35</v>
      </c>
      <c r="D2761" s="5" t="s">
        <v>36</v>
      </c>
      <c r="E2761" s="5" t="s">
        <v>539</v>
      </c>
      <c r="F2761" s="9">
        <v>97</v>
      </c>
      <c r="G2761" s="9">
        <v>1044</v>
      </c>
      <c r="H2761" s="5" t="s">
        <v>20</v>
      </c>
      <c r="I2761" s="5" t="s">
        <v>6608</v>
      </c>
      <c r="J2761" s="12" t="str">
        <f>HYPERLINK("https://www.boe.es/gazeta/dias/1805/12/03/pdfs/GMD-1805-97.pdf#page=8","Abrir facsímil")</f>
        <v>Abrir facsímil</v>
      </c>
      <c r="K2761" s="15" t="s">
        <v>22</v>
      </c>
    </row>
    <row r="2762" spans="1:11" ht="42" customHeight="1">
      <c r="A2762" s="4" t="s">
        <v>6609</v>
      </c>
      <c r="B2762" s="5" t="s">
        <v>6609</v>
      </c>
      <c r="C2762" s="5" t="s">
        <v>29</v>
      </c>
      <c r="D2762" s="5" t="s">
        <v>30</v>
      </c>
      <c r="E2762" s="5" t="s">
        <v>31</v>
      </c>
      <c r="F2762" s="9">
        <v>65</v>
      </c>
      <c r="G2762" s="9">
        <v>699</v>
      </c>
      <c r="H2762" s="5" t="s">
        <v>20</v>
      </c>
      <c r="I2762" s="5" t="s">
        <v>6610</v>
      </c>
      <c r="J2762" s="12" t="str">
        <f>HYPERLINK("https://www.boe.es/gazeta/dias/1805/08/13/pdfs/GMD-1805-65.pdf#page=11","Abrir facsímil")</f>
        <v>Abrir facsímil</v>
      </c>
      <c r="K2762" s="15" t="s">
        <v>22</v>
      </c>
    </row>
    <row r="2763" spans="1:11" ht="42" customHeight="1">
      <c r="A2763" s="4" t="s">
        <v>6611</v>
      </c>
      <c r="B2763" s="5" t="s">
        <v>6612</v>
      </c>
      <c r="C2763" s="5" t="s">
        <v>80</v>
      </c>
      <c r="D2763" s="5" t="s">
        <v>81</v>
      </c>
      <c r="E2763" s="5" t="s">
        <v>789</v>
      </c>
      <c r="F2763" s="9">
        <v>104</v>
      </c>
      <c r="G2763" s="9">
        <v>1120</v>
      </c>
      <c r="H2763" s="5" t="s">
        <v>20</v>
      </c>
      <c r="I2763" s="5" t="s">
        <v>6613</v>
      </c>
      <c r="J2763" s="12" t="str">
        <f>HYPERLINK("https://www.boe.es/gazeta/dias/1805/12/27/pdfs/GMD-1805-104.pdf#page=4","Abrir facsímil")</f>
        <v>Abrir facsímil</v>
      </c>
      <c r="K2763" s="15" t="s">
        <v>22</v>
      </c>
    </row>
    <row r="2764" spans="1:11" ht="42" customHeight="1">
      <c r="A2764" s="4" t="s">
        <v>6614</v>
      </c>
      <c r="B2764" s="5" t="s">
        <v>6615</v>
      </c>
      <c r="C2764" s="5" t="s">
        <v>35</v>
      </c>
      <c r="D2764" s="5" t="s">
        <v>36</v>
      </c>
      <c r="E2764" s="5" t="s">
        <v>24</v>
      </c>
      <c r="F2764" s="9">
        <v>11</v>
      </c>
      <c r="G2764" s="9">
        <v>121</v>
      </c>
      <c r="H2764" s="5" t="s">
        <v>20</v>
      </c>
      <c r="I2764" s="5" t="s">
        <v>6616</v>
      </c>
      <c r="J2764" s="12" t="str">
        <f>HYPERLINK("https://www.boe.es/gazeta/dias/1805/02/05/pdfs/GMD-1805-11.pdf#page=9","Abrir facsímil")</f>
        <v>Abrir facsímil</v>
      </c>
      <c r="K2764" s="15" t="s">
        <v>22</v>
      </c>
    </row>
    <row r="2765" spans="1:11" ht="42" customHeight="1">
      <c r="A2765" s="4" t="s">
        <v>6617</v>
      </c>
      <c r="B2765" s="5" t="s">
        <v>6618</v>
      </c>
      <c r="C2765" s="5" t="s">
        <v>35</v>
      </c>
      <c r="D2765" s="5" t="s">
        <v>36</v>
      </c>
      <c r="E2765" s="5" t="s">
        <v>864</v>
      </c>
      <c r="F2765" s="9">
        <v>88</v>
      </c>
      <c r="G2765" s="9">
        <v>932</v>
      </c>
      <c r="H2765" s="5" t="s">
        <v>20</v>
      </c>
      <c r="I2765" s="5" t="s">
        <v>6619</v>
      </c>
      <c r="J2765" s="12" t="str">
        <f>HYPERLINK("https://www.boe.es/gazeta/dias/1805/11/01/pdfs/GMD-1805-88.pdf#page=4","Abrir facsímil")</f>
        <v>Abrir facsímil</v>
      </c>
      <c r="K2765" s="15" t="s">
        <v>22</v>
      </c>
    </row>
    <row r="2766" spans="1:11" ht="42" customHeight="1">
      <c r="A2766" s="4" t="s">
        <v>6620</v>
      </c>
      <c r="B2766" s="5" t="s">
        <v>6621</v>
      </c>
      <c r="C2766" s="5" t="s">
        <v>35</v>
      </c>
      <c r="D2766" s="5" t="s">
        <v>36</v>
      </c>
      <c r="E2766" s="5" t="s">
        <v>91</v>
      </c>
      <c r="F2766" s="9">
        <v>28</v>
      </c>
      <c r="G2766" s="9">
        <v>301</v>
      </c>
      <c r="H2766" s="5" t="s">
        <v>20</v>
      </c>
      <c r="I2766" s="5" t="s">
        <v>6622</v>
      </c>
      <c r="J2766" s="12" t="str">
        <f>HYPERLINK("https://www.boe.es/gazeta/dias/1805/04/05/pdfs/GMD-1805-28.pdf#page=9","Abrir facsímil")</f>
        <v>Abrir facsímil</v>
      </c>
      <c r="K2766" s="15" t="s">
        <v>22</v>
      </c>
    </row>
    <row r="2767" spans="1:11" ht="42" customHeight="1">
      <c r="A2767" s="4" t="s">
        <v>6623</v>
      </c>
      <c r="B2767" s="5" t="s">
        <v>6624</v>
      </c>
      <c r="C2767" s="5" t="s">
        <v>35</v>
      </c>
      <c r="D2767" s="5" t="s">
        <v>36</v>
      </c>
      <c r="E2767" s="5" t="s">
        <v>87</v>
      </c>
      <c r="F2767" s="9">
        <v>14</v>
      </c>
      <c r="G2767" s="9">
        <v>147</v>
      </c>
      <c r="H2767" s="5" t="s">
        <v>20</v>
      </c>
      <c r="I2767" s="5" t="s">
        <v>6625</v>
      </c>
      <c r="J2767" s="12" t="str">
        <f>HYPERLINK("https://www.boe.es/gazeta/dias/1805/02/15/pdfs/GMD-1805-14.pdf#page=7","Abrir facsímil")</f>
        <v>Abrir facsímil</v>
      </c>
      <c r="K2767" s="15" t="s">
        <v>22</v>
      </c>
    </row>
    <row r="2768" spans="1:11" ht="42" customHeight="1">
      <c r="A2768" s="4" t="s">
        <v>6623</v>
      </c>
      <c r="B2768" s="5" t="s">
        <v>6624</v>
      </c>
      <c r="C2768" s="5" t="s">
        <v>17</v>
      </c>
      <c r="D2768" s="5" t="s">
        <v>18</v>
      </c>
      <c r="E2768" s="5" t="s">
        <v>44</v>
      </c>
      <c r="F2768" s="9">
        <v>29</v>
      </c>
      <c r="G2768" s="9">
        <v>312</v>
      </c>
      <c r="H2768" s="5" t="s">
        <v>20</v>
      </c>
      <c r="I2768" s="5" t="s">
        <v>6626</v>
      </c>
      <c r="J2768" s="12" t="str">
        <f>HYPERLINK("https://www.boe.es/gazeta/dias/1805/04/09/pdfs/GMD-1805-29.pdf#page=8","Abrir facsímil")</f>
        <v>Abrir facsímil</v>
      </c>
      <c r="K2768" s="15" t="s">
        <v>22</v>
      </c>
    </row>
    <row r="2769" spans="1:11" ht="42" customHeight="1">
      <c r="A2769" s="4" t="s">
        <v>6627</v>
      </c>
      <c r="B2769" s="5" t="s">
        <v>6628</v>
      </c>
      <c r="C2769" s="5" t="s">
        <v>35</v>
      </c>
      <c r="D2769" s="5" t="s">
        <v>36</v>
      </c>
      <c r="E2769" s="5" t="s">
        <v>789</v>
      </c>
      <c r="F2769" s="9">
        <v>104</v>
      </c>
      <c r="G2769" s="9">
        <v>1128</v>
      </c>
      <c r="H2769" s="5" t="s">
        <v>20</v>
      </c>
      <c r="I2769" s="5" t="s">
        <v>6629</v>
      </c>
      <c r="J2769" s="12" t="str">
        <f>HYPERLINK("https://www.boe.es/gazeta/dias/1805/12/27/pdfs/GMD-1805-104.pdf#page=12","Abrir facsímil")</f>
        <v>Abrir facsímil</v>
      </c>
      <c r="K2769" s="15" t="s">
        <v>22</v>
      </c>
    </row>
    <row r="2770" spans="1:11" ht="42" customHeight="1">
      <c r="A2770" s="4" t="s">
        <v>6630</v>
      </c>
      <c r="B2770" s="5" t="s">
        <v>6631</v>
      </c>
      <c r="C2770" s="5" t="s">
        <v>35</v>
      </c>
      <c r="D2770" s="5" t="s">
        <v>36</v>
      </c>
      <c r="E2770" s="5" t="s">
        <v>87</v>
      </c>
      <c r="F2770" s="9">
        <v>14</v>
      </c>
      <c r="G2770" s="9">
        <v>147</v>
      </c>
      <c r="H2770" s="5" t="s">
        <v>20</v>
      </c>
      <c r="I2770" s="5" t="s">
        <v>6632</v>
      </c>
      <c r="J2770" s="12" t="str">
        <f>HYPERLINK("https://www.boe.es/gazeta/dias/1805/02/15/pdfs/GMD-1805-14.pdf#page=7","Abrir facsímil")</f>
        <v>Abrir facsímil</v>
      </c>
      <c r="K2770" s="15" t="s">
        <v>22</v>
      </c>
    </row>
    <row r="2771" spans="1:11" ht="42" customHeight="1">
      <c r="A2771" s="4" t="s">
        <v>6633</v>
      </c>
      <c r="B2771" s="5" t="s">
        <v>6633</v>
      </c>
      <c r="C2771" s="5" t="s">
        <v>17</v>
      </c>
      <c r="D2771" s="5" t="s">
        <v>18</v>
      </c>
      <c r="E2771" s="5" t="s">
        <v>135</v>
      </c>
      <c r="F2771" s="9">
        <v>71</v>
      </c>
      <c r="G2771" s="9">
        <v>758</v>
      </c>
      <c r="H2771" s="5" t="s">
        <v>20</v>
      </c>
      <c r="I2771" s="5" t="s">
        <v>6634</v>
      </c>
      <c r="J2771" s="12" t="str">
        <f>HYPERLINK("https://www.boe.es/gazeta/dias/1805/09/03/pdfs/GMD-1805-71.pdf#page=10","Abrir facsímil")</f>
        <v>Abrir facsímil</v>
      </c>
      <c r="K2771" s="15" t="s">
        <v>22</v>
      </c>
    </row>
    <row r="2772" spans="1:11" ht="42" customHeight="1">
      <c r="A2772" s="4" t="s">
        <v>6633</v>
      </c>
      <c r="B2772" s="5" t="s">
        <v>6633</v>
      </c>
      <c r="C2772" s="5" t="s">
        <v>17</v>
      </c>
      <c r="D2772" s="5" t="s">
        <v>18</v>
      </c>
      <c r="E2772" s="5" t="s">
        <v>67</v>
      </c>
      <c r="F2772" s="9">
        <v>98</v>
      </c>
      <c r="G2772" s="9">
        <v>1060</v>
      </c>
      <c r="H2772" s="5" t="s">
        <v>20</v>
      </c>
      <c r="I2772" s="5" t="s">
        <v>6635</v>
      </c>
      <c r="J2772" s="12" t="str">
        <f>HYPERLINK("https://www.boe.es/gazeta/dias/1805/12/06/pdfs/GMD-1805-98.pdf#page=12","Abrir facsímil")</f>
        <v>Abrir facsímil</v>
      </c>
      <c r="K2772" s="15" t="s">
        <v>22</v>
      </c>
    </row>
    <row r="2773" spans="1:11" ht="42" customHeight="1">
      <c r="A2773" s="4" t="s">
        <v>6636</v>
      </c>
      <c r="B2773" s="5" t="s">
        <v>6636</v>
      </c>
      <c r="C2773" s="5" t="s">
        <v>85</v>
      </c>
      <c r="D2773" s="5" t="s">
        <v>86</v>
      </c>
      <c r="E2773" s="5" t="s">
        <v>71</v>
      </c>
      <c r="F2773" s="9">
        <v>33</v>
      </c>
      <c r="G2773" s="9">
        <v>351</v>
      </c>
      <c r="H2773" s="5" t="s">
        <v>20</v>
      </c>
      <c r="I2773" s="5" t="s">
        <v>6637</v>
      </c>
      <c r="J2773" s="12" t="str">
        <f>HYPERLINK("https://www.boe.es/gazeta/dias/1805/04/23/pdfs/GMD-1805-33.pdf#page=7","Abrir facsímil")</f>
        <v>Abrir facsímil</v>
      </c>
      <c r="K2773" s="15" t="s">
        <v>22</v>
      </c>
    </row>
    <row r="2774" spans="1:11" ht="42" customHeight="1">
      <c r="A2774" s="4" t="s">
        <v>6638</v>
      </c>
      <c r="B2774" s="5" t="s">
        <v>6639</v>
      </c>
      <c r="C2774" s="5" t="s">
        <v>35</v>
      </c>
      <c r="D2774" s="5" t="s">
        <v>36</v>
      </c>
      <c r="E2774" s="5" t="s">
        <v>138</v>
      </c>
      <c r="F2774" s="9">
        <v>102</v>
      </c>
      <c r="G2774" s="9">
        <v>1103</v>
      </c>
      <c r="H2774" s="5" t="s">
        <v>20</v>
      </c>
      <c r="I2774" s="5" t="s">
        <v>6640</v>
      </c>
      <c r="J2774" s="12" t="str">
        <f>HYPERLINK("https://www.boe.es/gazeta/dias/1805/12/20/pdfs/GMD-1805-102.pdf#page=7","Abrir facsímil")</f>
        <v>Abrir facsímil</v>
      </c>
      <c r="K2774" s="15" t="s">
        <v>22</v>
      </c>
    </row>
    <row r="2775" spans="1:11" ht="42" customHeight="1">
      <c r="A2775" s="4" t="s">
        <v>6641</v>
      </c>
      <c r="B2775" s="5" t="s">
        <v>6642</v>
      </c>
      <c r="C2775" s="5" t="s">
        <v>52</v>
      </c>
      <c r="D2775" s="5" t="s">
        <v>53</v>
      </c>
      <c r="E2775" s="5" t="s">
        <v>54</v>
      </c>
      <c r="F2775" s="9">
        <v>99</v>
      </c>
      <c r="G2775" s="9" t="s">
        <v>145</v>
      </c>
      <c r="H2775" s="5" t="s">
        <v>20</v>
      </c>
      <c r="I2775" s="5" t="s">
        <v>6643</v>
      </c>
      <c r="J2775" s="12" t="str">
        <f>HYPERLINK("https://www.boe.es/gazeta/dias/1805/12/10/pdfs/GMD-C-1805-99.pdf#page=2","Abrir facsímil")</f>
        <v>Abrir facsímil</v>
      </c>
      <c r="K2775" s="15" t="s">
        <v>22</v>
      </c>
    </row>
    <row r="2776" spans="1:11" ht="42" customHeight="1">
      <c r="A2776" s="4" t="s">
        <v>6644</v>
      </c>
      <c r="B2776" s="5" t="s">
        <v>6644</v>
      </c>
      <c r="C2776" s="5" t="s">
        <v>264</v>
      </c>
      <c r="D2776" s="5" t="s">
        <v>265</v>
      </c>
      <c r="E2776" s="5" t="s">
        <v>261</v>
      </c>
      <c r="F2776" s="9">
        <v>18</v>
      </c>
      <c r="G2776" s="9" t="s">
        <v>159</v>
      </c>
      <c r="H2776" s="5" t="s">
        <v>20</v>
      </c>
      <c r="I2776" s="5" t="s">
        <v>6645</v>
      </c>
      <c r="J2776" s="12" t="str">
        <f>HYPERLINK("https://www.boe.es/gazeta/dias/1805/03/01/pdfs/GMD-C-1805-18.pdf#page=3","Abrir facsímil")</f>
        <v>Abrir facsímil</v>
      </c>
      <c r="K2776" s="15" t="s">
        <v>22</v>
      </c>
    </row>
    <row r="2777" spans="1:11" ht="42" customHeight="1">
      <c r="A2777" s="4" t="s">
        <v>6646</v>
      </c>
      <c r="B2777" s="5" t="s">
        <v>6646</v>
      </c>
      <c r="C2777" s="5" t="s">
        <v>29</v>
      </c>
      <c r="D2777" s="5" t="s">
        <v>30</v>
      </c>
      <c r="E2777" s="5" t="s">
        <v>148</v>
      </c>
      <c r="F2777" s="9">
        <v>50</v>
      </c>
      <c r="G2777" s="9">
        <v>544</v>
      </c>
      <c r="H2777" s="5" t="s">
        <v>20</v>
      </c>
      <c r="I2777" s="5" t="s">
        <v>6647</v>
      </c>
      <c r="J2777" s="12" t="str">
        <f>HYPERLINK("https://www.boe.es/gazeta/dias/1805/06/21/pdfs/GMD-1805-50.pdf#page=12","Abrir facsímil")</f>
        <v>Abrir facsímil</v>
      </c>
      <c r="K2777" s="15" t="s">
        <v>22</v>
      </c>
    </row>
    <row r="2778" spans="1:11" ht="42" customHeight="1">
      <c r="A2778" s="4" t="s">
        <v>6648</v>
      </c>
      <c r="B2778" s="5" t="s">
        <v>6649</v>
      </c>
      <c r="C2778" s="5" t="s">
        <v>17</v>
      </c>
      <c r="D2778" s="5" t="s">
        <v>18</v>
      </c>
      <c r="E2778" s="5" t="s">
        <v>904</v>
      </c>
      <c r="F2778" s="9">
        <v>47</v>
      </c>
      <c r="G2778" s="9">
        <v>510</v>
      </c>
      <c r="H2778" s="5" t="s">
        <v>20</v>
      </c>
      <c r="I2778" s="5" t="s">
        <v>6650</v>
      </c>
      <c r="J2778" s="12" t="str">
        <f>HYPERLINK("https://www.boe.es/gazeta/dias/1805/06/11/pdfs/GMD-1805-47.pdf#page=10","Abrir facsímil")</f>
        <v>Abrir facsímil</v>
      </c>
      <c r="K2778" s="15" t="s">
        <v>22</v>
      </c>
    </row>
    <row r="2779" spans="1:11" ht="42" customHeight="1">
      <c r="A2779" s="4" t="s">
        <v>6651</v>
      </c>
      <c r="B2779" s="5" t="s">
        <v>6652</v>
      </c>
      <c r="C2779" s="5" t="s">
        <v>17</v>
      </c>
      <c r="D2779" s="5" t="s">
        <v>18</v>
      </c>
      <c r="E2779" s="5" t="s">
        <v>393</v>
      </c>
      <c r="F2779" s="9">
        <v>44</v>
      </c>
      <c r="G2779" s="9">
        <v>475</v>
      </c>
      <c r="H2779" s="5" t="s">
        <v>20</v>
      </c>
      <c r="I2779" s="5" t="s">
        <v>6653</v>
      </c>
      <c r="J2779" s="12" t="str">
        <f>HYPERLINK("https://www.boe.es/gazeta/dias/1805/05/31/pdfs/GMD-1805-44.pdf#page=11","Abrir facsímil")</f>
        <v>Abrir facsímil</v>
      </c>
      <c r="K2779" s="15" t="s">
        <v>22</v>
      </c>
    </row>
    <row r="2780" spans="1:11" ht="42" customHeight="1">
      <c r="A2780" s="4" t="s">
        <v>6651</v>
      </c>
      <c r="B2780" s="5" t="s">
        <v>6652</v>
      </c>
      <c r="C2780" s="5" t="s">
        <v>17</v>
      </c>
      <c r="D2780" s="5" t="s">
        <v>18</v>
      </c>
      <c r="E2780" s="5" t="s">
        <v>148</v>
      </c>
      <c r="F2780" s="9">
        <v>50</v>
      </c>
      <c r="G2780" s="9">
        <v>542</v>
      </c>
      <c r="H2780" s="5" t="s">
        <v>20</v>
      </c>
      <c r="I2780" s="5" t="s">
        <v>6654</v>
      </c>
      <c r="J2780" s="12" t="str">
        <f>HYPERLINK("https://www.boe.es/gazeta/dias/1805/06/21/pdfs/GMD-1805-50.pdf#page=10","Abrir facsímil")</f>
        <v>Abrir facsímil</v>
      </c>
      <c r="K2780" s="15" t="s">
        <v>22</v>
      </c>
    </row>
    <row r="2781" spans="1:11" ht="42" customHeight="1">
      <c r="A2781" s="4" t="s">
        <v>6655</v>
      </c>
      <c r="B2781" s="5" t="s">
        <v>6656</v>
      </c>
      <c r="C2781" s="5" t="s">
        <v>85</v>
      </c>
      <c r="D2781" s="5" t="s">
        <v>86</v>
      </c>
      <c r="E2781" s="5" t="s">
        <v>817</v>
      </c>
      <c r="F2781" s="9">
        <v>92</v>
      </c>
      <c r="G2781" s="9">
        <v>982</v>
      </c>
      <c r="H2781" s="5" t="s">
        <v>20</v>
      </c>
      <c r="I2781" s="5" t="s">
        <v>6657</v>
      </c>
      <c r="J2781" s="12" t="str">
        <f>HYPERLINK("https://www.boe.es/gazeta/dias/1805/11/15/pdfs/GMD-1805-92.pdf#page=2","Abrir facsímil")</f>
        <v>Abrir facsímil</v>
      </c>
      <c r="K2781" s="15" t="s">
        <v>22</v>
      </c>
    </row>
    <row r="2782" spans="1:11" ht="42" customHeight="1">
      <c r="A2782" s="4" t="s">
        <v>6658</v>
      </c>
      <c r="B2782" s="5" t="s">
        <v>6658</v>
      </c>
      <c r="C2782" s="5" t="s">
        <v>35</v>
      </c>
      <c r="D2782" s="5" t="s">
        <v>36</v>
      </c>
      <c r="E2782" s="5" t="s">
        <v>215</v>
      </c>
      <c r="F2782" s="9">
        <v>87</v>
      </c>
      <c r="G2782" s="9">
        <v>927</v>
      </c>
      <c r="H2782" s="5" t="s">
        <v>20</v>
      </c>
      <c r="I2782" s="5" t="s">
        <v>6659</v>
      </c>
      <c r="J2782" s="12" t="str">
        <f>HYPERLINK("https://www.boe.es/gazeta/dias/1805/10/29/pdfs/GMD-1805-87.pdf#page=11","Abrir facsímil")</f>
        <v>Abrir facsímil</v>
      </c>
      <c r="K2782" s="15" t="s">
        <v>22</v>
      </c>
    </row>
    <row r="2783" spans="1:11" ht="42" customHeight="1">
      <c r="A2783" s="4" t="s">
        <v>6660</v>
      </c>
      <c r="B2783" s="5" t="s">
        <v>6660</v>
      </c>
      <c r="C2783" s="5" t="s">
        <v>35</v>
      </c>
      <c r="D2783" s="5" t="s">
        <v>36</v>
      </c>
      <c r="E2783" s="5" t="s">
        <v>163</v>
      </c>
      <c r="F2783" s="9">
        <v>77</v>
      </c>
      <c r="G2783" s="9">
        <v>816</v>
      </c>
      <c r="H2783" s="5" t="s">
        <v>20</v>
      </c>
      <c r="I2783" s="5" t="s">
        <v>6661</v>
      </c>
      <c r="J2783" s="12" t="str">
        <f>HYPERLINK("https://www.boe.es/gazeta/dias/1805/09/24/pdfs/GMD-1805-77.pdf#page=8","Abrir facsímil")</f>
        <v>Abrir facsímil</v>
      </c>
      <c r="K2783" s="15" t="s">
        <v>22</v>
      </c>
    </row>
    <row r="2784" spans="1:11" ht="42" customHeight="1">
      <c r="A2784" s="4" t="s">
        <v>6662</v>
      </c>
      <c r="B2784" s="5" t="s">
        <v>6663</v>
      </c>
      <c r="C2784" s="5" t="s">
        <v>35</v>
      </c>
      <c r="D2784" s="5" t="s">
        <v>36</v>
      </c>
      <c r="E2784" s="5" t="s">
        <v>817</v>
      </c>
      <c r="F2784" s="9">
        <v>92</v>
      </c>
      <c r="G2784" s="9">
        <v>982</v>
      </c>
      <c r="H2784" s="5" t="s">
        <v>20</v>
      </c>
      <c r="I2784" s="5" t="s">
        <v>6664</v>
      </c>
      <c r="J2784" s="12" t="str">
        <f>HYPERLINK("https://www.boe.es/gazeta/dias/1805/11/15/pdfs/GMD-1805-92.pdf#page=2","Abrir facsímil")</f>
        <v>Abrir facsímil</v>
      </c>
      <c r="K2784" s="15" t="s">
        <v>22</v>
      </c>
    </row>
    <row r="2785" spans="1:11" ht="42" customHeight="1">
      <c r="A2785" s="4" t="s">
        <v>6665</v>
      </c>
      <c r="B2785" s="5" t="s">
        <v>6665</v>
      </c>
      <c r="C2785" s="5" t="s">
        <v>29</v>
      </c>
      <c r="D2785" s="5" t="s">
        <v>30</v>
      </c>
      <c r="E2785" s="5" t="s">
        <v>1445</v>
      </c>
      <c r="F2785" s="9">
        <v>6</v>
      </c>
      <c r="G2785" s="9">
        <v>68</v>
      </c>
      <c r="H2785" s="5" t="s">
        <v>20</v>
      </c>
      <c r="I2785" s="5" t="s">
        <v>6666</v>
      </c>
      <c r="J2785" s="12" t="str">
        <f>HYPERLINK("https://www.boe.es/gazeta/dias/1805/01/18/pdfs/GMD-1805-6.pdf#page=12","Abrir facsímil")</f>
        <v>Abrir facsímil</v>
      </c>
      <c r="K2785" s="15" t="s">
        <v>22</v>
      </c>
    </row>
    <row r="2786" spans="1:11" ht="42" customHeight="1">
      <c r="A2786" s="4" t="s">
        <v>6667</v>
      </c>
      <c r="B2786" s="5" t="s">
        <v>6668</v>
      </c>
      <c r="C2786" s="5" t="s">
        <v>29</v>
      </c>
      <c r="D2786" s="5" t="s">
        <v>30</v>
      </c>
      <c r="E2786" s="5" t="s">
        <v>1187</v>
      </c>
      <c r="F2786" s="9">
        <v>40</v>
      </c>
      <c r="G2786" s="9">
        <v>432</v>
      </c>
      <c r="H2786" s="5" t="s">
        <v>20</v>
      </c>
      <c r="I2786" s="5" t="s">
        <v>6669</v>
      </c>
      <c r="J2786" s="12" t="str">
        <f>HYPERLINK("https://www.boe.es/gazeta/dias/1805/05/17/pdfs/GMD-1805-40.pdf#page=8","Abrir facsímil")</f>
        <v>Abrir facsímil</v>
      </c>
      <c r="K2786" s="15" t="s">
        <v>22</v>
      </c>
    </row>
    <row r="2787" spans="1:11" ht="42" customHeight="1">
      <c r="A2787" s="4" t="s">
        <v>6667</v>
      </c>
      <c r="B2787" s="5" t="s">
        <v>6668</v>
      </c>
      <c r="C2787" s="5" t="s">
        <v>80</v>
      </c>
      <c r="D2787" s="5" t="s">
        <v>81</v>
      </c>
      <c r="E2787" s="5" t="s">
        <v>196</v>
      </c>
      <c r="F2787" s="9">
        <v>67</v>
      </c>
      <c r="G2787" s="9">
        <v>714</v>
      </c>
      <c r="H2787" s="5" t="s">
        <v>20</v>
      </c>
      <c r="I2787" s="5" t="s">
        <v>6670</v>
      </c>
      <c r="J2787" s="12" t="str">
        <f>HYPERLINK("https://www.boe.es/gazeta/dias/1805/08/20/pdfs/GMD-1805-67.pdf#page=2","Abrir facsímil")</f>
        <v>Abrir facsímil</v>
      </c>
      <c r="K2787" s="15" t="s">
        <v>22</v>
      </c>
    </row>
    <row r="2788" spans="1:11" ht="42" customHeight="1">
      <c r="A2788" s="4" t="s">
        <v>6667</v>
      </c>
      <c r="B2788" s="5" t="s">
        <v>6668</v>
      </c>
      <c r="C2788" s="5" t="s">
        <v>184</v>
      </c>
      <c r="D2788" s="5" t="s">
        <v>86</v>
      </c>
      <c r="E2788" s="5" t="s">
        <v>144</v>
      </c>
      <c r="F2788" s="9">
        <v>85</v>
      </c>
      <c r="G2788" s="9">
        <v>895</v>
      </c>
      <c r="H2788" s="5" t="s">
        <v>20</v>
      </c>
      <c r="I2788" s="5" t="s">
        <v>6671</v>
      </c>
      <c r="J2788" s="12" t="str">
        <f>HYPERLINK("https://www.boe.es/gazeta/dias/1805/10/22/pdfs/GMD-1805-85.pdf#page=3","Abrir facsímil")</f>
        <v>Abrir facsímil</v>
      </c>
      <c r="K2788" s="15" t="s">
        <v>22</v>
      </c>
    </row>
    <row r="2789" spans="1:11" ht="42" customHeight="1">
      <c r="A2789" s="4" t="s">
        <v>6672</v>
      </c>
      <c r="B2789" s="5" t="s">
        <v>6672</v>
      </c>
      <c r="C2789" s="5" t="s">
        <v>17</v>
      </c>
      <c r="D2789" s="5" t="s">
        <v>18</v>
      </c>
      <c r="E2789" s="5" t="s">
        <v>649</v>
      </c>
      <c r="F2789" s="9">
        <v>7</v>
      </c>
      <c r="G2789" s="9">
        <v>72</v>
      </c>
      <c r="H2789" s="5" t="s">
        <v>20</v>
      </c>
      <c r="I2789" s="5" t="s">
        <v>6673</v>
      </c>
      <c r="J2789" s="12" t="str">
        <f>HYPERLINK("https://www.boe.es/gazeta/dias/1805/01/22/pdfs/GMD-1805-7.pdf#page=4","Abrir facsímil")</f>
        <v>Abrir facsímil</v>
      </c>
      <c r="K2789" s="15" t="s">
        <v>22</v>
      </c>
    </row>
    <row r="2790" spans="1:11" ht="42" customHeight="1">
      <c r="A2790" s="4" t="s">
        <v>6674</v>
      </c>
      <c r="B2790" s="5" t="s">
        <v>6674</v>
      </c>
      <c r="C2790" s="5" t="s">
        <v>17</v>
      </c>
      <c r="D2790" s="5" t="s">
        <v>18</v>
      </c>
      <c r="E2790" s="5" t="s">
        <v>296</v>
      </c>
      <c r="F2790" s="9">
        <v>26</v>
      </c>
      <c r="G2790" s="9">
        <v>276</v>
      </c>
      <c r="H2790" s="5" t="s">
        <v>20</v>
      </c>
      <c r="I2790" s="5" t="s">
        <v>6675</v>
      </c>
      <c r="J2790" s="12" t="str">
        <f>HYPERLINK("https://www.boe.es/gazeta/dias/1805/03/29/pdfs/GMD-1805-26.pdf#page=8","Abrir facsímil")</f>
        <v>Abrir facsímil</v>
      </c>
      <c r="K2790" s="15" t="s">
        <v>22</v>
      </c>
    </row>
    <row r="2791" spans="1:11" ht="42" customHeight="1">
      <c r="A2791" s="4" t="s">
        <v>6676</v>
      </c>
      <c r="B2791" s="5" t="s">
        <v>6677</v>
      </c>
      <c r="C2791" s="5" t="s">
        <v>35</v>
      </c>
      <c r="D2791" s="5" t="s">
        <v>36</v>
      </c>
      <c r="E2791" s="5" t="s">
        <v>495</v>
      </c>
      <c r="F2791" s="9">
        <v>103</v>
      </c>
      <c r="G2791" s="9">
        <v>1114</v>
      </c>
      <c r="H2791" s="5" t="s">
        <v>20</v>
      </c>
      <c r="I2791" s="5" t="s">
        <v>6678</v>
      </c>
      <c r="J2791" s="12" t="str">
        <f>HYPERLINK("https://www.boe.es/gazeta/dias/1805/12/24/pdfs/GMD-1805-103.pdf#page=6","Abrir facsímil")</f>
        <v>Abrir facsímil</v>
      </c>
      <c r="K2791" s="15" t="s">
        <v>22</v>
      </c>
    </row>
    <row r="2792" spans="1:11" ht="42" customHeight="1">
      <c r="A2792" s="4" t="s">
        <v>6679</v>
      </c>
      <c r="B2792" s="5" t="s">
        <v>6680</v>
      </c>
      <c r="C2792" s="5" t="s">
        <v>17</v>
      </c>
      <c r="D2792" s="5" t="s">
        <v>18</v>
      </c>
      <c r="E2792" s="5" t="s">
        <v>585</v>
      </c>
      <c r="F2792" s="9">
        <v>64</v>
      </c>
      <c r="G2792" s="9">
        <v>687</v>
      </c>
      <c r="H2792" s="5" t="s">
        <v>20</v>
      </c>
      <c r="I2792" s="5" t="s">
        <v>6681</v>
      </c>
      <c r="J2792" s="12" t="str">
        <f>HYPERLINK("https://www.boe.es/gazeta/dias/1805/08/09/pdfs/GMD-1805-64.pdf#page=11","Abrir facsímil")</f>
        <v>Abrir facsímil</v>
      </c>
      <c r="K2792" s="15" t="s">
        <v>22</v>
      </c>
    </row>
    <row r="2793" spans="1:11" ht="42" customHeight="1">
      <c r="A2793" s="4" t="s">
        <v>6682</v>
      </c>
      <c r="B2793" s="5" t="s">
        <v>6683</v>
      </c>
      <c r="C2793" s="5" t="s">
        <v>35</v>
      </c>
      <c r="D2793" s="5" t="s">
        <v>36</v>
      </c>
      <c r="E2793" s="5" t="s">
        <v>200</v>
      </c>
      <c r="F2793" s="9">
        <v>91</v>
      </c>
      <c r="G2793" s="9">
        <v>977</v>
      </c>
      <c r="H2793" s="5" t="s">
        <v>20</v>
      </c>
      <c r="I2793" s="5" t="s">
        <v>6684</v>
      </c>
      <c r="J2793" s="12" t="str">
        <f>HYPERLINK("https://www.boe.es/gazeta/dias/1805/11/12/pdfs/GMD-1805-91.pdf#page=9","Abrir facsímil")</f>
        <v>Abrir facsímil</v>
      </c>
      <c r="K2793" s="15" t="s">
        <v>22</v>
      </c>
    </row>
    <row r="2794" spans="1:11" ht="42" customHeight="1">
      <c r="A2794" s="4" t="s">
        <v>6685</v>
      </c>
      <c r="B2794" s="5" t="s">
        <v>6686</v>
      </c>
      <c r="C2794" s="5" t="s">
        <v>35</v>
      </c>
      <c r="D2794" s="5" t="s">
        <v>36</v>
      </c>
      <c r="E2794" s="5" t="s">
        <v>213</v>
      </c>
      <c r="F2794" s="9">
        <v>56</v>
      </c>
      <c r="G2794" s="9">
        <v>595</v>
      </c>
      <c r="H2794" s="5" t="s">
        <v>20</v>
      </c>
      <c r="I2794" s="5" t="s">
        <v>6687</v>
      </c>
      <c r="J2794" s="12" t="str">
        <f>HYPERLINK("https://www.boe.es/gazeta/dias/1805/07/12/pdfs/GMD-1805-56.pdf#page=3","Abrir facsímil")</f>
        <v>Abrir facsímil</v>
      </c>
      <c r="K2794" s="15" t="s">
        <v>22</v>
      </c>
    </row>
    <row r="2795" spans="1:11" ht="42" customHeight="1">
      <c r="A2795" s="4" t="s">
        <v>6688</v>
      </c>
      <c r="B2795" s="5" t="s">
        <v>6688</v>
      </c>
      <c r="C2795" s="5" t="s">
        <v>85</v>
      </c>
      <c r="D2795" s="5" t="s">
        <v>86</v>
      </c>
      <c r="E2795" s="5" t="s">
        <v>170</v>
      </c>
      <c r="F2795" s="9">
        <v>9</v>
      </c>
      <c r="G2795" s="9">
        <v>100</v>
      </c>
      <c r="H2795" s="5" t="s">
        <v>20</v>
      </c>
      <c r="I2795" s="5" t="s">
        <v>6689</v>
      </c>
      <c r="J2795" s="12" t="str">
        <f>HYPERLINK("https://www.boe.es/gazeta/dias/1805/01/29/pdfs/GMD-1805-9.pdf#page=8","Abrir facsímil")</f>
        <v>Abrir facsímil</v>
      </c>
      <c r="K2795" s="15" t="s">
        <v>22</v>
      </c>
    </row>
    <row r="2796" spans="1:11" ht="42" customHeight="1">
      <c r="A2796" s="4" t="s">
        <v>6690</v>
      </c>
      <c r="B2796" s="5" t="s">
        <v>6691</v>
      </c>
      <c r="C2796" s="5" t="s">
        <v>17</v>
      </c>
      <c r="D2796" s="5" t="s">
        <v>18</v>
      </c>
      <c r="E2796" s="5" t="s">
        <v>673</v>
      </c>
      <c r="F2796" s="9">
        <v>32</v>
      </c>
      <c r="G2796" s="9">
        <v>342</v>
      </c>
      <c r="H2796" s="5" t="s">
        <v>20</v>
      </c>
      <c r="I2796" s="5" t="s">
        <v>6692</v>
      </c>
      <c r="J2796" s="12" t="str">
        <f>HYPERLINK("https://www.boe.es/gazeta/dias/1805/04/19/pdfs/GMD-1805-32.pdf#page=6","Abrir facsímil")</f>
        <v>Abrir facsímil</v>
      </c>
      <c r="K2796" s="15" t="s">
        <v>22</v>
      </c>
    </row>
    <row r="2797" spans="1:11" ht="42" customHeight="1">
      <c r="A2797" s="4" t="s">
        <v>6693</v>
      </c>
      <c r="B2797" s="5" t="s">
        <v>6694</v>
      </c>
      <c r="C2797" s="5" t="s">
        <v>85</v>
      </c>
      <c r="D2797" s="5" t="s">
        <v>86</v>
      </c>
      <c r="E2797" s="5" t="s">
        <v>567</v>
      </c>
      <c r="F2797" s="9">
        <v>49</v>
      </c>
      <c r="G2797" s="9">
        <v>529</v>
      </c>
      <c r="H2797" s="5" t="s">
        <v>20</v>
      </c>
      <c r="I2797" s="5" t="s">
        <v>6695</v>
      </c>
      <c r="J2797" s="12" t="str">
        <f>HYPERLINK("https://www.boe.es/gazeta/dias/1805/06/18/pdfs/GMD-1805-49.pdf#page=5","Abrir facsímil")</f>
        <v>Abrir facsímil</v>
      </c>
      <c r="K2797" s="15" t="s">
        <v>22</v>
      </c>
    </row>
    <row r="2798" spans="1:11" ht="42" customHeight="1">
      <c r="A2798" s="4" t="s">
        <v>6696</v>
      </c>
      <c r="B2798" s="5" t="s">
        <v>6697</v>
      </c>
      <c r="C2798" s="5" t="s">
        <v>29</v>
      </c>
      <c r="D2798" s="5" t="s">
        <v>30</v>
      </c>
      <c r="E2798" s="5" t="s">
        <v>1221</v>
      </c>
      <c r="F2798" s="9">
        <v>41</v>
      </c>
      <c r="G2798" s="9">
        <v>444</v>
      </c>
      <c r="H2798" s="5" t="s">
        <v>20</v>
      </c>
      <c r="I2798" s="5" t="s">
        <v>6698</v>
      </c>
      <c r="J2798" s="12" t="str">
        <f>HYPERLINK("https://www.boe.es/gazeta/dias/1805/05/21/pdfs/GMD-1805-41.pdf#page=12","Abrir facsímil")</f>
        <v>Abrir facsímil</v>
      </c>
      <c r="K2798" s="15" t="s">
        <v>22</v>
      </c>
    </row>
    <row r="2799" spans="1:11" ht="42" customHeight="1">
      <c r="A2799" s="4" t="s">
        <v>6699</v>
      </c>
      <c r="B2799" s="5" t="s">
        <v>6700</v>
      </c>
      <c r="C2799" s="5" t="s">
        <v>17</v>
      </c>
      <c r="D2799" s="5" t="s">
        <v>18</v>
      </c>
      <c r="E2799" s="5" t="s">
        <v>387</v>
      </c>
      <c r="F2799" s="9">
        <v>4</v>
      </c>
      <c r="G2799" s="9">
        <v>42</v>
      </c>
      <c r="H2799" s="5" t="s">
        <v>20</v>
      </c>
      <c r="I2799" s="5" t="s">
        <v>6701</v>
      </c>
      <c r="J2799" s="12" t="str">
        <f>HYPERLINK("https://www.boe.es/gazeta/dias/1805/01/11/pdfs/GMD-1805-4.pdf#page=10","Abrir facsímil")</f>
        <v>Abrir facsímil</v>
      </c>
      <c r="K2799" s="15" t="s">
        <v>22</v>
      </c>
    </row>
    <row r="2800" spans="1:11" ht="42" customHeight="1">
      <c r="A2800" s="4" t="s">
        <v>6702</v>
      </c>
      <c r="B2800" s="5" t="s">
        <v>6703</v>
      </c>
      <c r="C2800" s="5" t="s">
        <v>35</v>
      </c>
      <c r="D2800" s="5" t="s">
        <v>36</v>
      </c>
      <c r="E2800" s="5" t="s">
        <v>1259</v>
      </c>
      <c r="F2800" s="9">
        <v>78</v>
      </c>
      <c r="G2800" s="9">
        <v>827</v>
      </c>
      <c r="H2800" s="5" t="s">
        <v>20</v>
      </c>
      <c r="I2800" s="5" t="s">
        <v>6704</v>
      </c>
      <c r="J2800" s="12" t="str">
        <f>HYPERLINK("https://www.boe.es/gazeta/dias/1805/09/27/pdfs/GMD-1805-78.pdf#page=7","Abrir facsímil")</f>
        <v>Abrir facsímil</v>
      </c>
      <c r="K2800" s="15" t="s">
        <v>22</v>
      </c>
    </row>
    <row r="2801" spans="1:11" ht="42" customHeight="1">
      <c r="A2801" s="4" t="s">
        <v>6705</v>
      </c>
      <c r="B2801" s="5" t="s">
        <v>6706</v>
      </c>
      <c r="C2801" s="5" t="s">
        <v>35</v>
      </c>
      <c r="D2801" s="5" t="s">
        <v>36</v>
      </c>
      <c r="E2801" s="5" t="s">
        <v>181</v>
      </c>
      <c r="F2801" s="9">
        <v>90</v>
      </c>
      <c r="G2801" s="9">
        <v>964</v>
      </c>
      <c r="H2801" s="5" t="s">
        <v>20</v>
      </c>
      <c r="I2801" s="5" t="s">
        <v>6707</v>
      </c>
      <c r="J2801" s="12" t="str">
        <f>HYPERLINK("https://www.boe.es/gazeta/dias/1805/11/08/pdfs/GMD-1805-90.pdf#page=8","Abrir facsímil")</f>
        <v>Abrir facsímil</v>
      </c>
      <c r="K2801" s="15" t="s">
        <v>22</v>
      </c>
    </row>
    <row r="2802" spans="1:11" ht="42" customHeight="1">
      <c r="A2802" s="4" t="s">
        <v>6708</v>
      </c>
      <c r="B2802" s="5" t="s">
        <v>6709</v>
      </c>
      <c r="C2802" s="5" t="s">
        <v>35</v>
      </c>
      <c r="D2802" s="5" t="s">
        <v>36</v>
      </c>
      <c r="E2802" s="5" t="s">
        <v>567</v>
      </c>
      <c r="F2802" s="9">
        <v>49</v>
      </c>
      <c r="G2802" s="9">
        <v>530</v>
      </c>
      <c r="H2802" s="5" t="s">
        <v>20</v>
      </c>
      <c r="I2802" s="5" t="s">
        <v>6710</v>
      </c>
      <c r="J2802" s="12" t="str">
        <f>HYPERLINK("https://www.boe.es/gazeta/dias/1805/06/18/pdfs/GMD-1805-49.pdf#page=6","Abrir facsímil")</f>
        <v>Abrir facsímil</v>
      </c>
      <c r="K2802" s="15" t="s">
        <v>22</v>
      </c>
    </row>
    <row r="2803" spans="1:11" ht="42" customHeight="1">
      <c r="A2803" s="4" t="s">
        <v>6711</v>
      </c>
      <c r="B2803" s="5" t="s">
        <v>6712</v>
      </c>
      <c r="C2803" s="5" t="s">
        <v>85</v>
      </c>
      <c r="D2803" s="5" t="s">
        <v>86</v>
      </c>
      <c r="E2803" s="5" t="s">
        <v>426</v>
      </c>
      <c r="F2803" s="9">
        <v>75</v>
      </c>
      <c r="G2803" s="9">
        <v>798</v>
      </c>
      <c r="H2803" s="5" t="s">
        <v>20</v>
      </c>
      <c r="I2803" s="5" t="s">
        <v>6713</v>
      </c>
      <c r="J2803" s="12" t="str">
        <f>HYPERLINK("https://www.boe.es/gazeta/dias/1805/09/17/pdfs/GMD-1805-75.pdf#page=10","Abrir facsímil")</f>
        <v>Abrir facsímil</v>
      </c>
      <c r="K2803" s="15" t="s">
        <v>22</v>
      </c>
    </row>
    <row r="2804" spans="1:11" ht="42" customHeight="1">
      <c r="A2804" s="4" t="s">
        <v>6714</v>
      </c>
      <c r="B2804" s="5" t="s">
        <v>6715</v>
      </c>
      <c r="C2804" s="5" t="s">
        <v>184</v>
      </c>
      <c r="D2804" s="5" t="s">
        <v>86</v>
      </c>
      <c r="E2804" s="5" t="s">
        <v>117</v>
      </c>
      <c r="F2804" s="9">
        <v>20</v>
      </c>
      <c r="G2804" s="9">
        <v>212</v>
      </c>
      <c r="H2804" s="5" t="s">
        <v>20</v>
      </c>
      <c r="I2804" s="5" t="s">
        <v>6716</v>
      </c>
      <c r="J2804" s="12" t="str">
        <f>HYPERLINK("https://www.boe.es/gazeta/dias/1805/03/08/pdfs/GMD-1805-20.pdf#page=12","Abrir facsímil")</f>
        <v>Abrir facsímil</v>
      </c>
      <c r="K2804" s="15" t="s">
        <v>22</v>
      </c>
    </row>
    <row r="2805" spans="1:11" ht="42" customHeight="1">
      <c r="A2805" s="4" t="s">
        <v>6717</v>
      </c>
      <c r="B2805" s="5" t="s">
        <v>6718</v>
      </c>
      <c r="C2805" s="5" t="s">
        <v>184</v>
      </c>
      <c r="D2805" s="5" t="s">
        <v>86</v>
      </c>
      <c r="E2805" s="5" t="s">
        <v>539</v>
      </c>
      <c r="F2805" s="9">
        <v>97</v>
      </c>
      <c r="G2805" s="9">
        <v>1046</v>
      </c>
      <c r="H2805" s="5" t="s">
        <v>20</v>
      </c>
      <c r="I2805" s="5" t="s">
        <v>6719</v>
      </c>
      <c r="J2805" s="12" t="str">
        <f>HYPERLINK("https://www.boe.es/gazeta/dias/1805/12/03/pdfs/GMD-1805-97.pdf#page=10","Abrir facsímil")</f>
        <v>Abrir facsímil</v>
      </c>
      <c r="K2805" s="15" t="s">
        <v>22</v>
      </c>
    </row>
    <row r="2806" spans="1:11" ht="42" customHeight="1">
      <c r="A2806" s="4" t="s">
        <v>6720</v>
      </c>
      <c r="B2806" s="5" t="s">
        <v>6721</v>
      </c>
      <c r="C2806" s="5" t="s">
        <v>184</v>
      </c>
      <c r="D2806" s="5" t="s">
        <v>86</v>
      </c>
      <c r="E2806" s="5" t="s">
        <v>1132</v>
      </c>
      <c r="F2806" s="9">
        <v>72</v>
      </c>
      <c r="G2806" s="9">
        <v>767</v>
      </c>
      <c r="H2806" s="5" t="s">
        <v>20</v>
      </c>
      <c r="I2806" s="5" t="s">
        <v>6722</v>
      </c>
      <c r="J2806" s="12" t="str">
        <f>HYPERLINK("https://www.boe.es/gazeta/dias/1805/09/06/pdfs/GMD-1805-72.pdf#page=7","Abrir facsímil")</f>
        <v>Abrir facsímil</v>
      </c>
      <c r="K2806" s="15" t="s">
        <v>22</v>
      </c>
    </row>
    <row r="2807" spans="1:11" ht="42" customHeight="1">
      <c r="A2807" s="4" t="s">
        <v>6720</v>
      </c>
      <c r="B2807" s="5" t="s">
        <v>6721</v>
      </c>
      <c r="C2807" s="5" t="s">
        <v>184</v>
      </c>
      <c r="D2807" s="5" t="s">
        <v>86</v>
      </c>
      <c r="E2807" s="5" t="s">
        <v>552</v>
      </c>
      <c r="F2807" s="9">
        <v>94</v>
      </c>
      <c r="G2807" s="9">
        <v>1011</v>
      </c>
      <c r="H2807" s="5" t="s">
        <v>20</v>
      </c>
      <c r="I2807" s="5" t="s">
        <v>6723</v>
      </c>
      <c r="J2807" s="12" t="str">
        <f>HYPERLINK("https://www.boe.es/gazeta/dias/1805/11/22/pdfs/GMD-1805-94.pdf#page=11","Abrir facsímil")</f>
        <v>Abrir facsímil</v>
      </c>
      <c r="K2807" s="15" t="s">
        <v>22</v>
      </c>
    </row>
    <row r="2808" spans="1:11" ht="42" customHeight="1">
      <c r="A2808" s="4" t="s">
        <v>6724</v>
      </c>
      <c r="B2808" s="5" t="s">
        <v>6725</v>
      </c>
      <c r="C2808" s="5" t="s">
        <v>35</v>
      </c>
      <c r="D2808" s="5" t="s">
        <v>36</v>
      </c>
      <c r="E2808" s="5" t="s">
        <v>539</v>
      </c>
      <c r="F2808" s="9">
        <v>97</v>
      </c>
      <c r="G2808" s="9">
        <v>1043</v>
      </c>
      <c r="H2808" s="5" t="s">
        <v>20</v>
      </c>
      <c r="I2808" s="5" t="s">
        <v>6726</v>
      </c>
      <c r="J2808" s="12" t="str">
        <f>HYPERLINK("https://www.boe.es/gazeta/dias/1805/12/03/pdfs/GMD-1805-97.pdf#page=7","Abrir facsímil")</f>
        <v>Abrir facsímil</v>
      </c>
      <c r="K2808" s="15" t="s">
        <v>22</v>
      </c>
    </row>
    <row r="2809" spans="1:11" ht="42" customHeight="1">
      <c r="A2809" s="4" t="s">
        <v>6724</v>
      </c>
      <c r="B2809" s="5" t="s">
        <v>6725</v>
      </c>
      <c r="C2809" s="5" t="s">
        <v>184</v>
      </c>
      <c r="D2809" s="5" t="s">
        <v>86</v>
      </c>
      <c r="E2809" s="5" t="s">
        <v>192</v>
      </c>
      <c r="F2809" s="9">
        <v>105</v>
      </c>
      <c r="G2809" s="9">
        <v>1139</v>
      </c>
      <c r="H2809" s="5" t="s">
        <v>20</v>
      </c>
      <c r="I2809" s="5" t="s">
        <v>6727</v>
      </c>
      <c r="J2809" s="12" t="str">
        <f>HYPERLINK("https://www.boe.es/gazeta/dias/1805/12/31/pdfs/GMD-1805-105.pdf#page=11","Abrir facsímil")</f>
        <v>Abrir facsímil</v>
      </c>
      <c r="K2809" s="15" t="s">
        <v>22</v>
      </c>
    </row>
    <row r="2810" spans="1:11" ht="42" customHeight="1">
      <c r="A2810" s="4" t="s">
        <v>6728</v>
      </c>
      <c r="B2810" s="5" t="s">
        <v>6729</v>
      </c>
      <c r="C2810" s="5" t="s">
        <v>17</v>
      </c>
      <c r="D2810" s="5" t="s">
        <v>18</v>
      </c>
      <c r="E2810" s="5" t="s">
        <v>539</v>
      </c>
      <c r="F2810" s="9">
        <v>97</v>
      </c>
      <c r="G2810" s="9">
        <v>1046</v>
      </c>
      <c r="H2810" s="5" t="s">
        <v>20</v>
      </c>
      <c r="I2810" s="5" t="s">
        <v>6730</v>
      </c>
      <c r="J2810" s="12" t="str">
        <f>HYPERLINK("https://www.boe.es/gazeta/dias/1805/12/03/pdfs/GMD-1805-97.pdf#page=10","Abrir facsímil")</f>
        <v>Abrir facsímil</v>
      </c>
      <c r="K2810" s="15" t="s">
        <v>22</v>
      </c>
    </row>
    <row r="2811" spans="1:11" ht="42" customHeight="1">
      <c r="A2811" s="4" t="s">
        <v>6731</v>
      </c>
      <c r="B2811" s="5" t="s">
        <v>6732</v>
      </c>
      <c r="C2811" s="5" t="s">
        <v>35</v>
      </c>
      <c r="D2811" s="5" t="s">
        <v>36</v>
      </c>
      <c r="E2811" s="5" t="s">
        <v>281</v>
      </c>
      <c r="F2811" s="9">
        <v>15</v>
      </c>
      <c r="G2811" s="9">
        <v>156</v>
      </c>
      <c r="H2811" s="5" t="s">
        <v>20</v>
      </c>
      <c r="I2811" s="5" t="s">
        <v>6733</v>
      </c>
      <c r="J2811" s="12" t="str">
        <f>HYPERLINK("https://www.boe.es/gazeta/dias/1805/02/19/pdfs/GMD-1805-15.pdf#page=8","Abrir facsímil")</f>
        <v>Abrir facsímil</v>
      </c>
      <c r="K2811" s="15" t="s">
        <v>22</v>
      </c>
    </row>
    <row r="2812" spans="1:11" ht="42" customHeight="1">
      <c r="A2812" s="4" t="s">
        <v>6731</v>
      </c>
      <c r="B2812" s="5" t="s">
        <v>6732</v>
      </c>
      <c r="C2812" s="5" t="s">
        <v>85</v>
      </c>
      <c r="D2812" s="5" t="s">
        <v>86</v>
      </c>
      <c r="E2812" s="5" t="s">
        <v>188</v>
      </c>
      <c r="F2812" s="9">
        <v>68</v>
      </c>
      <c r="G2812" s="9">
        <v>728</v>
      </c>
      <c r="H2812" s="5" t="s">
        <v>20</v>
      </c>
      <c r="I2812" s="5" t="s">
        <v>6734</v>
      </c>
      <c r="J2812" s="12" t="str">
        <f>HYPERLINK("https://www.boe.es/gazeta/dias/1805/08/23/pdfs/GMD-1805-68.pdf#page=8","Abrir facsímil")</f>
        <v>Abrir facsímil</v>
      </c>
      <c r="K2812" s="15" t="s">
        <v>22</v>
      </c>
    </row>
    <row r="2813" spans="1:11" ht="42" customHeight="1">
      <c r="A2813" s="4" t="s">
        <v>6731</v>
      </c>
      <c r="B2813" s="5" t="s">
        <v>6732</v>
      </c>
      <c r="C2813" s="5" t="s">
        <v>17</v>
      </c>
      <c r="D2813" s="5" t="s">
        <v>18</v>
      </c>
      <c r="E2813" s="5" t="s">
        <v>226</v>
      </c>
      <c r="F2813" s="9">
        <v>73</v>
      </c>
      <c r="G2813" s="9">
        <v>773</v>
      </c>
      <c r="H2813" s="5" t="s">
        <v>20</v>
      </c>
      <c r="I2813" s="5" t="s">
        <v>6735</v>
      </c>
      <c r="J2813" s="12" t="str">
        <f>HYPERLINK("https://www.boe.es/gazeta/dias/1805/09/10/pdfs/GMD-1805-73.pdf#page=5","Abrir facsímil")</f>
        <v>Abrir facsímil</v>
      </c>
      <c r="K2813" s="15" t="s">
        <v>22</v>
      </c>
    </row>
    <row r="2814" spans="1:11" ht="42" customHeight="1">
      <c r="A2814" s="4" t="s">
        <v>6736</v>
      </c>
      <c r="B2814" s="5" t="s">
        <v>6737</v>
      </c>
      <c r="C2814" s="5" t="s">
        <v>35</v>
      </c>
      <c r="D2814" s="5" t="s">
        <v>36</v>
      </c>
      <c r="E2814" s="5" t="s">
        <v>103</v>
      </c>
      <c r="F2814" s="9">
        <v>30</v>
      </c>
      <c r="G2814" s="9">
        <v>323</v>
      </c>
      <c r="H2814" s="5" t="s">
        <v>20</v>
      </c>
      <c r="I2814" s="5" t="s">
        <v>6738</v>
      </c>
      <c r="J2814" s="12" t="str">
        <f>HYPERLINK("https://www.boe.es/gazeta/dias/1805/04/12/pdfs/GMD-1805-30.pdf#page=7","Abrir facsímil")</f>
        <v>Abrir facsímil</v>
      </c>
      <c r="K2814" s="15" t="s">
        <v>22</v>
      </c>
    </row>
    <row r="2815" spans="1:11" ht="42" customHeight="1">
      <c r="A2815" s="4" t="s">
        <v>6739</v>
      </c>
      <c r="B2815" s="5" t="s">
        <v>6740</v>
      </c>
      <c r="C2815" s="5" t="s">
        <v>29</v>
      </c>
      <c r="D2815" s="5" t="s">
        <v>30</v>
      </c>
      <c r="E2815" s="5" t="s">
        <v>787</v>
      </c>
      <c r="F2815" s="9">
        <v>95</v>
      </c>
      <c r="G2815" s="9">
        <v>1024</v>
      </c>
      <c r="H2815" s="5" t="s">
        <v>20</v>
      </c>
      <c r="I2815" s="5" t="s">
        <v>6741</v>
      </c>
      <c r="J2815" s="12" t="str">
        <f>HYPERLINK("https://www.boe.es/gazeta/dias/1805/11/26/pdfs/GMD-1805-95.pdf#page=12","Abrir facsímil")</f>
        <v>Abrir facsímil</v>
      </c>
      <c r="K2815" s="15" t="s">
        <v>22</v>
      </c>
    </row>
    <row r="2816" spans="1:11" ht="42" customHeight="1">
      <c r="A2816" s="4" t="s">
        <v>6742</v>
      </c>
      <c r="B2816" s="5" t="s">
        <v>6742</v>
      </c>
      <c r="C2816" s="5" t="s">
        <v>35</v>
      </c>
      <c r="D2816" s="5" t="s">
        <v>36</v>
      </c>
      <c r="E2816" s="5" t="s">
        <v>82</v>
      </c>
      <c r="F2816" s="9">
        <v>25</v>
      </c>
      <c r="G2816" s="9">
        <v>267</v>
      </c>
      <c r="H2816" s="5" t="s">
        <v>20</v>
      </c>
      <c r="I2816" s="5" t="s">
        <v>6743</v>
      </c>
      <c r="J2816" s="12" t="str">
        <f>HYPERLINK("https://www.boe.es/gazeta/dias/1805/03/26/pdfs/GMD-1805-25.pdf#page=7","Abrir facsímil")</f>
        <v>Abrir facsímil</v>
      </c>
      <c r="K2816" s="15" t="s">
        <v>22</v>
      </c>
    </row>
    <row r="2817" spans="1:11" ht="42" customHeight="1">
      <c r="A2817" s="4" t="s">
        <v>6744</v>
      </c>
      <c r="B2817" s="5" t="s">
        <v>6744</v>
      </c>
      <c r="C2817" s="5" t="s">
        <v>80</v>
      </c>
      <c r="D2817" s="5" t="s">
        <v>81</v>
      </c>
      <c r="E2817" s="5" t="s">
        <v>27</v>
      </c>
      <c r="F2817" s="9">
        <v>37</v>
      </c>
      <c r="G2817" s="9">
        <v>395</v>
      </c>
      <c r="H2817" s="5" t="s">
        <v>20</v>
      </c>
      <c r="I2817" s="5" t="s">
        <v>6745</v>
      </c>
      <c r="J2817" s="12" t="str">
        <f>HYPERLINK("https://www.boe.es/gazeta/dias/1805/05/07/pdfs/GMD-1805-37.pdf#page=3","Abrir facsímil")</f>
        <v>Abrir facsímil</v>
      </c>
      <c r="K2817" s="15" t="s">
        <v>22</v>
      </c>
    </row>
    <row r="2818" spans="1:11" ht="42" customHeight="1">
      <c r="A2818" s="4" t="s">
        <v>6746</v>
      </c>
      <c r="B2818" s="5" t="s">
        <v>6746</v>
      </c>
      <c r="C2818" s="5" t="s">
        <v>17</v>
      </c>
      <c r="D2818" s="5" t="s">
        <v>18</v>
      </c>
      <c r="E2818" s="5" t="s">
        <v>117</v>
      </c>
      <c r="F2818" s="9">
        <v>20</v>
      </c>
      <c r="G2818" s="9">
        <v>208</v>
      </c>
      <c r="H2818" s="5" t="s">
        <v>20</v>
      </c>
      <c r="I2818" s="5" t="s">
        <v>6747</v>
      </c>
      <c r="J2818" s="12" t="str">
        <f>HYPERLINK("https://www.boe.es/gazeta/dias/1805/03/08/pdfs/GMD-1805-20.pdf#page=8","Abrir facsímil")</f>
        <v>Abrir facsímil</v>
      </c>
      <c r="K2818" s="15" t="s">
        <v>22</v>
      </c>
    </row>
    <row r="2819" spans="1:11" ht="42" customHeight="1">
      <c r="A2819" s="4" t="s">
        <v>6748</v>
      </c>
      <c r="B2819" s="5" t="s">
        <v>6749</v>
      </c>
      <c r="C2819" s="5" t="s">
        <v>35</v>
      </c>
      <c r="D2819" s="5" t="s">
        <v>36</v>
      </c>
      <c r="E2819" s="5" t="s">
        <v>71</v>
      </c>
      <c r="F2819" s="9">
        <v>33</v>
      </c>
      <c r="G2819" s="9">
        <v>352</v>
      </c>
      <c r="H2819" s="5" t="s">
        <v>20</v>
      </c>
      <c r="I2819" s="5" t="s">
        <v>6750</v>
      </c>
      <c r="J2819" s="12" t="str">
        <f>HYPERLINK("https://www.boe.es/gazeta/dias/1805/04/23/pdfs/GMD-1805-33.pdf#page=8","Abrir facsímil")</f>
        <v>Abrir facsímil</v>
      </c>
      <c r="K2819" s="15" t="s">
        <v>22</v>
      </c>
    </row>
    <row r="2820" spans="1:11" ht="42" customHeight="1">
      <c r="A2820" s="4" t="s">
        <v>6751</v>
      </c>
      <c r="B2820" s="5" t="s">
        <v>6752</v>
      </c>
      <c r="C2820" s="5" t="s">
        <v>17</v>
      </c>
      <c r="D2820" s="5" t="s">
        <v>18</v>
      </c>
      <c r="E2820" s="5" t="s">
        <v>59</v>
      </c>
      <c r="F2820" s="9">
        <v>21</v>
      </c>
      <c r="G2820" s="9">
        <v>215</v>
      </c>
      <c r="H2820" s="5" t="s">
        <v>20</v>
      </c>
      <c r="I2820" s="5" t="s">
        <v>6753</v>
      </c>
      <c r="J2820" s="12" t="str">
        <f>HYPERLINK("https://www.boe.es/gazeta/dias/1805/03/12/pdfs/GMD-1805-21.pdf#page=3","Abrir facsímil")</f>
        <v>Abrir facsímil</v>
      </c>
      <c r="K2820" s="15" t="s">
        <v>22</v>
      </c>
    </row>
    <row r="2821" spans="1:11" ht="42" customHeight="1">
      <c r="A2821" s="4" t="s">
        <v>6754</v>
      </c>
      <c r="B2821" s="5" t="s">
        <v>6755</v>
      </c>
      <c r="C2821" s="5" t="s">
        <v>85</v>
      </c>
      <c r="D2821" s="5" t="s">
        <v>86</v>
      </c>
      <c r="E2821" s="5" t="s">
        <v>850</v>
      </c>
      <c r="F2821" s="9">
        <v>42</v>
      </c>
      <c r="G2821" s="9">
        <v>450</v>
      </c>
      <c r="H2821" s="5" t="s">
        <v>20</v>
      </c>
      <c r="I2821" s="5" t="s">
        <v>6756</v>
      </c>
      <c r="J2821" s="12" t="str">
        <f>HYPERLINK("https://www.boe.es/gazeta/dias/1805/05/24/pdfs/GMD-1805-42.pdf#page=6","Abrir facsímil")</f>
        <v>Abrir facsímil</v>
      </c>
      <c r="K2821" s="15" t="s">
        <v>22</v>
      </c>
    </row>
    <row r="2822" spans="1:11" ht="42" customHeight="1">
      <c r="A2822" s="4" t="s">
        <v>6757</v>
      </c>
      <c r="B2822" s="5" t="s">
        <v>6757</v>
      </c>
      <c r="C2822" s="5" t="s">
        <v>17</v>
      </c>
      <c r="D2822" s="5" t="s">
        <v>18</v>
      </c>
      <c r="E2822" s="5" t="s">
        <v>426</v>
      </c>
      <c r="F2822" s="9">
        <v>75</v>
      </c>
      <c r="G2822" s="9">
        <v>796</v>
      </c>
      <c r="H2822" s="5" t="s">
        <v>20</v>
      </c>
      <c r="I2822" s="5" t="s">
        <v>6758</v>
      </c>
      <c r="J2822" s="12" t="str">
        <f>HYPERLINK("https://www.boe.es/gazeta/dias/1805/09/17/pdfs/GMD-1805-75.pdf#page=8","Abrir facsímil")</f>
        <v>Abrir facsímil</v>
      </c>
      <c r="K2822" s="15" t="s">
        <v>22</v>
      </c>
    </row>
    <row r="2823" spans="1:11" ht="42" customHeight="1">
      <c r="A2823" s="4" t="s">
        <v>6759</v>
      </c>
      <c r="B2823" s="5" t="s">
        <v>6759</v>
      </c>
      <c r="C2823" s="5" t="s">
        <v>35</v>
      </c>
      <c r="D2823" s="5" t="s">
        <v>36</v>
      </c>
      <c r="E2823" s="5" t="s">
        <v>286</v>
      </c>
      <c r="F2823" s="9">
        <v>48</v>
      </c>
      <c r="G2823" s="9">
        <v>519</v>
      </c>
      <c r="H2823" s="5" t="s">
        <v>20</v>
      </c>
      <c r="I2823" s="5" t="s">
        <v>6760</v>
      </c>
      <c r="J2823" s="12" t="str">
        <f>HYPERLINK("https://www.boe.es/gazeta/dias/1805/06/14/pdfs/GMD-1805-48.pdf#page=7","Abrir facsímil")</f>
        <v>Abrir facsímil</v>
      </c>
      <c r="K2823" s="15" t="s">
        <v>22</v>
      </c>
    </row>
    <row r="2824" spans="1:11" ht="42" customHeight="1">
      <c r="A2824" s="4" t="s">
        <v>6761</v>
      </c>
      <c r="B2824" s="5" t="s">
        <v>6762</v>
      </c>
      <c r="C2824" s="5" t="s">
        <v>80</v>
      </c>
      <c r="D2824" s="5" t="s">
        <v>81</v>
      </c>
      <c r="E2824" s="5" t="s">
        <v>226</v>
      </c>
      <c r="F2824" s="9">
        <v>73</v>
      </c>
      <c r="G2824" s="9">
        <v>770</v>
      </c>
      <c r="H2824" s="5" t="s">
        <v>20</v>
      </c>
      <c r="I2824" s="5" t="s">
        <v>6763</v>
      </c>
      <c r="J2824" s="12" t="str">
        <f>HYPERLINK("https://www.boe.es/gazeta/dias/1805/09/10/pdfs/GMD-1805-73.pdf#page=2","Abrir facsímil")</f>
        <v>Abrir facsímil</v>
      </c>
      <c r="K2824" s="15" t="s">
        <v>22</v>
      </c>
    </row>
    <row r="2825" spans="1:11" ht="42" customHeight="1">
      <c r="A2825" s="4" t="s">
        <v>6764</v>
      </c>
      <c r="B2825" s="5" t="s">
        <v>6764</v>
      </c>
      <c r="C2825" s="5" t="s">
        <v>17</v>
      </c>
      <c r="D2825" s="5" t="s">
        <v>18</v>
      </c>
      <c r="E2825" s="5" t="s">
        <v>76</v>
      </c>
      <c r="F2825" s="9">
        <v>66</v>
      </c>
      <c r="G2825" s="9">
        <v>706</v>
      </c>
      <c r="H2825" s="5" t="s">
        <v>20</v>
      </c>
      <c r="I2825" s="5" t="s">
        <v>6765</v>
      </c>
      <c r="J2825" s="12" t="str">
        <f>HYPERLINK("https://www.boe.es/gazeta/dias/1805/08/16/pdfs/GMD-1805-66.pdf#page=6","Abrir facsímil")</f>
        <v>Abrir facsímil</v>
      </c>
      <c r="K2825" s="15" t="s">
        <v>22</v>
      </c>
    </row>
    <row r="2826" spans="1:11" ht="42" customHeight="1">
      <c r="A2826" s="4" t="s">
        <v>6766</v>
      </c>
      <c r="B2826" s="5" t="s">
        <v>6767</v>
      </c>
      <c r="C2826" s="5" t="s">
        <v>184</v>
      </c>
      <c r="D2826" s="5" t="s">
        <v>86</v>
      </c>
      <c r="E2826" s="5" t="s">
        <v>261</v>
      </c>
      <c r="F2826" s="9">
        <v>18</v>
      </c>
      <c r="G2826" s="9">
        <v>184</v>
      </c>
      <c r="H2826" s="5" t="s">
        <v>20</v>
      </c>
      <c r="I2826" s="5" t="s">
        <v>6768</v>
      </c>
      <c r="J2826" s="12" t="str">
        <f>HYPERLINK("https://www.boe.es/gazeta/dias/1805/03/01/pdfs/GMD-1805-18.pdf#page=4","Abrir facsímil")</f>
        <v>Abrir facsímil</v>
      </c>
      <c r="K2826" s="15" t="s">
        <v>22</v>
      </c>
    </row>
    <row r="2827" spans="1:11" ht="42" customHeight="1">
      <c r="A2827" s="4" t="s">
        <v>6769</v>
      </c>
      <c r="B2827" s="5" t="s">
        <v>6770</v>
      </c>
      <c r="C2827" s="5" t="s">
        <v>85</v>
      </c>
      <c r="D2827" s="5" t="s">
        <v>86</v>
      </c>
      <c r="E2827" s="5" t="s">
        <v>117</v>
      </c>
      <c r="F2827" s="9">
        <v>20</v>
      </c>
      <c r="G2827" s="9">
        <v>201</v>
      </c>
      <c r="H2827" s="5" t="s">
        <v>20</v>
      </c>
      <c r="I2827" s="5" t="s">
        <v>6771</v>
      </c>
      <c r="J2827" s="12" t="str">
        <f>HYPERLINK("https://www.boe.es/gazeta/dias/1805/03/08/pdfs/GMD-1805-20.pdf#page=1","Abrir facsímil")</f>
        <v>Abrir facsímil</v>
      </c>
      <c r="K2827" s="15" t="s">
        <v>22</v>
      </c>
    </row>
    <row r="2828" spans="1:11" ht="42" customHeight="1">
      <c r="A2828" s="4" t="s">
        <v>6772</v>
      </c>
      <c r="B2828" s="5" t="s">
        <v>6772</v>
      </c>
      <c r="C2828" s="5" t="s">
        <v>35</v>
      </c>
      <c r="D2828" s="5" t="s">
        <v>36</v>
      </c>
      <c r="E2828" s="5" t="s">
        <v>217</v>
      </c>
      <c r="F2828" s="9">
        <v>96</v>
      </c>
      <c r="G2828" s="9">
        <v>1026</v>
      </c>
      <c r="H2828" s="5" t="s">
        <v>20</v>
      </c>
      <c r="I2828" s="5" t="s">
        <v>6773</v>
      </c>
      <c r="J2828" s="12" t="str">
        <f>HYPERLINK("https://www.boe.es/gazeta/dias/1805/11/29/pdfs/GMD-1805-96.pdf#page=2","Abrir facsímil")</f>
        <v>Abrir facsímil</v>
      </c>
      <c r="K2828" s="15" t="s">
        <v>22</v>
      </c>
    </row>
    <row r="2829" spans="1:11" ht="42" customHeight="1">
      <c r="A2829" s="4" t="s">
        <v>6772</v>
      </c>
      <c r="B2829" s="5" t="s">
        <v>6772</v>
      </c>
      <c r="C2829" s="5" t="s">
        <v>80</v>
      </c>
      <c r="D2829" s="5" t="s">
        <v>81</v>
      </c>
      <c r="E2829" s="5" t="s">
        <v>54</v>
      </c>
      <c r="F2829" s="9">
        <v>99</v>
      </c>
      <c r="G2829" s="9">
        <v>1062</v>
      </c>
      <c r="H2829" s="5" t="s">
        <v>20</v>
      </c>
      <c r="I2829" s="5" t="s">
        <v>6774</v>
      </c>
      <c r="J2829" s="12" t="str">
        <f>HYPERLINK("https://www.boe.es/gazeta/dias/1805/12/10/pdfs/GMD-1805-99.pdf#page=2","Abrir facsímil")</f>
        <v>Abrir facsímil</v>
      </c>
      <c r="K2829" s="15" t="s">
        <v>22</v>
      </c>
    </row>
    <row r="2830" spans="1:11" ht="42" customHeight="1">
      <c r="A2830" s="4" t="s">
        <v>6775</v>
      </c>
      <c r="B2830" s="5" t="s">
        <v>6775</v>
      </c>
      <c r="C2830" s="5" t="s">
        <v>17</v>
      </c>
      <c r="D2830" s="5" t="s">
        <v>18</v>
      </c>
      <c r="E2830" s="5" t="s">
        <v>128</v>
      </c>
      <c r="F2830" s="9">
        <v>23</v>
      </c>
      <c r="G2830" s="9">
        <v>242</v>
      </c>
      <c r="H2830" s="5" t="s">
        <v>20</v>
      </c>
      <c r="I2830" s="5" t="s">
        <v>6776</v>
      </c>
      <c r="J2830" s="12" t="str">
        <f>HYPERLINK("https://www.boe.es/gazeta/dias/1805/03/19/pdfs/GMD-1805-23.pdf#page=6","Abrir facsímil")</f>
        <v>Abrir facsímil</v>
      </c>
      <c r="K2830" s="15" t="s">
        <v>22</v>
      </c>
    </row>
    <row r="2831" spans="1:11" ht="42" customHeight="1">
      <c r="A2831" s="4" t="s">
        <v>6775</v>
      </c>
      <c r="B2831" s="5" t="s">
        <v>6775</v>
      </c>
      <c r="C2831" s="5" t="s">
        <v>184</v>
      </c>
      <c r="D2831" s="5" t="s">
        <v>86</v>
      </c>
      <c r="E2831" s="5" t="s">
        <v>128</v>
      </c>
      <c r="F2831" s="9">
        <v>23</v>
      </c>
      <c r="G2831" s="9">
        <v>244</v>
      </c>
      <c r="H2831" s="5" t="s">
        <v>20</v>
      </c>
      <c r="I2831" s="5" t="s">
        <v>6777</v>
      </c>
      <c r="J2831" s="12" t="str">
        <f>HYPERLINK("https://www.boe.es/gazeta/dias/1805/03/19/pdfs/GMD-1805-23.pdf#page=8","Abrir facsímil")</f>
        <v>Abrir facsímil</v>
      </c>
      <c r="K2831" s="15" t="s">
        <v>22</v>
      </c>
    </row>
    <row r="2832" spans="1:11" ht="42" customHeight="1">
      <c r="A2832" s="4" t="s">
        <v>6778</v>
      </c>
      <c r="B2832" s="5" t="s">
        <v>6779</v>
      </c>
      <c r="C2832" s="5" t="s">
        <v>80</v>
      </c>
      <c r="D2832" s="5" t="s">
        <v>81</v>
      </c>
      <c r="E2832" s="5" t="s">
        <v>192</v>
      </c>
      <c r="F2832" s="9">
        <v>105</v>
      </c>
      <c r="G2832" s="9">
        <v>1132</v>
      </c>
      <c r="H2832" s="5" t="s">
        <v>20</v>
      </c>
      <c r="I2832" s="5" t="s">
        <v>6780</v>
      </c>
      <c r="J2832" s="12" t="str">
        <f>HYPERLINK("https://www.boe.es/gazeta/dias/1805/12/31/pdfs/GMD-1805-105.pdf#page=4","Abrir facsímil")</f>
        <v>Abrir facsímil</v>
      </c>
      <c r="K2832" s="15" t="s">
        <v>22</v>
      </c>
    </row>
    <row r="2833" spans="1:11" ht="42" customHeight="1">
      <c r="A2833" s="4" t="s">
        <v>6781</v>
      </c>
      <c r="B2833" s="5" t="s">
        <v>6781</v>
      </c>
      <c r="C2833" s="5" t="s">
        <v>29</v>
      </c>
      <c r="D2833" s="5" t="s">
        <v>30</v>
      </c>
      <c r="E2833" s="5" t="s">
        <v>122</v>
      </c>
      <c r="F2833" s="9">
        <v>38</v>
      </c>
      <c r="G2833" s="9">
        <v>410</v>
      </c>
      <c r="H2833" s="5" t="s">
        <v>20</v>
      </c>
      <c r="I2833" s="5" t="s">
        <v>6782</v>
      </c>
      <c r="J2833" s="12" t="str">
        <f>HYPERLINK("https://www.boe.es/gazeta/dias/1805/05/10/pdfs/GMD-1805-38.pdf#page=6","Abrir facsímil")</f>
        <v>Abrir facsímil</v>
      </c>
      <c r="K2833" s="15" t="s">
        <v>22</v>
      </c>
    </row>
    <row r="2834" spans="1:11" ht="42" customHeight="1">
      <c r="A2834" s="4" t="s">
        <v>6783</v>
      </c>
      <c r="B2834" s="5" t="s">
        <v>6784</v>
      </c>
      <c r="C2834" s="5" t="s">
        <v>35</v>
      </c>
      <c r="D2834" s="5" t="s">
        <v>36</v>
      </c>
      <c r="E2834" s="5" t="s">
        <v>82</v>
      </c>
      <c r="F2834" s="9">
        <v>25</v>
      </c>
      <c r="G2834" s="9">
        <v>265</v>
      </c>
      <c r="H2834" s="5" t="s">
        <v>20</v>
      </c>
      <c r="I2834" s="5" t="s">
        <v>6785</v>
      </c>
      <c r="J2834" s="12" t="str">
        <f>HYPERLINK("https://www.boe.es/gazeta/dias/1805/03/26/pdfs/GMD-1805-25.pdf#page=5","Abrir facsímil")</f>
        <v>Abrir facsímil</v>
      </c>
      <c r="K2834" s="15" t="s">
        <v>22</v>
      </c>
    </row>
    <row r="2835" spans="1:11" ht="42" customHeight="1">
      <c r="A2835" s="4" t="s">
        <v>6786</v>
      </c>
      <c r="B2835" s="5" t="s">
        <v>6787</v>
      </c>
      <c r="C2835" s="5" t="s">
        <v>35</v>
      </c>
      <c r="D2835" s="5" t="s">
        <v>36</v>
      </c>
      <c r="E2835" s="5" t="s">
        <v>226</v>
      </c>
      <c r="F2835" s="9">
        <v>73</v>
      </c>
      <c r="G2835" s="9">
        <v>770</v>
      </c>
      <c r="H2835" s="5" t="s">
        <v>20</v>
      </c>
      <c r="I2835" s="5" t="s">
        <v>6788</v>
      </c>
      <c r="J2835" s="12" t="str">
        <f>HYPERLINK("https://www.boe.es/gazeta/dias/1805/09/10/pdfs/GMD-1805-73.pdf#page=2","Abrir facsímil")</f>
        <v>Abrir facsímil</v>
      </c>
      <c r="K2835" s="15" t="s">
        <v>22</v>
      </c>
    </row>
    <row r="2836" spans="1:11" ht="42" customHeight="1">
      <c r="A2836" s="4" t="s">
        <v>6789</v>
      </c>
      <c r="B2836" s="5" t="s">
        <v>6790</v>
      </c>
      <c r="C2836" s="5" t="s">
        <v>80</v>
      </c>
      <c r="D2836" s="5" t="s">
        <v>81</v>
      </c>
      <c r="E2836" s="5" t="s">
        <v>132</v>
      </c>
      <c r="F2836" s="9">
        <v>2</v>
      </c>
      <c r="G2836" s="9">
        <v>16</v>
      </c>
      <c r="H2836" s="5" t="s">
        <v>20</v>
      </c>
      <c r="I2836" s="5" t="s">
        <v>6791</v>
      </c>
      <c r="J2836" s="12" t="str">
        <f>HYPERLINK("https://www.boe.es/gazeta/dias/1805/01/04/pdfs/GMD-1805-2.pdf#page=4","Abrir facsímil")</f>
        <v>Abrir facsímil</v>
      </c>
      <c r="K2836" s="15" t="s">
        <v>22</v>
      </c>
    </row>
    <row r="2837" spans="1:11" ht="42" customHeight="1">
      <c r="A2837" s="4" t="s">
        <v>6789</v>
      </c>
      <c r="B2837" s="5" t="s">
        <v>6790</v>
      </c>
      <c r="C2837" s="5" t="s">
        <v>80</v>
      </c>
      <c r="D2837" s="5" t="s">
        <v>81</v>
      </c>
      <c r="E2837" s="5" t="s">
        <v>114</v>
      </c>
      <c r="F2837" s="9">
        <v>17</v>
      </c>
      <c r="G2837" s="9">
        <v>170</v>
      </c>
      <c r="H2837" s="5" t="s">
        <v>20</v>
      </c>
      <c r="I2837" s="5" t="s">
        <v>6792</v>
      </c>
      <c r="J2837" s="12" t="str">
        <f>HYPERLINK("https://www.boe.es/gazeta/dias/1805/02/26/pdfs/GMD-1805-17.pdf#page=2","Abrir facsímil")</f>
        <v>Abrir facsímil</v>
      </c>
      <c r="K2837" s="15" t="s">
        <v>22</v>
      </c>
    </row>
    <row r="2838" spans="1:11" ht="42" customHeight="1">
      <c r="A2838" s="4" t="s">
        <v>6789</v>
      </c>
      <c r="B2838" s="5" t="s">
        <v>6790</v>
      </c>
      <c r="C2838" s="5" t="s">
        <v>17</v>
      </c>
      <c r="D2838" s="5" t="s">
        <v>18</v>
      </c>
      <c r="E2838" s="5" t="s">
        <v>59</v>
      </c>
      <c r="F2838" s="9">
        <v>21</v>
      </c>
      <c r="G2838" s="9">
        <v>216</v>
      </c>
      <c r="H2838" s="5" t="s">
        <v>20</v>
      </c>
      <c r="I2838" s="5" t="s">
        <v>6793</v>
      </c>
      <c r="J2838" s="12" t="str">
        <f>HYPERLINK("https://www.boe.es/gazeta/dias/1805/03/12/pdfs/GMD-1805-21.pdf#page=4","Abrir facsímil")</f>
        <v>Abrir facsímil</v>
      </c>
      <c r="K2838" s="15" t="s">
        <v>22</v>
      </c>
    </row>
    <row r="2839" spans="1:11" ht="42" customHeight="1">
      <c r="A2839" s="4" t="s">
        <v>6789</v>
      </c>
      <c r="B2839" s="5" t="s">
        <v>6790</v>
      </c>
      <c r="C2839" s="5" t="s">
        <v>35</v>
      </c>
      <c r="D2839" s="5" t="s">
        <v>36</v>
      </c>
      <c r="E2839" s="5" t="s">
        <v>54</v>
      </c>
      <c r="F2839" s="9">
        <v>99</v>
      </c>
      <c r="G2839" s="9">
        <v>1062</v>
      </c>
      <c r="H2839" s="5" t="s">
        <v>20</v>
      </c>
      <c r="I2839" s="5" t="s">
        <v>6794</v>
      </c>
      <c r="J2839" s="12" t="str">
        <f>HYPERLINK("https://www.boe.es/gazeta/dias/1805/12/10/pdfs/GMD-1805-99.pdf#page=2","Abrir facsímil")</f>
        <v>Abrir facsímil</v>
      </c>
      <c r="K2839" s="15" t="s">
        <v>22</v>
      </c>
    </row>
    <row r="2840" spans="1:11" ht="42" customHeight="1">
      <c r="A2840" s="4" t="s">
        <v>6795</v>
      </c>
      <c r="B2840" s="5" t="s">
        <v>6796</v>
      </c>
      <c r="C2840" s="5" t="s">
        <v>35</v>
      </c>
      <c r="D2840" s="5" t="s">
        <v>36</v>
      </c>
      <c r="E2840" s="5" t="s">
        <v>296</v>
      </c>
      <c r="F2840" s="9">
        <v>26</v>
      </c>
      <c r="G2840" s="9">
        <v>275</v>
      </c>
      <c r="H2840" s="5" t="s">
        <v>20</v>
      </c>
      <c r="I2840" s="5" t="s">
        <v>6797</v>
      </c>
      <c r="J2840" s="12" t="str">
        <f>HYPERLINK("https://www.boe.es/gazeta/dias/1805/03/29/pdfs/GMD-1805-26.pdf#page=7","Abrir facsímil")</f>
        <v>Abrir facsímil</v>
      </c>
      <c r="K2840" s="15" t="s">
        <v>22</v>
      </c>
    </row>
    <row r="2841" spans="1:11" ht="42" customHeight="1">
      <c r="A2841" s="4" t="s">
        <v>6795</v>
      </c>
      <c r="B2841" s="5" t="s">
        <v>6796</v>
      </c>
      <c r="C2841" s="5" t="s">
        <v>17</v>
      </c>
      <c r="D2841" s="5" t="s">
        <v>18</v>
      </c>
      <c r="E2841" s="5" t="s">
        <v>440</v>
      </c>
      <c r="F2841" s="9">
        <v>27</v>
      </c>
      <c r="G2841" s="9">
        <v>283</v>
      </c>
      <c r="H2841" s="5" t="s">
        <v>20</v>
      </c>
      <c r="I2841" s="5" t="s">
        <v>6798</v>
      </c>
      <c r="J2841" s="12" t="str">
        <f>HYPERLINK("https://www.boe.es/gazeta/dias/1805/04/02/pdfs/GMD-1805-27.pdf#page=3","Abrir facsímil")</f>
        <v>Abrir facsímil</v>
      </c>
      <c r="K2841" s="15" t="s">
        <v>22</v>
      </c>
    </row>
    <row r="2842" spans="1:11" ht="42" customHeight="1">
      <c r="A2842" s="4" t="s">
        <v>6799</v>
      </c>
      <c r="B2842" s="5" t="s">
        <v>6800</v>
      </c>
      <c r="C2842" s="5" t="s">
        <v>80</v>
      </c>
      <c r="D2842" s="5" t="s">
        <v>81</v>
      </c>
      <c r="E2842" s="5" t="s">
        <v>27</v>
      </c>
      <c r="F2842" s="9">
        <v>37</v>
      </c>
      <c r="G2842" s="9">
        <v>399</v>
      </c>
      <c r="H2842" s="5" t="s">
        <v>20</v>
      </c>
      <c r="I2842" s="5" t="s">
        <v>6801</v>
      </c>
      <c r="J2842" s="12" t="str">
        <f>HYPERLINK("https://www.boe.es/gazeta/dias/1805/05/07/pdfs/GMD-1805-37.pdf#page=7","Abrir facsímil")</f>
        <v>Abrir facsímil</v>
      </c>
      <c r="K2842" s="15" t="s">
        <v>22</v>
      </c>
    </row>
    <row r="2843" spans="1:11" ht="42" customHeight="1">
      <c r="A2843" s="4" t="s">
        <v>6802</v>
      </c>
      <c r="B2843" s="5" t="s">
        <v>6802</v>
      </c>
      <c r="C2843" s="5" t="s">
        <v>80</v>
      </c>
      <c r="D2843" s="5" t="s">
        <v>81</v>
      </c>
      <c r="E2843" s="5" t="s">
        <v>864</v>
      </c>
      <c r="F2843" s="9">
        <v>88</v>
      </c>
      <c r="G2843" s="9">
        <v>931</v>
      </c>
      <c r="H2843" s="5" t="s">
        <v>20</v>
      </c>
      <c r="I2843" s="5" t="s">
        <v>6803</v>
      </c>
      <c r="J2843" s="12" t="str">
        <f>HYPERLINK("https://www.boe.es/gazeta/dias/1805/11/01/pdfs/GMD-1805-88.pdf#page=3","Abrir facsímil")</f>
        <v>Abrir facsímil</v>
      </c>
      <c r="K2843" s="15" t="s">
        <v>22</v>
      </c>
    </row>
    <row r="2844" spans="1:11" ht="42" customHeight="1">
      <c r="A2844" s="4" t="s">
        <v>6804</v>
      </c>
      <c r="B2844" s="5" t="s">
        <v>6804</v>
      </c>
      <c r="C2844" s="5" t="s">
        <v>80</v>
      </c>
      <c r="D2844" s="5" t="s">
        <v>81</v>
      </c>
      <c r="E2844" s="5" t="s">
        <v>209</v>
      </c>
      <c r="F2844" s="9">
        <v>89</v>
      </c>
      <c r="G2844" s="9">
        <v>943</v>
      </c>
      <c r="H2844" s="5" t="s">
        <v>20</v>
      </c>
      <c r="I2844" s="5" t="s">
        <v>6805</v>
      </c>
      <c r="J2844" s="12" t="str">
        <f>HYPERLINK("https://www.boe.es/gazeta/dias/1805/11/05/pdfs/GMD-1805-89.pdf#page=3","Abrir facsímil")</f>
        <v>Abrir facsímil</v>
      </c>
      <c r="K2844" s="15" t="s">
        <v>22</v>
      </c>
    </row>
    <row r="2845" spans="1:11" ht="42" customHeight="1">
      <c r="A2845" s="4" t="s">
        <v>6804</v>
      </c>
      <c r="B2845" s="5" t="s">
        <v>6804</v>
      </c>
      <c r="C2845" s="5" t="s">
        <v>80</v>
      </c>
      <c r="D2845" s="5" t="s">
        <v>81</v>
      </c>
      <c r="E2845" s="5" t="s">
        <v>209</v>
      </c>
      <c r="F2845" s="9">
        <v>89</v>
      </c>
      <c r="G2845" s="9">
        <v>944</v>
      </c>
      <c r="H2845" s="5" t="s">
        <v>20</v>
      </c>
      <c r="I2845" s="5" t="s">
        <v>6806</v>
      </c>
      <c r="J2845" s="12" t="str">
        <f>HYPERLINK("https://www.boe.es/gazeta/dias/1805/11/05/pdfs/GMD-1805-89.pdf#page=4","Abrir facsímil")</f>
        <v>Abrir facsímil</v>
      </c>
      <c r="K2845" s="15" t="s">
        <v>22</v>
      </c>
    </row>
    <row r="2846" spans="1:11" ht="42" customHeight="1">
      <c r="A2846" s="4" t="s">
        <v>6807</v>
      </c>
      <c r="B2846" s="5" t="s">
        <v>6807</v>
      </c>
      <c r="C2846" s="5" t="s">
        <v>80</v>
      </c>
      <c r="D2846" s="5" t="s">
        <v>81</v>
      </c>
      <c r="E2846" s="5" t="s">
        <v>303</v>
      </c>
      <c r="F2846" s="9">
        <v>57</v>
      </c>
      <c r="G2846" s="9">
        <v>607</v>
      </c>
      <c r="H2846" s="5" t="s">
        <v>20</v>
      </c>
      <c r="I2846" s="5" t="s">
        <v>6808</v>
      </c>
      <c r="J2846" s="12" t="str">
        <f>HYPERLINK("https://www.boe.es/gazeta/dias/1805/07/16/pdfs/GMD-1805-57.pdf#page=3","Abrir facsímil")</f>
        <v>Abrir facsímil</v>
      </c>
      <c r="K2846" s="15" t="s">
        <v>22</v>
      </c>
    </row>
    <row r="2847" spans="1:11" ht="42" customHeight="1">
      <c r="A2847" s="4" t="s">
        <v>6809</v>
      </c>
      <c r="B2847" s="5" t="s">
        <v>6810</v>
      </c>
      <c r="C2847" s="5" t="s">
        <v>80</v>
      </c>
      <c r="D2847" s="5" t="s">
        <v>81</v>
      </c>
      <c r="E2847" s="5" t="s">
        <v>99</v>
      </c>
      <c r="F2847" s="9">
        <v>83</v>
      </c>
      <c r="G2847" s="9">
        <v>874</v>
      </c>
      <c r="H2847" s="5" t="s">
        <v>20</v>
      </c>
      <c r="I2847" s="5" t="s">
        <v>6811</v>
      </c>
      <c r="J2847" s="12" t="str">
        <f>HYPERLINK("https://www.boe.es/gazeta/dias/1805/10/15/pdfs/GMD-1805-83.pdf#page=2","Abrir facsímil")</f>
        <v>Abrir facsímil</v>
      </c>
      <c r="K2847" s="15" t="s">
        <v>22</v>
      </c>
    </row>
    <row r="2848" spans="1:11" ht="42" customHeight="1">
      <c r="A2848" s="4" t="s">
        <v>6812</v>
      </c>
      <c r="B2848" s="5" t="s">
        <v>6813</v>
      </c>
      <c r="C2848" s="5" t="s">
        <v>17</v>
      </c>
      <c r="D2848" s="5" t="s">
        <v>18</v>
      </c>
      <c r="E2848" s="5" t="s">
        <v>107</v>
      </c>
      <c r="F2848" s="9">
        <v>19</v>
      </c>
      <c r="G2848" s="9">
        <v>190</v>
      </c>
      <c r="H2848" s="5" t="s">
        <v>20</v>
      </c>
      <c r="I2848" s="5" t="s">
        <v>6814</v>
      </c>
      <c r="J2848" s="12" t="str">
        <f>HYPERLINK("https://www.boe.es/gazeta/dias/1805/03/05/pdfs/GMD-1805-19.pdf#page=2","Abrir facsímil")</f>
        <v>Abrir facsímil</v>
      </c>
      <c r="K2848" s="15" t="s">
        <v>22</v>
      </c>
    </row>
    <row r="2849" spans="1:11" ht="42" customHeight="1">
      <c r="A2849" s="4" t="s">
        <v>6812</v>
      </c>
      <c r="B2849" s="5" t="s">
        <v>6813</v>
      </c>
      <c r="C2849" s="5" t="s">
        <v>17</v>
      </c>
      <c r="D2849" s="5" t="s">
        <v>18</v>
      </c>
      <c r="E2849" s="5" t="s">
        <v>471</v>
      </c>
      <c r="F2849" s="9">
        <v>22</v>
      </c>
      <c r="G2849" s="9">
        <v>226</v>
      </c>
      <c r="H2849" s="5" t="s">
        <v>20</v>
      </c>
      <c r="I2849" s="5" t="s">
        <v>6815</v>
      </c>
      <c r="J2849" s="12" t="str">
        <f>HYPERLINK("https://www.boe.es/gazeta/dias/1805/03/15/pdfs/GMD-1805-22.pdf#page=2","Abrir facsímil")</f>
        <v>Abrir facsímil</v>
      </c>
      <c r="K2849" s="15" t="s">
        <v>22</v>
      </c>
    </row>
    <row r="2850" spans="1:11" ht="42" customHeight="1">
      <c r="A2850" s="4" t="s">
        <v>6812</v>
      </c>
      <c r="B2850" s="5" t="s">
        <v>6813</v>
      </c>
      <c r="C2850" s="5" t="s">
        <v>80</v>
      </c>
      <c r="D2850" s="5" t="s">
        <v>81</v>
      </c>
      <c r="E2850" s="5" t="s">
        <v>1494</v>
      </c>
      <c r="F2850" s="9">
        <v>31</v>
      </c>
      <c r="G2850" s="9">
        <v>329</v>
      </c>
      <c r="H2850" s="5" t="s">
        <v>20</v>
      </c>
      <c r="I2850" s="5" t="s">
        <v>6816</v>
      </c>
      <c r="J2850" s="12" t="str">
        <f>HYPERLINK("https://www.boe.es/gazeta/dias/1805/04/16/pdfs/GMD-1805-31.pdf#page=5","Abrir facsímil")</f>
        <v>Abrir facsímil</v>
      </c>
      <c r="K2850" s="15" t="s">
        <v>22</v>
      </c>
    </row>
    <row r="2851" spans="1:11" ht="42" customHeight="1">
      <c r="A2851" s="4" t="s">
        <v>6812</v>
      </c>
      <c r="B2851" s="5" t="s">
        <v>6813</v>
      </c>
      <c r="C2851" s="5" t="s">
        <v>80</v>
      </c>
      <c r="D2851" s="5" t="s">
        <v>81</v>
      </c>
      <c r="E2851" s="5" t="s">
        <v>27</v>
      </c>
      <c r="F2851" s="9">
        <v>37</v>
      </c>
      <c r="G2851" s="9">
        <v>398</v>
      </c>
      <c r="H2851" s="5" t="s">
        <v>20</v>
      </c>
      <c r="I2851" s="5" t="s">
        <v>6817</v>
      </c>
      <c r="J2851" s="12" t="str">
        <f>HYPERLINK("https://www.boe.es/gazeta/dias/1805/05/07/pdfs/GMD-1805-37.pdf#page=6","Abrir facsímil")</f>
        <v>Abrir facsímil</v>
      </c>
      <c r="K2851" s="15" t="s">
        <v>22</v>
      </c>
    </row>
    <row r="2852" spans="1:11" ht="42" customHeight="1">
      <c r="A2852" s="4" t="s">
        <v>6812</v>
      </c>
      <c r="B2852" s="5" t="s">
        <v>6813</v>
      </c>
      <c r="C2852" s="5" t="s">
        <v>80</v>
      </c>
      <c r="D2852" s="5" t="s">
        <v>81</v>
      </c>
      <c r="E2852" s="5" t="s">
        <v>122</v>
      </c>
      <c r="F2852" s="9">
        <v>38</v>
      </c>
      <c r="G2852" s="9">
        <v>408</v>
      </c>
      <c r="H2852" s="5" t="s">
        <v>20</v>
      </c>
      <c r="I2852" s="5" t="s">
        <v>6818</v>
      </c>
      <c r="J2852" s="12" t="str">
        <f>HYPERLINK("https://www.boe.es/gazeta/dias/1805/05/10/pdfs/GMD-1805-38.pdf#page=4","Abrir facsímil")</f>
        <v>Abrir facsímil</v>
      </c>
      <c r="K2852" s="15" t="s">
        <v>22</v>
      </c>
    </row>
    <row r="2853" spans="1:11" ht="42" customHeight="1">
      <c r="A2853" s="4" t="s">
        <v>6812</v>
      </c>
      <c r="B2853" s="5" t="s">
        <v>6813</v>
      </c>
      <c r="C2853" s="5" t="s">
        <v>17</v>
      </c>
      <c r="D2853" s="5" t="s">
        <v>18</v>
      </c>
      <c r="E2853" s="5" t="s">
        <v>393</v>
      </c>
      <c r="F2853" s="9">
        <v>44</v>
      </c>
      <c r="G2853" s="9">
        <v>468</v>
      </c>
      <c r="H2853" s="5" t="s">
        <v>20</v>
      </c>
      <c r="I2853" s="5" t="s">
        <v>6819</v>
      </c>
      <c r="J2853" s="12" t="str">
        <f>HYPERLINK("https://www.boe.es/gazeta/dias/1805/05/31/pdfs/GMD-1805-44.pdf#page=4","Abrir facsímil")</f>
        <v>Abrir facsímil</v>
      </c>
      <c r="K2853" s="15" t="s">
        <v>22</v>
      </c>
    </row>
    <row r="2854" spans="1:11" ht="42" customHeight="1">
      <c r="A2854" s="4" t="s">
        <v>6812</v>
      </c>
      <c r="B2854" s="5" t="s">
        <v>6813</v>
      </c>
      <c r="C2854" s="5" t="s">
        <v>80</v>
      </c>
      <c r="D2854" s="5" t="s">
        <v>81</v>
      </c>
      <c r="E2854" s="5" t="s">
        <v>276</v>
      </c>
      <c r="F2854" s="9">
        <v>51</v>
      </c>
      <c r="G2854" s="9">
        <v>547</v>
      </c>
      <c r="H2854" s="5" t="s">
        <v>20</v>
      </c>
      <c r="I2854" s="5" t="s">
        <v>6820</v>
      </c>
      <c r="J2854" s="12" t="str">
        <f>HYPERLINK("https://www.boe.es/gazeta/dias/1805/06/25/pdfs/GMD-1805-51.pdf#page=3","Abrir facsímil")</f>
        <v>Abrir facsímil</v>
      </c>
      <c r="K2854" s="15" t="s">
        <v>22</v>
      </c>
    </row>
    <row r="2855" spans="1:11" ht="42" customHeight="1">
      <c r="A2855" s="4" t="s">
        <v>6821</v>
      </c>
      <c r="B2855" s="5" t="s">
        <v>6821</v>
      </c>
      <c r="C2855" s="5" t="s">
        <v>184</v>
      </c>
      <c r="D2855" s="5" t="s">
        <v>86</v>
      </c>
      <c r="E2855" s="5" t="s">
        <v>512</v>
      </c>
      <c r="F2855" s="9">
        <v>100</v>
      </c>
      <c r="G2855" s="9">
        <v>1083</v>
      </c>
      <c r="H2855" s="5" t="s">
        <v>20</v>
      </c>
      <c r="I2855" s="5" t="s">
        <v>6822</v>
      </c>
      <c r="J2855" s="12" t="str">
        <f>HYPERLINK("https://www.boe.es/gazeta/dias/1805/12/13/pdfs/GMD-1805-100.pdf#page=11","Abrir facsímil")</f>
        <v>Abrir facsímil</v>
      </c>
      <c r="K2855" s="15" t="s">
        <v>22</v>
      </c>
    </row>
    <row r="2856" spans="1:11" ht="42" customHeight="1">
      <c r="A2856" s="4" t="s">
        <v>6823</v>
      </c>
      <c r="B2856" s="5" t="s">
        <v>6824</v>
      </c>
      <c r="C2856" s="5" t="s">
        <v>17</v>
      </c>
      <c r="D2856" s="5" t="s">
        <v>18</v>
      </c>
      <c r="E2856" s="5" t="s">
        <v>495</v>
      </c>
      <c r="F2856" s="9">
        <v>103</v>
      </c>
      <c r="G2856" s="9">
        <v>1114</v>
      </c>
      <c r="H2856" s="5" t="s">
        <v>20</v>
      </c>
      <c r="I2856" s="5" t="s">
        <v>6825</v>
      </c>
      <c r="J2856" s="12" t="str">
        <f>HYPERLINK("https://www.boe.es/gazeta/dias/1805/12/24/pdfs/GMD-1805-103.pdf#page=6","Abrir facsímil")</f>
        <v>Abrir facsímil</v>
      </c>
      <c r="K2856" s="15" t="s">
        <v>22</v>
      </c>
    </row>
    <row r="2857" spans="1:11" ht="42" customHeight="1">
      <c r="A2857" s="4" t="s">
        <v>6826</v>
      </c>
      <c r="B2857" s="5" t="s">
        <v>6826</v>
      </c>
      <c r="C2857" s="5" t="s">
        <v>17</v>
      </c>
      <c r="D2857" s="5" t="s">
        <v>18</v>
      </c>
      <c r="E2857" s="5" t="s">
        <v>114</v>
      </c>
      <c r="F2857" s="9">
        <v>17</v>
      </c>
      <c r="G2857" s="9">
        <v>176</v>
      </c>
      <c r="H2857" s="5" t="s">
        <v>20</v>
      </c>
      <c r="I2857" s="5" t="s">
        <v>6827</v>
      </c>
      <c r="J2857" s="12" t="str">
        <f>HYPERLINK("https://www.boe.es/gazeta/dias/1805/02/26/pdfs/GMD-1805-17.pdf#page=8","Abrir facsímil")</f>
        <v>Abrir facsímil</v>
      </c>
      <c r="K2857" s="15" t="s">
        <v>22</v>
      </c>
    </row>
    <row r="2858" spans="1:11" ht="42" customHeight="1">
      <c r="A2858" s="4" t="s">
        <v>6826</v>
      </c>
      <c r="B2858" s="5" t="s">
        <v>6826</v>
      </c>
      <c r="C2858" s="5" t="s">
        <v>80</v>
      </c>
      <c r="D2858" s="5" t="s">
        <v>81</v>
      </c>
      <c r="E2858" s="5" t="s">
        <v>711</v>
      </c>
      <c r="F2858" s="9">
        <v>63</v>
      </c>
      <c r="G2858" s="9">
        <v>667</v>
      </c>
      <c r="H2858" s="5" t="s">
        <v>20</v>
      </c>
      <c r="I2858" s="5" t="s">
        <v>6828</v>
      </c>
      <c r="J2858" s="12" t="str">
        <f>HYPERLINK("https://www.boe.es/gazeta/dias/1805/08/06/pdfs/GMD-1805-63.pdf#page=3","Abrir facsímil")</f>
        <v>Abrir facsímil</v>
      </c>
      <c r="K2858" s="15" t="s">
        <v>22</v>
      </c>
    </row>
    <row r="2859" spans="1:11" ht="42" customHeight="1">
      <c r="A2859" s="4" t="s">
        <v>6829</v>
      </c>
      <c r="B2859" s="5" t="s">
        <v>6830</v>
      </c>
      <c r="C2859" s="5" t="s">
        <v>80</v>
      </c>
      <c r="D2859" s="5" t="s">
        <v>81</v>
      </c>
      <c r="E2859" s="5" t="s">
        <v>422</v>
      </c>
      <c r="F2859" s="9">
        <v>74</v>
      </c>
      <c r="G2859" s="9">
        <v>783</v>
      </c>
      <c r="H2859" s="5" t="s">
        <v>20</v>
      </c>
      <c r="I2859" s="5" t="s">
        <v>6831</v>
      </c>
      <c r="J2859" s="12" t="str">
        <f>HYPERLINK("https://www.boe.es/gazeta/dias/1805/09/13/pdfs/GMD-1805-74.pdf#page=7","Abrir facsímil")</f>
        <v>Abrir facsímil</v>
      </c>
      <c r="K2859" s="15" t="s">
        <v>22</v>
      </c>
    </row>
    <row r="2860" spans="1:11" ht="42" customHeight="1">
      <c r="A2860" s="4" t="s">
        <v>6832</v>
      </c>
      <c r="B2860" s="5" t="s">
        <v>6832</v>
      </c>
      <c r="C2860" s="5" t="s">
        <v>80</v>
      </c>
      <c r="D2860" s="5" t="s">
        <v>81</v>
      </c>
      <c r="E2860" s="5" t="s">
        <v>48</v>
      </c>
      <c r="F2860" s="9">
        <v>35</v>
      </c>
      <c r="G2860" s="9">
        <v>375</v>
      </c>
      <c r="H2860" s="5" t="s">
        <v>20</v>
      </c>
      <c r="I2860" s="5" t="s">
        <v>6833</v>
      </c>
      <c r="J2860" s="12" t="str">
        <f>HYPERLINK("https://www.boe.es/gazeta/dias/1805/04/30/pdfs/GMD-1805-35.pdf#page=7","Abrir facsímil")</f>
        <v>Abrir facsímil</v>
      </c>
      <c r="K2860" s="15" t="s">
        <v>22</v>
      </c>
    </row>
    <row r="2861" spans="1:11" ht="42" customHeight="1">
      <c r="A2861" s="4" t="s">
        <v>6834</v>
      </c>
      <c r="B2861" s="5" t="s">
        <v>6835</v>
      </c>
      <c r="C2861" s="5" t="s">
        <v>80</v>
      </c>
      <c r="D2861" s="5" t="s">
        <v>81</v>
      </c>
      <c r="E2861" s="5" t="s">
        <v>787</v>
      </c>
      <c r="F2861" s="9">
        <v>95</v>
      </c>
      <c r="G2861" s="9">
        <v>1014</v>
      </c>
      <c r="H2861" s="5" t="s">
        <v>20</v>
      </c>
      <c r="I2861" s="5" t="s">
        <v>6836</v>
      </c>
      <c r="J2861" s="12" t="str">
        <f>HYPERLINK("https://www.boe.es/gazeta/dias/1805/11/26/pdfs/GMD-1805-95.pdf#page=2","Abrir facsímil")</f>
        <v>Abrir facsímil</v>
      </c>
      <c r="K2861" s="15" t="s">
        <v>22</v>
      </c>
    </row>
    <row r="2862" spans="1:11" ht="42" customHeight="1">
      <c r="A2862" s="4" t="s">
        <v>6837</v>
      </c>
      <c r="B2862" s="5" t="s">
        <v>6838</v>
      </c>
      <c r="C2862" s="5" t="s">
        <v>80</v>
      </c>
      <c r="D2862" s="5" t="s">
        <v>81</v>
      </c>
      <c r="E2862" s="5" t="s">
        <v>300</v>
      </c>
      <c r="F2862" s="9">
        <v>81</v>
      </c>
      <c r="G2862" s="9">
        <v>853</v>
      </c>
      <c r="H2862" s="5" t="s">
        <v>20</v>
      </c>
      <c r="I2862" s="5" t="s">
        <v>6839</v>
      </c>
      <c r="J2862" s="12" t="str">
        <f>HYPERLINK("https://www.boe.es/gazeta/dias/1805/10/08/pdfs/GMD-1805-81.pdf#page=1","Abrir facsímil")</f>
        <v>Abrir facsímil</v>
      </c>
      <c r="K2862" s="15" t="s">
        <v>22</v>
      </c>
    </row>
    <row r="2863" spans="1:11" ht="42" customHeight="1">
      <c r="A2863" s="4" t="s">
        <v>6840</v>
      </c>
      <c r="B2863" s="5" t="s">
        <v>6841</v>
      </c>
      <c r="C2863" s="5" t="s">
        <v>35</v>
      </c>
      <c r="D2863" s="5" t="s">
        <v>36</v>
      </c>
      <c r="E2863" s="5" t="s">
        <v>539</v>
      </c>
      <c r="F2863" s="9">
        <v>97</v>
      </c>
      <c r="G2863" s="9">
        <v>1043</v>
      </c>
      <c r="H2863" s="5" t="s">
        <v>20</v>
      </c>
      <c r="I2863" s="5" t="s">
        <v>6842</v>
      </c>
      <c r="J2863" s="12" t="str">
        <f>HYPERLINK("https://www.boe.es/gazeta/dias/1805/12/03/pdfs/GMD-1805-97.pdf#page=7","Abrir facsímil")</f>
        <v>Abrir facsímil</v>
      </c>
      <c r="K2863" s="15" t="s">
        <v>22</v>
      </c>
    </row>
    <row r="2864" spans="1:11" ht="42" customHeight="1">
      <c r="A2864" s="4" t="s">
        <v>6843</v>
      </c>
      <c r="B2864" s="5" t="s">
        <v>6844</v>
      </c>
      <c r="C2864" s="5" t="s">
        <v>35</v>
      </c>
      <c r="D2864" s="5" t="s">
        <v>36</v>
      </c>
      <c r="E2864" s="5" t="s">
        <v>422</v>
      </c>
      <c r="F2864" s="9">
        <v>74</v>
      </c>
      <c r="G2864" s="9">
        <v>784</v>
      </c>
      <c r="H2864" s="5" t="s">
        <v>20</v>
      </c>
      <c r="I2864" s="5" t="s">
        <v>6845</v>
      </c>
      <c r="J2864" s="12" t="str">
        <f>HYPERLINK("https://www.boe.es/gazeta/dias/1805/09/13/pdfs/GMD-1805-74.pdf#page=8","Abrir facsímil")</f>
        <v>Abrir facsímil</v>
      </c>
      <c r="K2864" s="15" t="s">
        <v>22</v>
      </c>
    </row>
    <row r="2865" spans="1:11" ht="42" customHeight="1">
      <c r="A2865" s="4" t="s">
        <v>6846</v>
      </c>
      <c r="B2865" s="5" t="s">
        <v>6847</v>
      </c>
      <c r="C2865" s="5" t="s">
        <v>35</v>
      </c>
      <c r="D2865" s="5" t="s">
        <v>36</v>
      </c>
      <c r="E2865" s="5" t="s">
        <v>63</v>
      </c>
      <c r="F2865" s="9">
        <v>101</v>
      </c>
      <c r="G2865" s="9">
        <v>1093</v>
      </c>
      <c r="H2865" s="5" t="s">
        <v>20</v>
      </c>
      <c r="I2865" s="5" t="s">
        <v>6848</v>
      </c>
      <c r="J2865" s="12" t="str">
        <f>HYPERLINK("https://www.boe.es/gazeta/dias/1805/12/17/pdfs/GMD-1805-101.pdf#page=9","Abrir facsímil")</f>
        <v>Abrir facsímil</v>
      </c>
      <c r="K2865" s="15" t="s">
        <v>22</v>
      </c>
    </row>
    <row r="2866" spans="1:11" ht="42" customHeight="1">
      <c r="A2866" s="4" t="s">
        <v>6849</v>
      </c>
      <c r="B2866" s="5" t="s">
        <v>6850</v>
      </c>
      <c r="C2866" s="5" t="s">
        <v>17</v>
      </c>
      <c r="D2866" s="5" t="s">
        <v>18</v>
      </c>
      <c r="E2866" s="5" t="s">
        <v>63</v>
      </c>
      <c r="F2866" s="9">
        <v>101</v>
      </c>
      <c r="G2866" s="9">
        <v>1093</v>
      </c>
      <c r="H2866" s="5" t="s">
        <v>20</v>
      </c>
      <c r="I2866" s="5" t="s">
        <v>6851</v>
      </c>
      <c r="J2866" s="12" t="str">
        <f>HYPERLINK("https://www.boe.es/gazeta/dias/1805/12/17/pdfs/GMD-1805-101.pdf#page=9","Abrir facsímil")</f>
        <v>Abrir facsímil</v>
      </c>
      <c r="K2866" s="15" t="s">
        <v>22</v>
      </c>
    </row>
    <row r="2867" spans="1:11" ht="42" customHeight="1">
      <c r="A2867" s="4" t="s">
        <v>6852</v>
      </c>
      <c r="B2867" s="5" t="s">
        <v>6852</v>
      </c>
      <c r="C2867" s="5" t="s">
        <v>17</v>
      </c>
      <c r="D2867" s="5" t="s">
        <v>18</v>
      </c>
      <c r="E2867" s="5" t="s">
        <v>567</v>
      </c>
      <c r="F2867" s="9">
        <v>49</v>
      </c>
      <c r="G2867" s="9">
        <v>530</v>
      </c>
      <c r="H2867" s="5" t="s">
        <v>20</v>
      </c>
      <c r="I2867" s="5" t="s">
        <v>6853</v>
      </c>
      <c r="J2867" s="12" t="str">
        <f>HYPERLINK("https://www.boe.es/gazeta/dias/1805/06/18/pdfs/GMD-1805-49.pdf#page=6","Abrir facsímil")</f>
        <v>Abrir facsímil</v>
      </c>
      <c r="K2867" s="15" t="s">
        <v>22</v>
      </c>
    </row>
    <row r="2868" spans="1:11" ht="42" customHeight="1">
      <c r="A2868" s="4" t="s">
        <v>6854</v>
      </c>
      <c r="B2868" s="5" t="s">
        <v>6854</v>
      </c>
      <c r="C2868" s="5" t="s">
        <v>35</v>
      </c>
      <c r="D2868" s="5" t="s">
        <v>36</v>
      </c>
      <c r="E2868" s="5" t="s">
        <v>192</v>
      </c>
      <c r="F2868" s="9">
        <v>105</v>
      </c>
      <c r="G2868" s="9">
        <v>1137</v>
      </c>
      <c r="H2868" s="5" t="s">
        <v>20</v>
      </c>
      <c r="I2868" s="5" t="s">
        <v>6855</v>
      </c>
      <c r="J2868" s="12" t="str">
        <f>HYPERLINK("https://www.boe.es/gazeta/dias/1805/12/31/pdfs/GMD-1805-105.pdf#page=9","Abrir facsímil")</f>
        <v>Abrir facsímil</v>
      </c>
      <c r="K2868" s="15" t="s">
        <v>22</v>
      </c>
    </row>
    <row r="2869" spans="1:11" ht="42" customHeight="1">
      <c r="A2869" s="4" t="s">
        <v>6856</v>
      </c>
      <c r="B2869" s="5" t="s">
        <v>6857</v>
      </c>
      <c r="C2869" s="5" t="s">
        <v>35</v>
      </c>
      <c r="D2869" s="5" t="s">
        <v>36</v>
      </c>
      <c r="E2869" s="5" t="s">
        <v>226</v>
      </c>
      <c r="F2869" s="9">
        <v>73</v>
      </c>
      <c r="G2869" s="9">
        <v>773</v>
      </c>
      <c r="H2869" s="5" t="s">
        <v>20</v>
      </c>
      <c r="I2869" s="5" t="s">
        <v>6858</v>
      </c>
      <c r="J2869" s="12" t="str">
        <f>HYPERLINK("https://www.boe.es/gazeta/dias/1805/09/10/pdfs/GMD-1805-73.pdf#page=5","Abrir facsímil")</f>
        <v>Abrir facsímil</v>
      </c>
      <c r="K2869" s="15" t="s">
        <v>22</v>
      </c>
    </row>
    <row r="2870" spans="1:11" ht="42" customHeight="1">
      <c r="A2870" s="4" t="s">
        <v>6859</v>
      </c>
      <c r="B2870" s="5" t="s">
        <v>6860</v>
      </c>
      <c r="C2870" s="5" t="s">
        <v>29</v>
      </c>
      <c r="D2870" s="5" t="s">
        <v>30</v>
      </c>
      <c r="E2870" s="5" t="s">
        <v>163</v>
      </c>
      <c r="F2870" s="9">
        <v>77</v>
      </c>
      <c r="G2870" s="9">
        <v>818</v>
      </c>
      <c r="H2870" s="5" t="s">
        <v>20</v>
      </c>
      <c r="I2870" s="5" t="s">
        <v>6861</v>
      </c>
      <c r="J2870" s="12" t="str">
        <f>HYPERLINK("https://www.boe.es/gazeta/dias/1805/09/24/pdfs/GMD-1805-77.pdf#page=10","Abrir facsímil")</f>
        <v>Abrir facsímil</v>
      </c>
      <c r="K2870" s="15" t="s">
        <v>22</v>
      </c>
    </row>
    <row r="2871" spans="1:11" ht="42" customHeight="1">
      <c r="A2871" s="4" t="s">
        <v>6862</v>
      </c>
      <c r="B2871" s="5" t="s">
        <v>6863</v>
      </c>
      <c r="C2871" s="5" t="s">
        <v>17</v>
      </c>
      <c r="D2871" s="5" t="s">
        <v>18</v>
      </c>
      <c r="E2871" s="5" t="s">
        <v>63</v>
      </c>
      <c r="F2871" s="9">
        <v>101</v>
      </c>
      <c r="G2871" s="9">
        <v>1091</v>
      </c>
      <c r="H2871" s="5" t="s">
        <v>20</v>
      </c>
      <c r="I2871" s="5" t="s">
        <v>6864</v>
      </c>
      <c r="J2871" s="12" t="str">
        <f>HYPERLINK("https://www.boe.es/gazeta/dias/1805/12/17/pdfs/GMD-1805-101.pdf#page=7","Abrir facsímil")</f>
        <v>Abrir facsímil</v>
      </c>
      <c r="K2871" s="15" t="s">
        <v>22</v>
      </c>
    </row>
    <row r="2872" spans="1:11" ht="42" customHeight="1">
      <c r="A2872" s="4" t="s">
        <v>6865</v>
      </c>
      <c r="B2872" s="5" t="s">
        <v>6866</v>
      </c>
      <c r="C2872" s="5" t="s">
        <v>52</v>
      </c>
      <c r="D2872" s="5" t="s">
        <v>53</v>
      </c>
      <c r="E2872" s="5" t="s">
        <v>54</v>
      </c>
      <c r="F2872" s="9">
        <v>99</v>
      </c>
      <c r="G2872" s="9" t="s">
        <v>55</v>
      </c>
      <c r="H2872" s="5" t="s">
        <v>20</v>
      </c>
      <c r="I2872" s="5" t="s">
        <v>6867</v>
      </c>
      <c r="J2872" s="12" t="str">
        <f>HYPERLINK("https://www.boe.es/gazeta/dias/1805/12/10/pdfs/GMD-C-1805-99.pdf#page=4","Abrir facsímil")</f>
        <v>Abrir facsímil</v>
      </c>
      <c r="K2872" s="15" t="s">
        <v>22</v>
      </c>
    </row>
    <row r="2873" spans="1:11" ht="42" customHeight="1">
      <c r="A2873" s="4" t="s">
        <v>6868</v>
      </c>
      <c r="B2873" s="5" t="s">
        <v>6869</v>
      </c>
      <c r="C2873" s="5" t="s">
        <v>85</v>
      </c>
      <c r="D2873" s="5" t="s">
        <v>86</v>
      </c>
      <c r="E2873" s="5" t="s">
        <v>1259</v>
      </c>
      <c r="F2873" s="9">
        <v>78</v>
      </c>
      <c r="G2873" s="9">
        <v>827</v>
      </c>
      <c r="H2873" s="5" t="s">
        <v>20</v>
      </c>
      <c r="I2873" s="5" t="s">
        <v>6870</v>
      </c>
      <c r="J2873" s="12" t="str">
        <f>HYPERLINK("https://www.boe.es/gazeta/dias/1805/09/27/pdfs/GMD-1805-78.pdf#page=7","Abrir facsímil")</f>
        <v>Abrir facsímil</v>
      </c>
      <c r="K2873" s="15" t="s">
        <v>22</v>
      </c>
    </row>
    <row r="2874" spans="1:11" ht="42" customHeight="1">
      <c r="A2874" s="4" t="s">
        <v>6871</v>
      </c>
      <c r="B2874" s="5" t="s">
        <v>6872</v>
      </c>
      <c r="C2874" s="5" t="s">
        <v>17</v>
      </c>
      <c r="D2874" s="5" t="s">
        <v>18</v>
      </c>
      <c r="E2874" s="5" t="s">
        <v>552</v>
      </c>
      <c r="F2874" s="9">
        <v>94</v>
      </c>
      <c r="G2874" s="9">
        <v>1008</v>
      </c>
      <c r="H2874" s="5" t="s">
        <v>20</v>
      </c>
      <c r="I2874" s="5" t="s">
        <v>6873</v>
      </c>
      <c r="J2874" s="12" t="str">
        <f>HYPERLINK("https://www.boe.es/gazeta/dias/1805/11/22/pdfs/GMD-1805-94.pdf#page=8","Abrir facsímil")</f>
        <v>Abrir facsímil</v>
      </c>
      <c r="K2874" s="15" t="s">
        <v>22</v>
      </c>
    </row>
    <row r="2875" spans="1:11" ht="42" customHeight="1">
      <c r="A2875" s="4" t="s">
        <v>6874</v>
      </c>
      <c r="B2875" s="5" t="s">
        <v>6875</v>
      </c>
      <c r="C2875" s="5" t="s">
        <v>17</v>
      </c>
      <c r="D2875" s="5" t="s">
        <v>18</v>
      </c>
      <c r="E2875" s="5" t="s">
        <v>276</v>
      </c>
      <c r="F2875" s="9">
        <v>51</v>
      </c>
      <c r="G2875" s="9">
        <v>552</v>
      </c>
      <c r="H2875" s="5" t="s">
        <v>20</v>
      </c>
      <c r="I2875" s="5" t="s">
        <v>6876</v>
      </c>
      <c r="J2875" s="12" t="str">
        <f>HYPERLINK("https://www.boe.es/gazeta/dias/1805/06/25/pdfs/GMD-1805-51.pdf#page=8","Abrir facsímil")</f>
        <v>Abrir facsímil</v>
      </c>
      <c r="K2875" s="15" t="s">
        <v>22</v>
      </c>
    </row>
    <row r="2876" spans="1:11" ht="42" customHeight="1">
      <c r="A2876" s="4" t="s">
        <v>6877</v>
      </c>
      <c r="B2876" s="5" t="s">
        <v>6878</v>
      </c>
      <c r="C2876" s="5" t="s">
        <v>35</v>
      </c>
      <c r="D2876" s="5" t="s">
        <v>36</v>
      </c>
      <c r="E2876" s="5" t="s">
        <v>103</v>
      </c>
      <c r="F2876" s="9">
        <v>30</v>
      </c>
      <c r="G2876" s="9">
        <v>323</v>
      </c>
      <c r="H2876" s="5" t="s">
        <v>20</v>
      </c>
      <c r="I2876" s="5" t="s">
        <v>6879</v>
      </c>
      <c r="J2876" s="12" t="str">
        <f>HYPERLINK("https://www.boe.es/gazeta/dias/1805/04/12/pdfs/GMD-1805-30.pdf#page=7","Abrir facsímil")</f>
        <v>Abrir facsímil</v>
      </c>
      <c r="K2876" s="15" t="s">
        <v>22</v>
      </c>
    </row>
    <row r="2877" spans="1:11" ht="42" customHeight="1">
      <c r="A2877" s="4" t="s">
        <v>6880</v>
      </c>
      <c r="B2877" s="5" t="s">
        <v>6881</v>
      </c>
      <c r="C2877" s="5" t="s">
        <v>17</v>
      </c>
      <c r="D2877" s="5" t="s">
        <v>18</v>
      </c>
      <c r="E2877" s="5" t="s">
        <v>132</v>
      </c>
      <c r="F2877" s="9">
        <v>2</v>
      </c>
      <c r="G2877" s="9">
        <v>21</v>
      </c>
      <c r="H2877" s="5" t="s">
        <v>20</v>
      </c>
      <c r="I2877" s="5" t="s">
        <v>6882</v>
      </c>
      <c r="J2877" s="12" t="str">
        <f>HYPERLINK("https://www.boe.es/gazeta/dias/1805/01/04/pdfs/GMD-1805-2.pdf#page=9","Abrir facsímil")</f>
        <v>Abrir facsímil</v>
      </c>
      <c r="K2877" s="15" t="s">
        <v>22</v>
      </c>
    </row>
    <row r="2878" spans="1:11" ht="42" customHeight="1">
      <c r="A2878" s="4" t="s">
        <v>6883</v>
      </c>
      <c r="B2878" s="5" t="s">
        <v>6884</v>
      </c>
      <c r="C2878" s="5" t="s">
        <v>29</v>
      </c>
      <c r="D2878" s="5" t="s">
        <v>30</v>
      </c>
      <c r="E2878" s="5" t="s">
        <v>409</v>
      </c>
      <c r="F2878" s="9">
        <v>69</v>
      </c>
      <c r="G2878" s="9">
        <v>740</v>
      </c>
      <c r="H2878" s="5" t="s">
        <v>20</v>
      </c>
      <c r="I2878" s="5" t="s">
        <v>6885</v>
      </c>
      <c r="J2878" s="12" t="str">
        <f>HYPERLINK("https://www.boe.es/gazeta/dias/1805/08/27/pdfs/GMD-1805-69.pdf#page=8","Abrir facsímil")</f>
        <v>Abrir facsímil</v>
      </c>
      <c r="K2878" s="15" t="s">
        <v>22</v>
      </c>
    </row>
    <row r="2879" spans="1:11" ht="42" customHeight="1">
      <c r="A2879" s="4" t="s">
        <v>6886</v>
      </c>
      <c r="B2879" s="5" t="s">
        <v>6887</v>
      </c>
      <c r="C2879" s="5" t="s">
        <v>17</v>
      </c>
      <c r="D2879" s="5" t="s">
        <v>18</v>
      </c>
      <c r="E2879" s="5" t="s">
        <v>135</v>
      </c>
      <c r="F2879" s="9">
        <v>71</v>
      </c>
      <c r="G2879" s="9">
        <v>758</v>
      </c>
      <c r="H2879" s="5" t="s">
        <v>20</v>
      </c>
      <c r="I2879" s="5" t="s">
        <v>6888</v>
      </c>
      <c r="J2879" s="12" t="str">
        <f>HYPERLINK("https://www.boe.es/gazeta/dias/1805/09/03/pdfs/GMD-1805-71.pdf#page=10","Abrir facsímil")</f>
        <v>Abrir facsímil</v>
      </c>
      <c r="K2879" s="15" t="s">
        <v>22</v>
      </c>
    </row>
    <row r="2880" spans="1:11" ht="42" customHeight="1">
      <c r="A2880" s="4" t="s">
        <v>6889</v>
      </c>
      <c r="B2880" s="5" t="s">
        <v>6889</v>
      </c>
      <c r="C2880" s="5" t="s">
        <v>29</v>
      </c>
      <c r="D2880" s="5" t="s">
        <v>30</v>
      </c>
      <c r="E2880" s="5" t="s">
        <v>76</v>
      </c>
      <c r="F2880" s="9">
        <v>66</v>
      </c>
      <c r="G2880" s="9">
        <v>712</v>
      </c>
      <c r="H2880" s="5" t="s">
        <v>20</v>
      </c>
      <c r="I2880" s="5" t="s">
        <v>6890</v>
      </c>
      <c r="J2880" s="12" t="str">
        <f>HYPERLINK("https://www.boe.es/gazeta/dias/1805/08/16/pdfs/GMD-1805-66.pdf#page=12","Abrir facsímil")</f>
        <v>Abrir facsímil</v>
      </c>
      <c r="K2880" s="15" t="s">
        <v>22</v>
      </c>
    </row>
    <row r="2881" spans="1:11" ht="42" customHeight="1">
      <c r="A2881" s="4" t="s">
        <v>6891</v>
      </c>
      <c r="B2881" s="5" t="s">
        <v>6892</v>
      </c>
      <c r="C2881" s="5" t="s">
        <v>85</v>
      </c>
      <c r="D2881" s="5" t="s">
        <v>86</v>
      </c>
      <c r="E2881" s="5" t="s">
        <v>904</v>
      </c>
      <c r="F2881" s="9">
        <v>47</v>
      </c>
      <c r="G2881" s="9">
        <v>509</v>
      </c>
      <c r="H2881" s="5" t="s">
        <v>20</v>
      </c>
      <c r="I2881" s="5" t="s">
        <v>6893</v>
      </c>
      <c r="J2881" s="12" t="str">
        <f>HYPERLINK("https://www.boe.es/gazeta/dias/1805/06/11/pdfs/GMD-1805-47.pdf#page=9","Abrir facsímil")</f>
        <v>Abrir facsímil</v>
      </c>
      <c r="K2881" s="15" t="s">
        <v>22</v>
      </c>
    </row>
    <row r="2882" spans="1:11" ht="42" customHeight="1">
      <c r="A2882" s="4" t="s">
        <v>6894</v>
      </c>
      <c r="B2882" s="5" t="s">
        <v>6895</v>
      </c>
      <c r="C2882" s="5" t="s">
        <v>184</v>
      </c>
      <c r="D2882" s="5" t="s">
        <v>86</v>
      </c>
      <c r="E2882" s="5" t="s">
        <v>281</v>
      </c>
      <c r="F2882" s="9">
        <v>15</v>
      </c>
      <c r="G2882" s="9">
        <v>157</v>
      </c>
      <c r="H2882" s="5" t="s">
        <v>20</v>
      </c>
      <c r="I2882" s="5" t="s">
        <v>6896</v>
      </c>
      <c r="J2882" s="12" t="str">
        <f>HYPERLINK("https://www.boe.es/gazeta/dias/1805/02/19/pdfs/GMD-1805-15.pdf#page=9","Abrir facsímil")</f>
        <v>Abrir facsímil</v>
      </c>
      <c r="K2882" s="15" t="s">
        <v>22</v>
      </c>
    </row>
    <row r="2883" spans="1:11" ht="42" customHeight="1">
      <c r="A2883" s="4" t="s">
        <v>6897</v>
      </c>
      <c r="B2883" s="5" t="s">
        <v>6898</v>
      </c>
      <c r="C2883" s="5" t="s">
        <v>29</v>
      </c>
      <c r="D2883" s="5" t="s">
        <v>30</v>
      </c>
      <c r="E2883" s="5" t="s">
        <v>649</v>
      </c>
      <c r="F2883" s="9">
        <v>7</v>
      </c>
      <c r="G2883" s="9">
        <v>77</v>
      </c>
      <c r="H2883" s="5" t="s">
        <v>20</v>
      </c>
      <c r="I2883" s="5" t="s">
        <v>6899</v>
      </c>
      <c r="J2883" s="12" t="str">
        <f>HYPERLINK("https://www.boe.es/gazeta/dias/1805/01/22/pdfs/GMD-1805-7.pdf#page=9","Abrir facsímil")</f>
        <v>Abrir facsímil</v>
      </c>
      <c r="K2883" s="15" t="s">
        <v>22</v>
      </c>
    </row>
    <row r="2884" spans="1:11" ht="42" customHeight="1">
      <c r="A2884" s="4" t="s">
        <v>6900</v>
      </c>
      <c r="B2884" s="5" t="s">
        <v>6901</v>
      </c>
      <c r="C2884" s="5" t="s">
        <v>17</v>
      </c>
      <c r="D2884" s="5" t="s">
        <v>18</v>
      </c>
      <c r="E2884" s="5" t="s">
        <v>552</v>
      </c>
      <c r="F2884" s="9">
        <v>94</v>
      </c>
      <c r="G2884" s="9">
        <v>1008</v>
      </c>
      <c r="H2884" s="5" t="s">
        <v>20</v>
      </c>
      <c r="I2884" s="5" t="s">
        <v>6902</v>
      </c>
      <c r="J2884" s="12" t="str">
        <f>HYPERLINK("https://www.boe.es/gazeta/dias/1805/11/22/pdfs/GMD-1805-94.pdf#page=8","Abrir facsímil")</f>
        <v>Abrir facsímil</v>
      </c>
      <c r="K2884" s="15" t="s">
        <v>22</v>
      </c>
    </row>
    <row r="2885" spans="1:11" ht="42" customHeight="1">
      <c r="A2885" s="4" t="s">
        <v>6903</v>
      </c>
      <c r="B2885" s="5" t="s">
        <v>6904</v>
      </c>
      <c r="C2885" s="5" t="s">
        <v>35</v>
      </c>
      <c r="D2885" s="5" t="s">
        <v>36</v>
      </c>
      <c r="E2885" s="5" t="s">
        <v>44</v>
      </c>
      <c r="F2885" s="9">
        <v>29</v>
      </c>
      <c r="G2885" s="9">
        <v>311</v>
      </c>
      <c r="H2885" s="5" t="s">
        <v>20</v>
      </c>
      <c r="I2885" s="5" t="s">
        <v>6905</v>
      </c>
      <c r="J2885" s="12" t="str">
        <f>HYPERLINK("https://www.boe.es/gazeta/dias/1805/04/09/pdfs/GMD-1805-29.pdf#page=7","Abrir facsímil")</f>
        <v>Abrir facsímil</v>
      </c>
      <c r="K2885" s="15" t="s">
        <v>22</v>
      </c>
    </row>
    <row r="2886" spans="1:11" ht="42" customHeight="1">
      <c r="A2886" s="4" t="s">
        <v>6906</v>
      </c>
      <c r="B2886" s="5" t="s">
        <v>6907</v>
      </c>
      <c r="C2886" s="5" t="s">
        <v>35</v>
      </c>
      <c r="D2886" s="5" t="s">
        <v>36</v>
      </c>
      <c r="E2886" s="5" t="s">
        <v>904</v>
      </c>
      <c r="F2886" s="9">
        <v>47</v>
      </c>
      <c r="G2886" s="9">
        <v>509</v>
      </c>
      <c r="H2886" s="5" t="s">
        <v>20</v>
      </c>
      <c r="I2886" s="5" t="s">
        <v>6908</v>
      </c>
      <c r="J2886" s="12" t="str">
        <f>HYPERLINK("https://www.boe.es/gazeta/dias/1805/06/11/pdfs/GMD-1805-47.pdf#page=9","Abrir facsímil")</f>
        <v>Abrir facsímil</v>
      </c>
      <c r="K2886" s="15" t="s">
        <v>22</v>
      </c>
    </row>
    <row r="2887" spans="1:11" ht="42" customHeight="1">
      <c r="A2887" s="4" t="s">
        <v>6906</v>
      </c>
      <c r="B2887" s="5" t="s">
        <v>6907</v>
      </c>
      <c r="C2887" s="5" t="s">
        <v>35</v>
      </c>
      <c r="D2887" s="5" t="s">
        <v>36</v>
      </c>
      <c r="E2887" s="5" t="s">
        <v>303</v>
      </c>
      <c r="F2887" s="9">
        <v>57</v>
      </c>
      <c r="G2887" s="9">
        <v>611</v>
      </c>
      <c r="H2887" s="5" t="s">
        <v>20</v>
      </c>
      <c r="I2887" s="5" t="s">
        <v>6909</v>
      </c>
      <c r="J2887" s="12" t="str">
        <f>HYPERLINK("https://www.boe.es/gazeta/dias/1805/07/16/pdfs/GMD-1805-57.pdf#page=7","Abrir facsímil")</f>
        <v>Abrir facsímil</v>
      </c>
      <c r="K2887" s="15" t="s">
        <v>22</v>
      </c>
    </row>
    <row r="2888" spans="1:11" ht="42" customHeight="1">
      <c r="A2888" s="4" t="s">
        <v>6910</v>
      </c>
      <c r="B2888" s="5" t="s">
        <v>6911</v>
      </c>
      <c r="C2888" s="5" t="s">
        <v>29</v>
      </c>
      <c r="D2888" s="5" t="s">
        <v>30</v>
      </c>
      <c r="E2888" s="5" t="s">
        <v>303</v>
      </c>
      <c r="F2888" s="9">
        <v>57</v>
      </c>
      <c r="G2888" s="9">
        <v>615</v>
      </c>
      <c r="H2888" s="5" t="s">
        <v>20</v>
      </c>
      <c r="I2888" s="5" t="s">
        <v>6912</v>
      </c>
      <c r="J2888" s="12" t="str">
        <f>HYPERLINK("https://www.boe.es/gazeta/dias/1805/07/16/pdfs/GMD-1805-57.pdf#page=11","Abrir facsímil")</f>
        <v>Abrir facsímil</v>
      </c>
      <c r="K2888" s="15" t="s">
        <v>22</v>
      </c>
    </row>
    <row r="2889" spans="1:11" ht="42" customHeight="1">
      <c r="A2889" s="4" t="s">
        <v>6910</v>
      </c>
      <c r="B2889" s="5" t="s">
        <v>6911</v>
      </c>
      <c r="C2889" s="5" t="s">
        <v>35</v>
      </c>
      <c r="D2889" s="5" t="s">
        <v>36</v>
      </c>
      <c r="E2889" s="5" t="s">
        <v>303</v>
      </c>
      <c r="F2889" s="9">
        <v>57</v>
      </c>
      <c r="G2889" s="9">
        <v>616</v>
      </c>
      <c r="H2889" s="5" t="s">
        <v>20</v>
      </c>
      <c r="I2889" s="5" t="s">
        <v>6913</v>
      </c>
      <c r="J2889" s="12" t="str">
        <f>HYPERLINK("https://www.boe.es/gazeta/dias/1805/07/16/pdfs/GMD-1805-57.pdf#page=12","Abrir facsímil")</f>
        <v>Abrir facsímil</v>
      </c>
      <c r="K2889" s="15" t="s">
        <v>22</v>
      </c>
    </row>
    <row r="2890" spans="1:11" ht="42" customHeight="1">
      <c r="A2890" s="4" t="s">
        <v>6914</v>
      </c>
      <c r="B2890" s="5" t="s">
        <v>6914</v>
      </c>
      <c r="C2890" s="5" t="s">
        <v>35</v>
      </c>
      <c r="D2890" s="5" t="s">
        <v>36</v>
      </c>
      <c r="E2890" s="5" t="s">
        <v>261</v>
      </c>
      <c r="F2890" s="9">
        <v>18</v>
      </c>
      <c r="G2890" s="9">
        <v>181</v>
      </c>
      <c r="H2890" s="5" t="s">
        <v>20</v>
      </c>
      <c r="I2890" s="5" t="s">
        <v>6915</v>
      </c>
      <c r="J2890" s="12" t="str">
        <f>HYPERLINK("https://www.boe.es/gazeta/dias/1805/03/01/pdfs/GMD-1805-18.pdf#page=1","Abrir facsímil")</f>
        <v>Abrir facsímil</v>
      </c>
      <c r="K2890" s="15" t="s">
        <v>22</v>
      </c>
    </row>
    <row r="2891" spans="1:11" ht="42" customHeight="1">
      <c r="A2891" s="4" t="s">
        <v>6916</v>
      </c>
      <c r="B2891" s="5" t="s">
        <v>6917</v>
      </c>
      <c r="C2891" s="5" t="s">
        <v>17</v>
      </c>
      <c r="D2891" s="5" t="s">
        <v>18</v>
      </c>
      <c r="E2891" s="5" t="s">
        <v>506</v>
      </c>
      <c r="F2891" s="9">
        <v>80</v>
      </c>
      <c r="G2891" s="9">
        <v>849</v>
      </c>
      <c r="H2891" s="5" t="s">
        <v>20</v>
      </c>
      <c r="I2891" s="5" t="s">
        <v>6918</v>
      </c>
      <c r="J2891" s="12" t="str">
        <f>HYPERLINK("https://www.boe.es/gazeta/dias/1805/10/04/pdfs/GMD-1805-80.pdf#page=9","Abrir facsímil")</f>
        <v>Abrir facsímil</v>
      </c>
      <c r="K2891" s="15" t="s">
        <v>22</v>
      </c>
    </row>
    <row r="2892" spans="1:11" ht="42" customHeight="1">
      <c r="A2892" s="4" t="s">
        <v>6919</v>
      </c>
      <c r="B2892" s="5" t="s">
        <v>6920</v>
      </c>
      <c r="C2892" s="5" t="s">
        <v>35</v>
      </c>
      <c r="D2892" s="5" t="s">
        <v>36</v>
      </c>
      <c r="E2892" s="5" t="s">
        <v>512</v>
      </c>
      <c r="F2892" s="9">
        <v>100</v>
      </c>
      <c r="G2892" s="9">
        <v>1081</v>
      </c>
      <c r="H2892" s="5" t="s">
        <v>20</v>
      </c>
      <c r="I2892" s="5" t="s">
        <v>6921</v>
      </c>
      <c r="J2892" s="12" t="str">
        <f>HYPERLINK("https://www.boe.es/gazeta/dias/1805/12/13/pdfs/GMD-1805-100.pdf#page=9","Abrir facsímil")</f>
        <v>Abrir facsímil</v>
      </c>
      <c r="K2892" s="15" t="s">
        <v>22</v>
      </c>
    </row>
    <row r="2893" spans="1:11" ht="42" customHeight="1">
      <c r="A2893" s="4" t="s">
        <v>6922</v>
      </c>
      <c r="B2893" s="5" t="s">
        <v>6923</v>
      </c>
      <c r="C2893" s="5" t="s">
        <v>85</v>
      </c>
      <c r="D2893" s="5" t="s">
        <v>86</v>
      </c>
      <c r="E2893" s="5" t="s">
        <v>495</v>
      </c>
      <c r="F2893" s="9">
        <v>103</v>
      </c>
      <c r="G2893" s="9">
        <v>1113</v>
      </c>
      <c r="H2893" s="5" t="s">
        <v>20</v>
      </c>
      <c r="I2893" s="5" t="s">
        <v>6924</v>
      </c>
      <c r="J2893" s="12" t="str">
        <f>HYPERLINK("https://www.boe.es/gazeta/dias/1805/12/24/pdfs/GMD-1805-103.pdf#page=5","Abrir facsímil")</f>
        <v>Abrir facsímil</v>
      </c>
      <c r="K2893" s="15" t="s">
        <v>22</v>
      </c>
    </row>
    <row r="2894" spans="1:11" ht="42" customHeight="1">
      <c r="A2894" s="4" t="s">
        <v>6925</v>
      </c>
      <c r="B2894" s="5" t="s">
        <v>6925</v>
      </c>
      <c r="C2894" s="5" t="s">
        <v>17</v>
      </c>
      <c r="D2894" s="5" t="s">
        <v>18</v>
      </c>
      <c r="E2894" s="5" t="s">
        <v>63</v>
      </c>
      <c r="F2894" s="9">
        <v>101</v>
      </c>
      <c r="G2894" s="9">
        <v>1091</v>
      </c>
      <c r="H2894" s="5" t="s">
        <v>20</v>
      </c>
      <c r="I2894" s="5" t="s">
        <v>6926</v>
      </c>
      <c r="J2894" s="12" t="str">
        <f>HYPERLINK("https://www.boe.es/gazeta/dias/1805/12/17/pdfs/GMD-1805-101.pdf#page=7","Abrir facsímil")</f>
        <v>Abrir facsímil</v>
      </c>
      <c r="K2894" s="15" t="s">
        <v>22</v>
      </c>
    </row>
    <row r="2895" spans="1:11" ht="42" customHeight="1">
      <c r="A2895" s="4" t="s">
        <v>6927</v>
      </c>
      <c r="B2895" s="5" t="s">
        <v>6927</v>
      </c>
      <c r="C2895" s="5" t="s">
        <v>29</v>
      </c>
      <c r="D2895" s="5" t="s">
        <v>30</v>
      </c>
      <c r="E2895" s="5" t="s">
        <v>114</v>
      </c>
      <c r="F2895" s="9">
        <v>17</v>
      </c>
      <c r="G2895" s="9">
        <v>180</v>
      </c>
      <c r="H2895" s="5" t="s">
        <v>20</v>
      </c>
      <c r="I2895" s="5" t="s">
        <v>6928</v>
      </c>
      <c r="J2895" s="12" t="str">
        <f>HYPERLINK("https://www.boe.es/gazeta/dias/1805/02/26/pdfs/GMD-1805-17.pdf#page=12","Abrir facsímil")</f>
        <v>Abrir facsímil</v>
      </c>
      <c r="K2895" s="15" t="s">
        <v>22</v>
      </c>
    </row>
    <row r="2896" spans="1:11" ht="42" customHeight="1">
      <c r="A2896" s="4" t="s">
        <v>6929</v>
      </c>
      <c r="B2896" s="5" t="s">
        <v>6929</v>
      </c>
      <c r="C2896" s="5" t="s">
        <v>17</v>
      </c>
      <c r="D2896" s="5" t="s">
        <v>18</v>
      </c>
      <c r="E2896" s="5" t="s">
        <v>63</v>
      </c>
      <c r="F2896" s="9">
        <v>101</v>
      </c>
      <c r="G2896" s="9">
        <v>1091</v>
      </c>
      <c r="H2896" s="5" t="s">
        <v>20</v>
      </c>
      <c r="I2896" s="5" t="s">
        <v>6930</v>
      </c>
      <c r="J2896" s="12" t="str">
        <f>HYPERLINK("https://www.boe.es/gazeta/dias/1805/12/17/pdfs/GMD-1805-101.pdf#page=7","Abrir facsímil")</f>
        <v>Abrir facsímil</v>
      </c>
      <c r="K2896" s="15" t="s">
        <v>22</v>
      </c>
    </row>
    <row r="2897" spans="1:11" ht="42" customHeight="1">
      <c r="A2897" s="4" t="s">
        <v>6931</v>
      </c>
      <c r="B2897" s="5" t="s">
        <v>6931</v>
      </c>
      <c r="C2897" s="5" t="s">
        <v>35</v>
      </c>
      <c r="D2897" s="5" t="s">
        <v>36</v>
      </c>
      <c r="E2897" s="5" t="s">
        <v>192</v>
      </c>
      <c r="F2897" s="9">
        <v>105</v>
      </c>
      <c r="G2897" s="9">
        <v>1137</v>
      </c>
      <c r="H2897" s="5" t="s">
        <v>20</v>
      </c>
      <c r="I2897" s="5" t="s">
        <v>6932</v>
      </c>
      <c r="J2897" s="12" t="str">
        <f>HYPERLINK("https://www.boe.es/gazeta/dias/1805/12/31/pdfs/GMD-1805-105.pdf#page=9","Abrir facsímil")</f>
        <v>Abrir facsímil</v>
      </c>
      <c r="K2897" s="15" t="s">
        <v>22</v>
      </c>
    </row>
    <row r="2898" spans="1:11" ht="42" customHeight="1">
      <c r="A2898" s="4" t="s">
        <v>6933</v>
      </c>
      <c r="B2898" s="5" t="s">
        <v>6933</v>
      </c>
      <c r="C2898" s="5" t="s">
        <v>35</v>
      </c>
      <c r="D2898" s="5" t="s">
        <v>36</v>
      </c>
      <c r="E2898" s="5" t="s">
        <v>456</v>
      </c>
      <c r="F2898" s="9">
        <v>70</v>
      </c>
      <c r="G2898" s="9">
        <v>747</v>
      </c>
      <c r="H2898" s="5" t="s">
        <v>20</v>
      </c>
      <c r="I2898" s="5" t="s">
        <v>6934</v>
      </c>
      <c r="J2898" s="12" t="str">
        <f>HYPERLINK("https://www.boe.es/gazeta/dias/1805/08/30/pdfs/GMD-1805-70.pdf#page=7","Abrir facsímil")</f>
        <v>Abrir facsímil</v>
      </c>
      <c r="K2898" s="15" t="s">
        <v>22</v>
      </c>
    </row>
    <row r="2899" spans="1:11" ht="42" customHeight="1">
      <c r="A2899" s="4" t="s">
        <v>6935</v>
      </c>
      <c r="B2899" s="5" t="s">
        <v>6935</v>
      </c>
      <c r="C2899" s="5" t="s">
        <v>35</v>
      </c>
      <c r="D2899" s="5" t="s">
        <v>36</v>
      </c>
      <c r="E2899" s="5" t="s">
        <v>48</v>
      </c>
      <c r="F2899" s="9">
        <v>35</v>
      </c>
      <c r="G2899" s="9">
        <v>372</v>
      </c>
      <c r="H2899" s="5" t="s">
        <v>20</v>
      </c>
      <c r="I2899" s="5" t="s">
        <v>6936</v>
      </c>
      <c r="J2899" s="12" t="str">
        <f>HYPERLINK("https://www.boe.es/gazeta/dias/1805/04/30/pdfs/GMD-1805-35.pdf#page=4","Abrir facsímil")</f>
        <v>Abrir facsímil</v>
      </c>
      <c r="K2899" s="15" t="s">
        <v>22</v>
      </c>
    </row>
    <row r="2900" spans="1:11" ht="42" customHeight="1">
      <c r="A2900" s="4" t="s">
        <v>6937</v>
      </c>
      <c r="B2900" s="5" t="s">
        <v>6937</v>
      </c>
      <c r="C2900" s="5" t="s">
        <v>17</v>
      </c>
      <c r="D2900" s="5" t="s">
        <v>18</v>
      </c>
      <c r="E2900" s="5" t="s">
        <v>59</v>
      </c>
      <c r="F2900" s="9">
        <v>21</v>
      </c>
      <c r="G2900" s="9">
        <v>214</v>
      </c>
      <c r="H2900" s="5" t="s">
        <v>20</v>
      </c>
      <c r="I2900" s="5" t="s">
        <v>6938</v>
      </c>
      <c r="J2900" s="12" t="str">
        <f>HYPERLINK("https://www.boe.es/gazeta/dias/1805/03/12/pdfs/GMD-1805-21.pdf#page=2","Abrir facsímil")</f>
        <v>Abrir facsímil</v>
      </c>
      <c r="K2900" s="15" t="s">
        <v>22</v>
      </c>
    </row>
    <row r="2901" spans="1:11" ht="42" customHeight="1">
      <c r="A2901" s="4" t="s">
        <v>6939</v>
      </c>
      <c r="B2901" s="5" t="s">
        <v>6940</v>
      </c>
      <c r="C2901" s="5" t="s">
        <v>17</v>
      </c>
      <c r="D2901" s="5" t="s">
        <v>18</v>
      </c>
      <c r="E2901" s="5" t="s">
        <v>787</v>
      </c>
      <c r="F2901" s="9">
        <v>95</v>
      </c>
      <c r="G2901" s="9">
        <v>1020</v>
      </c>
      <c r="H2901" s="5" t="s">
        <v>20</v>
      </c>
      <c r="I2901" s="5" t="s">
        <v>6941</v>
      </c>
      <c r="J2901" s="12" t="str">
        <f>HYPERLINK("https://www.boe.es/gazeta/dias/1805/11/26/pdfs/GMD-1805-95.pdf#page=8","Abrir facsímil")</f>
        <v>Abrir facsímil</v>
      </c>
      <c r="K2901" s="15" t="s">
        <v>22</v>
      </c>
    </row>
    <row r="2902" spans="1:11" ht="42" customHeight="1">
      <c r="A2902" s="4" t="s">
        <v>6942</v>
      </c>
      <c r="B2902" s="5" t="s">
        <v>6942</v>
      </c>
      <c r="C2902" s="5" t="s">
        <v>35</v>
      </c>
      <c r="D2902" s="5" t="s">
        <v>36</v>
      </c>
      <c r="E2902" s="5" t="s">
        <v>327</v>
      </c>
      <c r="F2902" s="9">
        <v>10</v>
      </c>
      <c r="G2902" s="9">
        <v>109</v>
      </c>
      <c r="H2902" s="5" t="s">
        <v>20</v>
      </c>
      <c r="I2902" s="5" t="s">
        <v>6943</v>
      </c>
      <c r="J2902" s="12" t="str">
        <f>HYPERLINK("https://www.boe.es/gazeta/dias/1805/02/01/pdfs/GMD-1805-10.pdf#page=5","Abrir facsímil")</f>
        <v>Abrir facsímil</v>
      </c>
      <c r="K2902" s="15" t="s">
        <v>22</v>
      </c>
    </row>
    <row r="2903" spans="1:11" ht="42" customHeight="1">
      <c r="A2903" s="4" t="s">
        <v>6944</v>
      </c>
      <c r="B2903" s="5" t="s">
        <v>6944</v>
      </c>
      <c r="C2903" s="5" t="s">
        <v>17</v>
      </c>
      <c r="D2903" s="5" t="s">
        <v>18</v>
      </c>
      <c r="E2903" s="5" t="s">
        <v>850</v>
      </c>
      <c r="F2903" s="9">
        <v>42</v>
      </c>
      <c r="G2903" s="9">
        <v>455</v>
      </c>
      <c r="H2903" s="5" t="s">
        <v>20</v>
      </c>
      <c r="I2903" s="5" t="s">
        <v>6945</v>
      </c>
      <c r="J2903" s="12" t="str">
        <f>HYPERLINK("https://www.boe.es/gazeta/dias/1805/05/24/pdfs/GMD-1805-42.pdf#page=11","Abrir facsímil")</f>
        <v>Abrir facsímil</v>
      </c>
      <c r="K2903" s="15" t="s">
        <v>22</v>
      </c>
    </row>
    <row r="2904" spans="1:11" ht="42" customHeight="1">
      <c r="A2904" s="4" t="s">
        <v>6944</v>
      </c>
      <c r="B2904" s="5" t="s">
        <v>6944</v>
      </c>
      <c r="C2904" s="5" t="s">
        <v>35</v>
      </c>
      <c r="D2904" s="5" t="s">
        <v>36</v>
      </c>
      <c r="E2904" s="5" t="s">
        <v>854</v>
      </c>
      <c r="F2904" s="9">
        <v>46</v>
      </c>
      <c r="G2904" s="9">
        <v>500</v>
      </c>
      <c r="H2904" s="5" t="s">
        <v>20</v>
      </c>
      <c r="I2904" s="5" t="s">
        <v>6946</v>
      </c>
      <c r="J2904" s="12" t="str">
        <f>HYPERLINK("https://www.boe.es/gazeta/dias/1805/06/07/pdfs/GMD-1805-46.pdf#page=12","Abrir facsímil")</f>
        <v>Abrir facsímil</v>
      </c>
      <c r="K2904" s="15" t="s">
        <v>22</v>
      </c>
    </row>
    <row r="2905" spans="1:11" ht="42" customHeight="1">
      <c r="A2905" s="4" t="s">
        <v>6947</v>
      </c>
      <c r="B2905" s="5" t="s">
        <v>6947</v>
      </c>
      <c r="C2905" s="5" t="s">
        <v>17</v>
      </c>
      <c r="D2905" s="5" t="s">
        <v>18</v>
      </c>
      <c r="E2905" s="5" t="s">
        <v>148</v>
      </c>
      <c r="F2905" s="9">
        <v>50</v>
      </c>
      <c r="G2905" s="9">
        <v>544</v>
      </c>
      <c r="H2905" s="5" t="s">
        <v>20</v>
      </c>
      <c r="I2905" s="5" t="s">
        <v>6948</v>
      </c>
      <c r="J2905" s="12" t="str">
        <f>HYPERLINK("https://www.boe.es/gazeta/dias/1805/06/21/pdfs/GMD-1805-50.pdf#page=12","Abrir facsímil")</f>
        <v>Abrir facsímil</v>
      </c>
      <c r="K2905" s="15" t="s">
        <v>22</v>
      </c>
    </row>
    <row r="2906" spans="1:11" ht="42" customHeight="1">
      <c r="A2906" s="4" t="s">
        <v>6949</v>
      </c>
      <c r="B2906" s="5" t="s">
        <v>6950</v>
      </c>
      <c r="C2906" s="5" t="s">
        <v>17</v>
      </c>
      <c r="D2906" s="5" t="s">
        <v>18</v>
      </c>
      <c r="E2906" s="5" t="s">
        <v>886</v>
      </c>
      <c r="F2906" s="9">
        <v>93</v>
      </c>
      <c r="G2906" s="9">
        <v>1000</v>
      </c>
      <c r="H2906" s="5" t="s">
        <v>20</v>
      </c>
      <c r="I2906" s="5" t="s">
        <v>6951</v>
      </c>
      <c r="J2906" s="12" t="str">
        <f>HYPERLINK("https://www.boe.es/gazeta/dias/1805/11/19/pdfs/GMD-1805-93.pdf#page=12","Abrir facsímil")</f>
        <v>Abrir facsímil</v>
      </c>
      <c r="K2906" s="15" t="s">
        <v>22</v>
      </c>
    </row>
    <row r="2907" spans="1:11" ht="42" customHeight="1">
      <c r="A2907" s="4" t="s">
        <v>6952</v>
      </c>
      <c r="B2907" s="5" t="s">
        <v>6953</v>
      </c>
      <c r="C2907" s="5" t="s">
        <v>17</v>
      </c>
      <c r="D2907" s="5" t="s">
        <v>18</v>
      </c>
      <c r="E2907" s="5" t="s">
        <v>787</v>
      </c>
      <c r="F2907" s="9">
        <v>95</v>
      </c>
      <c r="G2907" s="9">
        <v>1016</v>
      </c>
      <c r="H2907" s="5" t="s">
        <v>20</v>
      </c>
      <c r="I2907" s="5" t="s">
        <v>6954</v>
      </c>
      <c r="J2907" s="12" t="str">
        <f>HYPERLINK("https://www.boe.es/gazeta/dias/1805/11/26/pdfs/GMD-1805-95.pdf#page=4","Abrir facsímil")</f>
        <v>Abrir facsímil</v>
      </c>
      <c r="K2907" s="15" t="s">
        <v>22</v>
      </c>
    </row>
    <row r="2908" spans="1:11" ht="42" customHeight="1">
      <c r="A2908" s="4" t="s">
        <v>6955</v>
      </c>
      <c r="B2908" s="5" t="s">
        <v>6956</v>
      </c>
      <c r="C2908" s="5" t="s">
        <v>80</v>
      </c>
      <c r="D2908" s="5" t="s">
        <v>81</v>
      </c>
      <c r="E2908" s="5" t="s">
        <v>44</v>
      </c>
      <c r="F2908" s="9">
        <v>29</v>
      </c>
      <c r="G2908" s="9">
        <v>307</v>
      </c>
      <c r="H2908" s="5" t="s">
        <v>20</v>
      </c>
      <c r="I2908" s="5" t="s">
        <v>6957</v>
      </c>
      <c r="J2908" s="12" t="str">
        <f>HYPERLINK("https://www.boe.es/gazeta/dias/1805/04/09/pdfs/GMD-1805-29.pdf#page=3","Abrir facsímil")</f>
        <v>Abrir facsímil</v>
      </c>
      <c r="K2908" s="15" t="s">
        <v>22</v>
      </c>
    </row>
    <row r="2909" spans="1:11" ht="42" customHeight="1">
      <c r="A2909" s="4" t="s">
        <v>6958</v>
      </c>
      <c r="B2909" s="5" t="s">
        <v>6959</v>
      </c>
      <c r="C2909" s="5" t="s">
        <v>80</v>
      </c>
      <c r="D2909" s="5" t="s">
        <v>81</v>
      </c>
      <c r="E2909" s="5" t="s">
        <v>904</v>
      </c>
      <c r="F2909" s="9">
        <v>47</v>
      </c>
      <c r="G2909" s="9">
        <v>505</v>
      </c>
      <c r="H2909" s="5" t="s">
        <v>20</v>
      </c>
      <c r="I2909" s="5" t="s">
        <v>6960</v>
      </c>
      <c r="J2909" s="12" t="str">
        <f>HYPERLINK("https://www.boe.es/gazeta/dias/1805/06/11/pdfs/GMD-1805-47.pdf#page=5","Abrir facsímil")</f>
        <v>Abrir facsímil</v>
      </c>
      <c r="K2909" s="15" t="s">
        <v>22</v>
      </c>
    </row>
    <row r="2910" spans="1:11" ht="42" customHeight="1">
      <c r="A2910" s="4" t="s">
        <v>6958</v>
      </c>
      <c r="B2910" s="5" t="s">
        <v>6959</v>
      </c>
      <c r="C2910" s="5" t="s">
        <v>80</v>
      </c>
      <c r="D2910" s="5" t="s">
        <v>81</v>
      </c>
      <c r="E2910" s="5" t="s">
        <v>31</v>
      </c>
      <c r="F2910" s="9">
        <v>65</v>
      </c>
      <c r="G2910" s="9">
        <v>691</v>
      </c>
      <c r="H2910" s="5" t="s">
        <v>20</v>
      </c>
      <c r="I2910" s="5" t="s">
        <v>6961</v>
      </c>
      <c r="J2910" s="12" t="str">
        <f>HYPERLINK("https://www.boe.es/gazeta/dias/1805/08/13/pdfs/GMD-1805-65.pdf#page=3","Abrir facsímil")</f>
        <v>Abrir facsímil</v>
      </c>
      <c r="K2910" s="15" t="s">
        <v>22</v>
      </c>
    </row>
    <row r="2911" spans="1:11" ht="42" customHeight="1">
      <c r="A2911" s="4" t="s">
        <v>6958</v>
      </c>
      <c r="B2911" s="5" t="s">
        <v>6959</v>
      </c>
      <c r="C2911" s="5" t="s">
        <v>80</v>
      </c>
      <c r="D2911" s="5" t="s">
        <v>81</v>
      </c>
      <c r="E2911" s="5" t="s">
        <v>31</v>
      </c>
      <c r="F2911" s="9">
        <v>65</v>
      </c>
      <c r="G2911" s="9">
        <v>692</v>
      </c>
      <c r="H2911" s="5" t="s">
        <v>20</v>
      </c>
      <c r="I2911" s="5" t="s">
        <v>6962</v>
      </c>
      <c r="J2911" s="12" t="str">
        <f>HYPERLINK("https://www.boe.es/gazeta/dias/1805/08/13/pdfs/GMD-1805-65.pdf#page=4","Abrir facsímil")</f>
        <v>Abrir facsímil</v>
      </c>
      <c r="K2911" s="15" t="s">
        <v>22</v>
      </c>
    </row>
    <row r="2912" spans="1:11" ht="42" customHeight="1">
      <c r="A2912" s="4" t="s">
        <v>6963</v>
      </c>
      <c r="B2912" s="5" t="s">
        <v>6964</v>
      </c>
      <c r="C2912" s="5" t="s">
        <v>184</v>
      </c>
      <c r="D2912" s="5" t="s">
        <v>86</v>
      </c>
      <c r="E2912" s="5" t="s">
        <v>276</v>
      </c>
      <c r="F2912" s="9">
        <v>51</v>
      </c>
      <c r="G2912" s="9">
        <v>547</v>
      </c>
      <c r="H2912" s="5" t="s">
        <v>20</v>
      </c>
      <c r="I2912" s="5" t="s">
        <v>6965</v>
      </c>
      <c r="J2912" s="12" t="str">
        <f>HYPERLINK("https://www.boe.es/gazeta/dias/1805/06/25/pdfs/GMD-1805-51.pdf#page=3","Abrir facsímil")</f>
        <v>Abrir facsímil</v>
      </c>
      <c r="K2912" s="15" t="s">
        <v>22</v>
      </c>
    </row>
    <row r="2913" spans="1:11" ht="42" customHeight="1">
      <c r="A2913" s="4" t="s">
        <v>6966</v>
      </c>
      <c r="B2913" s="5" t="s">
        <v>6966</v>
      </c>
      <c r="C2913" s="5" t="s">
        <v>80</v>
      </c>
      <c r="D2913" s="5" t="s">
        <v>81</v>
      </c>
      <c r="E2913" s="5" t="s">
        <v>1132</v>
      </c>
      <c r="F2913" s="9">
        <v>72</v>
      </c>
      <c r="G2913" s="9">
        <v>763</v>
      </c>
      <c r="H2913" s="5" t="s">
        <v>20</v>
      </c>
      <c r="I2913" s="5" t="s">
        <v>6967</v>
      </c>
      <c r="J2913" s="12" t="str">
        <f>HYPERLINK("https://www.boe.es/gazeta/dias/1805/09/06/pdfs/GMD-1805-72.pdf#page=3","Abrir facsímil")</f>
        <v>Abrir facsímil</v>
      </c>
      <c r="K2913" s="15" t="s">
        <v>22</v>
      </c>
    </row>
    <row r="2914" spans="1:11" ht="42" customHeight="1">
      <c r="A2914" s="4" t="s">
        <v>6968</v>
      </c>
      <c r="B2914" s="5" t="s">
        <v>6968</v>
      </c>
      <c r="C2914" s="5" t="s">
        <v>29</v>
      </c>
      <c r="D2914" s="5" t="s">
        <v>30</v>
      </c>
      <c r="E2914" s="5" t="s">
        <v>585</v>
      </c>
      <c r="F2914" s="9">
        <v>64</v>
      </c>
      <c r="G2914" s="9">
        <v>677</v>
      </c>
      <c r="H2914" s="5" t="s">
        <v>20</v>
      </c>
      <c r="I2914" s="5" t="s">
        <v>6969</v>
      </c>
      <c r="J2914" s="12" t="str">
        <f>HYPERLINK("https://www.boe.es/gazeta/dias/1805/08/09/pdfs/GMD-1805-64.pdf#page=1","Abrir facsímil")</f>
        <v>Abrir facsímil</v>
      </c>
      <c r="K2914" s="15" t="s">
        <v>22</v>
      </c>
    </row>
    <row r="2915" spans="1:11" ht="42" customHeight="1">
      <c r="A2915" s="4" t="s">
        <v>6970</v>
      </c>
      <c r="B2915" s="5" t="s">
        <v>6971</v>
      </c>
      <c r="C2915" s="5" t="s">
        <v>80</v>
      </c>
      <c r="D2915" s="5" t="s">
        <v>81</v>
      </c>
      <c r="E2915" s="5" t="s">
        <v>886</v>
      </c>
      <c r="F2915" s="9">
        <v>93</v>
      </c>
      <c r="G2915" s="9">
        <v>994</v>
      </c>
      <c r="H2915" s="5" t="s">
        <v>20</v>
      </c>
      <c r="I2915" s="5" t="s">
        <v>6972</v>
      </c>
      <c r="J2915" s="12" t="str">
        <f>HYPERLINK("https://www.boe.es/gazeta/dias/1805/11/19/pdfs/GMD-1805-93.pdf#page=6","Abrir facsímil")</f>
        <v>Abrir facsímil</v>
      </c>
      <c r="K2915" s="15" t="s">
        <v>22</v>
      </c>
    </row>
    <row r="2916" spans="1:11" ht="42" customHeight="1">
      <c r="A2916" s="4" t="s">
        <v>6973</v>
      </c>
      <c r="B2916" s="5" t="s">
        <v>6974</v>
      </c>
      <c r="C2916" s="5" t="s">
        <v>17</v>
      </c>
      <c r="D2916" s="5" t="s">
        <v>18</v>
      </c>
      <c r="E2916" s="5" t="s">
        <v>506</v>
      </c>
      <c r="F2916" s="9">
        <v>80</v>
      </c>
      <c r="G2916" s="9">
        <v>848</v>
      </c>
      <c r="H2916" s="5" t="s">
        <v>20</v>
      </c>
      <c r="I2916" s="5" t="s">
        <v>6975</v>
      </c>
      <c r="J2916" s="12" t="str">
        <f>HYPERLINK("https://www.boe.es/gazeta/dias/1805/10/04/pdfs/GMD-1805-80.pdf#page=8","Abrir facsímil")</f>
        <v>Abrir facsímil</v>
      </c>
      <c r="K2916" s="15" t="s">
        <v>22</v>
      </c>
    </row>
    <row r="2917" spans="1:11" ht="42" customHeight="1">
      <c r="A2917" s="4" t="s">
        <v>6976</v>
      </c>
      <c r="B2917" s="5" t="s">
        <v>6977</v>
      </c>
      <c r="C2917" s="5" t="s">
        <v>85</v>
      </c>
      <c r="D2917" s="5" t="s">
        <v>86</v>
      </c>
      <c r="E2917" s="5" t="s">
        <v>303</v>
      </c>
      <c r="F2917" s="9">
        <v>57</v>
      </c>
      <c r="G2917" s="9">
        <v>611</v>
      </c>
      <c r="H2917" s="5" t="s">
        <v>20</v>
      </c>
      <c r="I2917" s="5" t="s">
        <v>6978</v>
      </c>
      <c r="J2917" s="12" t="str">
        <f>HYPERLINK("https://www.boe.es/gazeta/dias/1805/07/16/pdfs/GMD-1805-57.pdf#page=7","Abrir facsímil")</f>
        <v>Abrir facsímil</v>
      </c>
      <c r="K2917" s="15" t="s">
        <v>22</v>
      </c>
    </row>
    <row r="2918" spans="1:11" ht="42" customHeight="1">
      <c r="A2918" s="4" t="s">
        <v>6979</v>
      </c>
      <c r="B2918" s="5" t="s">
        <v>6980</v>
      </c>
      <c r="C2918" s="5" t="s">
        <v>35</v>
      </c>
      <c r="D2918" s="5" t="s">
        <v>36</v>
      </c>
      <c r="E2918" s="5" t="s">
        <v>261</v>
      </c>
      <c r="F2918" s="9">
        <v>18</v>
      </c>
      <c r="G2918" s="9">
        <v>186</v>
      </c>
      <c r="H2918" s="5" t="s">
        <v>20</v>
      </c>
      <c r="I2918" s="5" t="s">
        <v>6981</v>
      </c>
      <c r="J2918" s="12" t="str">
        <f>HYPERLINK("https://www.boe.es/gazeta/dias/1805/03/01/pdfs/GMD-1805-18.pdf#page=6","Abrir facsímil")</f>
        <v>Abrir facsímil</v>
      </c>
      <c r="K2918" s="15" t="s">
        <v>22</v>
      </c>
    </row>
    <row r="2919" spans="1:11" ht="42" customHeight="1">
      <c r="A2919" s="4" t="s">
        <v>6982</v>
      </c>
      <c r="B2919" s="5" t="s">
        <v>6983</v>
      </c>
      <c r="C2919" s="5" t="s">
        <v>35</v>
      </c>
      <c r="D2919" s="5" t="s">
        <v>36</v>
      </c>
      <c r="E2919" s="5" t="s">
        <v>87</v>
      </c>
      <c r="F2919" s="9">
        <v>14</v>
      </c>
      <c r="G2919" s="9">
        <v>141</v>
      </c>
      <c r="H2919" s="5" t="s">
        <v>20</v>
      </c>
      <c r="I2919" s="5" t="s">
        <v>6984</v>
      </c>
      <c r="J2919" s="12" t="str">
        <f>HYPERLINK("https://www.boe.es/gazeta/dias/1805/02/15/pdfs/GMD-1805-14.pdf#page=1","Abrir facsímil")</f>
        <v>Abrir facsímil</v>
      </c>
      <c r="K2919" s="15" t="s">
        <v>22</v>
      </c>
    </row>
    <row r="2920" spans="1:11" ht="42" customHeight="1">
      <c r="A2920" s="4" t="s">
        <v>6985</v>
      </c>
      <c r="B2920" s="5" t="s">
        <v>6986</v>
      </c>
      <c r="C2920" s="5" t="s">
        <v>85</v>
      </c>
      <c r="D2920" s="5" t="s">
        <v>86</v>
      </c>
      <c r="E2920" s="5" t="s">
        <v>37</v>
      </c>
      <c r="F2920" s="9">
        <v>54</v>
      </c>
      <c r="G2920" s="9">
        <v>579</v>
      </c>
      <c r="H2920" s="5" t="s">
        <v>20</v>
      </c>
      <c r="I2920" s="5" t="s">
        <v>6987</v>
      </c>
      <c r="J2920" s="12" t="str">
        <f>HYPERLINK("https://www.boe.es/gazeta/dias/1805/07/05/pdfs/GMD-1805-54.pdf#page=7","Abrir facsímil")</f>
        <v>Abrir facsímil</v>
      </c>
      <c r="K2920" s="15" t="s">
        <v>22</v>
      </c>
    </row>
    <row r="2921" spans="1:11" ht="42" customHeight="1">
      <c r="A2921" s="4" t="s">
        <v>6988</v>
      </c>
      <c r="B2921" s="5" t="s">
        <v>6989</v>
      </c>
      <c r="C2921" s="5" t="s">
        <v>17</v>
      </c>
      <c r="D2921" s="5" t="s">
        <v>18</v>
      </c>
      <c r="E2921" s="5" t="s">
        <v>200</v>
      </c>
      <c r="F2921" s="9">
        <v>91</v>
      </c>
      <c r="G2921" s="9">
        <v>977</v>
      </c>
      <c r="H2921" s="5" t="s">
        <v>20</v>
      </c>
      <c r="I2921" s="5" t="s">
        <v>6990</v>
      </c>
      <c r="J2921" s="12" t="str">
        <f>HYPERLINK("https://www.boe.es/gazeta/dias/1805/11/12/pdfs/GMD-1805-91.pdf#page=9","Abrir facsímil")</f>
        <v>Abrir facsímil</v>
      </c>
      <c r="K2921" s="15" t="s">
        <v>22</v>
      </c>
    </row>
    <row r="2922" spans="1:11" ht="42" customHeight="1">
      <c r="A2922" s="4" t="s">
        <v>6991</v>
      </c>
      <c r="B2922" s="5" t="s">
        <v>6991</v>
      </c>
      <c r="C2922" s="5" t="s">
        <v>184</v>
      </c>
      <c r="D2922" s="5" t="s">
        <v>86</v>
      </c>
      <c r="E2922" s="5" t="s">
        <v>261</v>
      </c>
      <c r="F2922" s="9">
        <v>18</v>
      </c>
      <c r="G2922" s="9" t="s">
        <v>145</v>
      </c>
      <c r="H2922" s="5" t="s">
        <v>20</v>
      </c>
      <c r="I2922" s="5" t="s">
        <v>6992</v>
      </c>
      <c r="J2922" s="12" t="str">
        <f>HYPERLINK("https://www.boe.es/gazeta/dias/1805/03/01/pdfs/GMD-C-1805-18.pdf#page=2","Abrir facsímil")</f>
        <v>Abrir facsímil</v>
      </c>
      <c r="K2922" s="15" t="s">
        <v>22</v>
      </c>
    </row>
    <row r="2923" spans="1:11" ht="42" customHeight="1">
      <c r="A2923" s="4" t="s">
        <v>6993</v>
      </c>
      <c r="B2923" s="5" t="s">
        <v>6994</v>
      </c>
      <c r="C2923" s="5" t="s">
        <v>35</v>
      </c>
      <c r="D2923" s="5" t="s">
        <v>36</v>
      </c>
      <c r="E2923" s="5" t="s">
        <v>95</v>
      </c>
      <c r="F2923" s="9">
        <v>13</v>
      </c>
      <c r="G2923" s="9">
        <v>139</v>
      </c>
      <c r="H2923" s="5" t="s">
        <v>20</v>
      </c>
      <c r="I2923" s="5" t="s">
        <v>6995</v>
      </c>
      <c r="J2923" s="12" t="str">
        <f>HYPERLINK("https://www.boe.es/gazeta/dias/1805/02/12/pdfs/GMD-1805-13.pdf#page=7","Abrir facsímil")</f>
        <v>Abrir facsímil</v>
      </c>
      <c r="K2923" s="15" t="s">
        <v>22</v>
      </c>
    </row>
    <row r="2924" spans="1:11" ht="42" customHeight="1">
      <c r="A2924" s="4" t="s">
        <v>6996</v>
      </c>
      <c r="B2924" s="5" t="s">
        <v>6997</v>
      </c>
      <c r="C2924" s="5" t="s">
        <v>184</v>
      </c>
      <c r="D2924" s="5" t="s">
        <v>86</v>
      </c>
      <c r="E2924" s="5" t="s">
        <v>120</v>
      </c>
      <c r="F2924" s="9">
        <v>24</v>
      </c>
      <c r="G2924" s="9">
        <v>258</v>
      </c>
      <c r="H2924" s="5" t="s">
        <v>20</v>
      </c>
      <c r="I2924" s="5" t="s">
        <v>6998</v>
      </c>
      <c r="J2924" s="12" t="str">
        <f>HYPERLINK("https://www.boe.es/gazeta/dias/1805/03/22/pdfs/GMD-1805-24.pdf#page=10","Abrir facsímil")</f>
        <v>Abrir facsímil</v>
      </c>
      <c r="K2924" s="15" t="s">
        <v>22</v>
      </c>
    </row>
    <row r="2925" spans="1:11" ht="42" customHeight="1">
      <c r="A2925" s="4" t="s">
        <v>6999</v>
      </c>
      <c r="B2925" s="5" t="s">
        <v>6999</v>
      </c>
      <c r="C2925" s="5" t="s">
        <v>29</v>
      </c>
      <c r="D2925" s="5" t="s">
        <v>30</v>
      </c>
      <c r="E2925" s="5" t="s">
        <v>585</v>
      </c>
      <c r="F2925" s="9">
        <v>64</v>
      </c>
      <c r="G2925" s="9">
        <v>677</v>
      </c>
      <c r="H2925" s="5" t="s">
        <v>20</v>
      </c>
      <c r="I2925" s="5" t="s">
        <v>7000</v>
      </c>
      <c r="J2925" s="12" t="str">
        <f>HYPERLINK("https://www.boe.es/gazeta/dias/1805/08/09/pdfs/GMD-1805-64.pdf#page=1","Abrir facsímil")</f>
        <v>Abrir facsímil</v>
      </c>
      <c r="K2925" s="15" t="s">
        <v>22</v>
      </c>
    </row>
    <row r="2926" spans="1:11" ht="42" customHeight="1">
      <c r="A2926" s="4" t="s">
        <v>7001</v>
      </c>
      <c r="B2926" s="5" t="s">
        <v>7002</v>
      </c>
      <c r="C2926" s="5" t="s">
        <v>17</v>
      </c>
      <c r="D2926" s="5" t="s">
        <v>18</v>
      </c>
      <c r="E2926" s="5" t="s">
        <v>1445</v>
      </c>
      <c r="F2926" s="9">
        <v>6</v>
      </c>
      <c r="G2926" s="9">
        <v>59</v>
      </c>
      <c r="H2926" s="5" t="s">
        <v>20</v>
      </c>
      <c r="I2926" s="5" t="s">
        <v>7003</v>
      </c>
      <c r="J2926" s="12" t="str">
        <f>HYPERLINK("https://www.boe.es/gazeta/dias/1805/01/18/pdfs/GMD-1805-6.pdf#page=3","Abrir facsímil")</f>
        <v>Abrir facsímil</v>
      </c>
      <c r="K2926" s="15" t="s">
        <v>22</v>
      </c>
    </row>
    <row r="2927" spans="1:11" ht="42" customHeight="1">
      <c r="A2927" s="4" t="s">
        <v>7004</v>
      </c>
      <c r="B2927" s="5" t="s">
        <v>7005</v>
      </c>
      <c r="C2927" s="5" t="s">
        <v>35</v>
      </c>
      <c r="D2927" s="5" t="s">
        <v>36</v>
      </c>
      <c r="E2927" s="5" t="s">
        <v>188</v>
      </c>
      <c r="F2927" s="9">
        <v>68</v>
      </c>
      <c r="G2927" s="9">
        <v>731</v>
      </c>
      <c r="H2927" s="5" t="s">
        <v>20</v>
      </c>
      <c r="I2927" s="5" t="s">
        <v>7006</v>
      </c>
      <c r="J2927" s="12" t="str">
        <f>HYPERLINK("https://www.boe.es/gazeta/dias/1805/08/23/pdfs/GMD-1805-68.pdf#page=11","Abrir facsímil")</f>
        <v>Abrir facsímil</v>
      </c>
      <c r="K2927" s="15" t="s">
        <v>22</v>
      </c>
    </row>
    <row r="2928" spans="1:11" ht="42" customHeight="1">
      <c r="A2928" s="4" t="s">
        <v>7007</v>
      </c>
      <c r="B2928" s="5" t="s">
        <v>7008</v>
      </c>
      <c r="C2928" s="5" t="s">
        <v>17</v>
      </c>
      <c r="D2928" s="5" t="s">
        <v>18</v>
      </c>
      <c r="E2928" s="5" t="s">
        <v>200</v>
      </c>
      <c r="F2928" s="9">
        <v>91</v>
      </c>
      <c r="G2928" s="9">
        <v>977</v>
      </c>
      <c r="H2928" s="5" t="s">
        <v>20</v>
      </c>
      <c r="I2928" s="5" t="s">
        <v>7009</v>
      </c>
      <c r="J2928" s="12" t="str">
        <f>HYPERLINK("https://www.boe.es/gazeta/dias/1805/11/12/pdfs/GMD-1805-91.pdf#page=9","Abrir facsímil")</f>
        <v>Abrir facsímil</v>
      </c>
      <c r="K2928" s="15" t="s">
        <v>22</v>
      </c>
    </row>
    <row r="2929" spans="1:11" ht="42" customHeight="1">
      <c r="A2929" s="4" t="s">
        <v>7010</v>
      </c>
      <c r="B2929" s="5" t="s">
        <v>7011</v>
      </c>
      <c r="C2929" s="5" t="s">
        <v>29</v>
      </c>
      <c r="D2929" s="5" t="s">
        <v>30</v>
      </c>
      <c r="E2929" s="5" t="s">
        <v>649</v>
      </c>
      <c r="F2929" s="9">
        <v>7</v>
      </c>
      <c r="G2929" s="9">
        <v>77</v>
      </c>
      <c r="H2929" s="5" t="s">
        <v>20</v>
      </c>
      <c r="I2929" s="5" t="s">
        <v>7012</v>
      </c>
      <c r="J2929" s="12" t="str">
        <f>HYPERLINK("https://www.boe.es/gazeta/dias/1805/01/22/pdfs/GMD-1805-7.pdf#page=9","Abrir facsímil")</f>
        <v>Abrir facsímil</v>
      </c>
      <c r="K2929" s="15" t="s">
        <v>22</v>
      </c>
    </row>
    <row r="2930" spans="1:11" ht="42" customHeight="1">
      <c r="A2930" s="4" t="s">
        <v>7013</v>
      </c>
      <c r="B2930" s="5" t="s">
        <v>7013</v>
      </c>
      <c r="C2930" s="5" t="s">
        <v>17</v>
      </c>
      <c r="D2930" s="5" t="s">
        <v>18</v>
      </c>
      <c r="E2930" s="5" t="s">
        <v>649</v>
      </c>
      <c r="F2930" s="9">
        <v>7</v>
      </c>
      <c r="G2930" s="9">
        <v>72</v>
      </c>
      <c r="H2930" s="5" t="s">
        <v>20</v>
      </c>
      <c r="I2930" s="5" t="s">
        <v>7014</v>
      </c>
      <c r="J2930" s="12" t="str">
        <f>HYPERLINK("https://www.boe.es/gazeta/dias/1805/01/22/pdfs/GMD-1805-7.pdf#page=4","Abrir facsímil")</f>
        <v>Abrir facsímil</v>
      </c>
      <c r="K2930" s="15" t="s">
        <v>22</v>
      </c>
    </row>
    <row r="2931" spans="1:11" ht="42" customHeight="1">
      <c r="A2931" s="4" t="s">
        <v>7015</v>
      </c>
      <c r="B2931" s="5" t="s">
        <v>7016</v>
      </c>
      <c r="C2931" s="5" t="s">
        <v>35</v>
      </c>
      <c r="D2931" s="5" t="s">
        <v>36</v>
      </c>
      <c r="E2931" s="5" t="s">
        <v>144</v>
      </c>
      <c r="F2931" s="9">
        <v>85</v>
      </c>
      <c r="G2931" s="9">
        <v>904</v>
      </c>
      <c r="H2931" s="5" t="s">
        <v>20</v>
      </c>
      <c r="I2931" s="5" t="s">
        <v>7017</v>
      </c>
      <c r="J2931" s="12" t="str">
        <f>HYPERLINK("https://www.boe.es/gazeta/dias/1805/10/22/pdfs/GMD-1805-85.pdf#page=12","Abrir facsímil")</f>
        <v>Abrir facsímil</v>
      </c>
      <c r="K2931" s="15" t="s">
        <v>22</v>
      </c>
    </row>
    <row r="2932" spans="1:11" ht="42" customHeight="1">
      <c r="A2932" s="4" t="s">
        <v>7018</v>
      </c>
      <c r="B2932" s="5" t="s">
        <v>7019</v>
      </c>
      <c r="C2932" s="5" t="s">
        <v>35</v>
      </c>
      <c r="D2932" s="5" t="s">
        <v>36</v>
      </c>
      <c r="E2932" s="5" t="s">
        <v>71</v>
      </c>
      <c r="F2932" s="9">
        <v>33</v>
      </c>
      <c r="G2932" s="9">
        <v>352</v>
      </c>
      <c r="H2932" s="5" t="s">
        <v>20</v>
      </c>
      <c r="I2932" s="5" t="s">
        <v>7020</v>
      </c>
      <c r="J2932" s="12" t="str">
        <f>HYPERLINK("https://www.boe.es/gazeta/dias/1805/04/23/pdfs/GMD-1805-33.pdf#page=8","Abrir facsímil")</f>
        <v>Abrir facsímil</v>
      </c>
      <c r="K2932" s="15" t="s">
        <v>22</v>
      </c>
    </row>
    <row r="2933" spans="1:11" ht="42" customHeight="1">
      <c r="A2933" s="4" t="s">
        <v>7021</v>
      </c>
      <c r="B2933" s="5" t="s">
        <v>7022</v>
      </c>
      <c r="C2933" s="5" t="s">
        <v>85</v>
      </c>
      <c r="D2933" s="5" t="s">
        <v>86</v>
      </c>
      <c r="E2933" s="5" t="s">
        <v>426</v>
      </c>
      <c r="F2933" s="9">
        <v>75</v>
      </c>
      <c r="G2933" s="9">
        <v>798</v>
      </c>
      <c r="H2933" s="5" t="s">
        <v>20</v>
      </c>
      <c r="I2933" s="5" t="s">
        <v>7023</v>
      </c>
      <c r="J2933" s="12" t="str">
        <f>HYPERLINK("https://www.boe.es/gazeta/dias/1805/09/17/pdfs/GMD-1805-75.pdf#page=10","Abrir facsímil")</f>
        <v>Abrir facsímil</v>
      </c>
      <c r="K2933" s="15" t="s">
        <v>22</v>
      </c>
    </row>
    <row r="2934" spans="1:11" ht="42" customHeight="1">
      <c r="A2934" s="4" t="s">
        <v>7024</v>
      </c>
      <c r="B2934" s="5" t="s">
        <v>7025</v>
      </c>
      <c r="C2934" s="5" t="s">
        <v>29</v>
      </c>
      <c r="D2934" s="5" t="s">
        <v>30</v>
      </c>
      <c r="E2934" s="5" t="s">
        <v>471</v>
      </c>
      <c r="F2934" s="9">
        <v>22</v>
      </c>
      <c r="G2934" s="9">
        <v>236</v>
      </c>
      <c r="H2934" s="5" t="s">
        <v>20</v>
      </c>
      <c r="I2934" s="5" t="s">
        <v>7026</v>
      </c>
      <c r="J2934" s="12" t="str">
        <f>HYPERLINK("https://www.boe.es/gazeta/dias/1805/03/15/pdfs/GMD-1805-22.pdf#page=12","Abrir facsímil")</f>
        <v>Abrir facsímil</v>
      </c>
      <c r="K2934" s="15" t="s">
        <v>22</v>
      </c>
    </row>
    <row r="2935" spans="1:11" ht="42" customHeight="1">
      <c r="A2935" s="4" t="s">
        <v>7027</v>
      </c>
      <c r="B2935" s="5" t="s">
        <v>7028</v>
      </c>
      <c r="C2935" s="5" t="s">
        <v>184</v>
      </c>
      <c r="D2935" s="5" t="s">
        <v>86</v>
      </c>
      <c r="E2935" s="5" t="s">
        <v>181</v>
      </c>
      <c r="F2935" s="9">
        <v>90</v>
      </c>
      <c r="G2935" s="9">
        <v>966</v>
      </c>
      <c r="H2935" s="5" t="s">
        <v>20</v>
      </c>
      <c r="I2935" s="5" t="s">
        <v>7029</v>
      </c>
      <c r="J2935" s="12" t="str">
        <f>HYPERLINK("https://www.boe.es/gazeta/dias/1805/11/08/pdfs/GMD-1805-90.pdf#page=10","Abrir facsímil")</f>
        <v>Abrir facsímil</v>
      </c>
      <c r="K2935" s="15" t="s">
        <v>22</v>
      </c>
    </row>
    <row r="2936" spans="1:11" ht="42" customHeight="1">
      <c r="A2936" s="4" t="s">
        <v>7030</v>
      </c>
      <c r="B2936" s="5" t="s">
        <v>7031</v>
      </c>
      <c r="C2936" s="5" t="s">
        <v>80</v>
      </c>
      <c r="D2936" s="5" t="s">
        <v>81</v>
      </c>
      <c r="E2936" s="5" t="s">
        <v>192</v>
      </c>
      <c r="F2936" s="9">
        <v>105</v>
      </c>
      <c r="G2936" s="9">
        <v>1130</v>
      </c>
      <c r="H2936" s="5" t="s">
        <v>20</v>
      </c>
      <c r="I2936" s="5" t="s">
        <v>7032</v>
      </c>
      <c r="J2936" s="12" t="str">
        <f>HYPERLINK("https://www.boe.es/gazeta/dias/1805/12/31/pdfs/GMD-1805-105.pdf#page=2","Abrir facsímil")</f>
        <v>Abrir facsímil</v>
      </c>
      <c r="K2936" s="15" t="s">
        <v>22</v>
      </c>
    </row>
    <row r="2937" spans="1:11" ht="42" customHeight="1">
      <c r="A2937" s="4" t="s">
        <v>7033</v>
      </c>
      <c r="B2937" s="5" t="s">
        <v>7034</v>
      </c>
      <c r="C2937" s="5" t="s">
        <v>17</v>
      </c>
      <c r="D2937" s="5" t="s">
        <v>18</v>
      </c>
      <c r="E2937" s="5" t="s">
        <v>71</v>
      </c>
      <c r="F2937" s="9">
        <v>33</v>
      </c>
      <c r="G2937" s="9">
        <v>355</v>
      </c>
      <c r="H2937" s="5" t="s">
        <v>20</v>
      </c>
      <c r="I2937" s="5" t="s">
        <v>7035</v>
      </c>
      <c r="J2937" s="12" t="str">
        <f>HYPERLINK("https://www.boe.es/gazeta/dias/1805/04/23/pdfs/GMD-1805-33.pdf#page=11","Abrir facsímil")</f>
        <v>Abrir facsímil</v>
      </c>
      <c r="K2937" s="15" t="s">
        <v>22</v>
      </c>
    </row>
    <row r="2938" spans="1:11" ht="42" customHeight="1">
      <c r="A2938" s="4" t="s">
        <v>7036</v>
      </c>
      <c r="B2938" s="5" t="s">
        <v>7037</v>
      </c>
      <c r="C2938" s="5" t="s">
        <v>85</v>
      </c>
      <c r="D2938" s="5" t="s">
        <v>86</v>
      </c>
      <c r="E2938" s="5" t="s">
        <v>426</v>
      </c>
      <c r="F2938" s="9">
        <v>75</v>
      </c>
      <c r="G2938" s="9">
        <v>798</v>
      </c>
      <c r="H2938" s="5" t="s">
        <v>20</v>
      </c>
      <c r="I2938" s="5" t="s">
        <v>7038</v>
      </c>
      <c r="J2938" s="12" t="str">
        <f>HYPERLINK("https://www.boe.es/gazeta/dias/1805/09/17/pdfs/GMD-1805-75.pdf#page=10","Abrir facsímil")</f>
        <v>Abrir facsímil</v>
      </c>
      <c r="K2938" s="15" t="s">
        <v>22</v>
      </c>
    </row>
    <row r="2939" spans="1:11" ht="42" customHeight="1">
      <c r="A2939" s="4" t="s">
        <v>7039</v>
      </c>
      <c r="B2939" s="5" t="s">
        <v>7040</v>
      </c>
      <c r="C2939" s="5" t="s">
        <v>52</v>
      </c>
      <c r="D2939" s="5" t="s">
        <v>53</v>
      </c>
      <c r="E2939" s="5" t="s">
        <v>144</v>
      </c>
      <c r="F2939" s="9">
        <v>85</v>
      </c>
      <c r="G2939" s="9" t="s">
        <v>159</v>
      </c>
      <c r="H2939" s="5" t="s">
        <v>20</v>
      </c>
      <c r="I2939" s="5" t="s">
        <v>7041</v>
      </c>
      <c r="J2939" s="12" t="str">
        <f>HYPERLINK("https://www.boe.es/gazeta/dias/1805/10/22/pdfs/GMD-C-1805-85.pdf#page=3","Abrir facsímil")</f>
        <v>Abrir facsímil</v>
      </c>
      <c r="K2939" s="15" t="s">
        <v>22</v>
      </c>
    </row>
    <row r="2940" spans="1:11" ht="42" customHeight="1">
      <c r="A2940" s="4" t="s">
        <v>7042</v>
      </c>
      <c r="B2940" s="5" t="s">
        <v>7043</v>
      </c>
      <c r="C2940" s="5" t="s">
        <v>17</v>
      </c>
      <c r="D2940" s="5" t="s">
        <v>18</v>
      </c>
      <c r="E2940" s="5" t="s">
        <v>506</v>
      </c>
      <c r="F2940" s="9">
        <v>80</v>
      </c>
      <c r="G2940" s="9">
        <v>849</v>
      </c>
      <c r="H2940" s="5" t="s">
        <v>20</v>
      </c>
      <c r="I2940" s="5" t="s">
        <v>7044</v>
      </c>
      <c r="J2940" s="12" t="str">
        <f>HYPERLINK("https://www.boe.es/gazeta/dias/1805/10/04/pdfs/GMD-1805-80.pdf#page=9","Abrir facsímil")</f>
        <v>Abrir facsímil</v>
      </c>
      <c r="K2940" s="15" t="s">
        <v>22</v>
      </c>
    </row>
    <row r="2941" spans="1:11" ht="42" customHeight="1">
      <c r="A2941" s="4" t="s">
        <v>7042</v>
      </c>
      <c r="B2941" s="5" t="s">
        <v>7043</v>
      </c>
      <c r="C2941" s="5" t="s">
        <v>35</v>
      </c>
      <c r="D2941" s="5" t="s">
        <v>36</v>
      </c>
      <c r="E2941" s="5" t="s">
        <v>99</v>
      </c>
      <c r="F2941" s="9">
        <v>83</v>
      </c>
      <c r="G2941" s="9">
        <v>882</v>
      </c>
      <c r="H2941" s="5" t="s">
        <v>20</v>
      </c>
      <c r="I2941" s="5" t="s">
        <v>7045</v>
      </c>
      <c r="J2941" s="12" t="str">
        <f>HYPERLINK("https://www.boe.es/gazeta/dias/1805/10/15/pdfs/GMD-1805-83.pdf#page=10","Abrir facsímil")</f>
        <v>Abrir facsímil</v>
      </c>
      <c r="K2941" s="15" t="s">
        <v>22</v>
      </c>
    </row>
    <row r="2942" spans="1:11" ht="42" customHeight="1">
      <c r="A2942" s="4" t="s">
        <v>7046</v>
      </c>
      <c r="B2942" s="5" t="s">
        <v>7046</v>
      </c>
      <c r="C2942" s="5" t="s">
        <v>29</v>
      </c>
      <c r="D2942" s="5" t="s">
        <v>30</v>
      </c>
      <c r="E2942" s="5" t="s">
        <v>24</v>
      </c>
      <c r="F2942" s="9">
        <v>11</v>
      </c>
      <c r="G2942" s="9">
        <v>124</v>
      </c>
      <c r="H2942" s="5" t="s">
        <v>20</v>
      </c>
      <c r="I2942" s="5" t="s">
        <v>7047</v>
      </c>
      <c r="J2942" s="12" t="str">
        <f>HYPERLINK("https://www.boe.es/gazeta/dias/1805/02/05/pdfs/GMD-1805-11.pdf#page=12","Abrir facsímil")</f>
        <v>Abrir facsímil</v>
      </c>
      <c r="K2942" s="15" t="s">
        <v>22</v>
      </c>
    </row>
    <row r="2943" spans="1:11" ht="42" customHeight="1">
      <c r="A2943" s="4" t="s">
        <v>7048</v>
      </c>
      <c r="B2943" s="5" t="s">
        <v>7048</v>
      </c>
      <c r="C2943" s="5" t="s">
        <v>184</v>
      </c>
      <c r="D2943" s="5" t="s">
        <v>86</v>
      </c>
      <c r="E2943" s="5" t="s">
        <v>114</v>
      </c>
      <c r="F2943" s="9">
        <v>17</v>
      </c>
      <c r="G2943" s="9">
        <v>179</v>
      </c>
      <c r="H2943" s="5" t="s">
        <v>20</v>
      </c>
      <c r="I2943" s="5" t="s">
        <v>7049</v>
      </c>
      <c r="J2943" s="12" t="str">
        <f>HYPERLINK("https://www.boe.es/gazeta/dias/1805/02/26/pdfs/GMD-1805-17.pdf#page=11","Abrir facsímil")</f>
        <v>Abrir facsímil</v>
      </c>
      <c r="K2943" s="15" t="s">
        <v>22</v>
      </c>
    </row>
    <row r="2944" spans="1:11" ht="42" customHeight="1">
      <c r="A2944" s="4" t="s">
        <v>7050</v>
      </c>
      <c r="B2944" s="5" t="s">
        <v>7050</v>
      </c>
      <c r="C2944" s="5" t="s">
        <v>35</v>
      </c>
      <c r="D2944" s="5" t="s">
        <v>36</v>
      </c>
      <c r="E2944" s="5" t="s">
        <v>303</v>
      </c>
      <c r="F2944" s="9">
        <v>57</v>
      </c>
      <c r="G2944" s="9">
        <v>611</v>
      </c>
      <c r="H2944" s="5" t="s">
        <v>20</v>
      </c>
      <c r="I2944" s="5" t="s">
        <v>7051</v>
      </c>
      <c r="J2944" s="12" t="str">
        <f>HYPERLINK("https://www.boe.es/gazeta/dias/1805/07/16/pdfs/GMD-1805-57.pdf#page=7","Abrir facsímil")</f>
        <v>Abrir facsímil</v>
      </c>
      <c r="K2944" s="15" t="s">
        <v>22</v>
      </c>
    </row>
    <row r="2945" spans="1:11" ht="42" customHeight="1">
      <c r="A2945" s="4" t="s">
        <v>7052</v>
      </c>
      <c r="B2945" s="5" t="s">
        <v>7053</v>
      </c>
      <c r="C2945" s="5" t="s">
        <v>35</v>
      </c>
      <c r="D2945" s="5" t="s">
        <v>36</v>
      </c>
      <c r="E2945" s="5" t="s">
        <v>213</v>
      </c>
      <c r="F2945" s="9">
        <v>56</v>
      </c>
      <c r="G2945" s="9">
        <v>600</v>
      </c>
      <c r="H2945" s="5" t="s">
        <v>20</v>
      </c>
      <c r="I2945" s="5" t="s">
        <v>7054</v>
      </c>
      <c r="J2945" s="12" t="str">
        <f>HYPERLINK("https://www.boe.es/gazeta/dias/1805/07/12/pdfs/GMD-1805-56.pdf#page=8","Abrir facsímil")</f>
        <v>Abrir facsímil</v>
      </c>
      <c r="K2945" s="15" t="s">
        <v>22</v>
      </c>
    </row>
    <row r="2946" spans="1:11" ht="42" customHeight="1">
      <c r="A2946" s="4" t="s">
        <v>7055</v>
      </c>
      <c r="B2946" s="5" t="s">
        <v>7056</v>
      </c>
      <c r="C2946" s="5" t="s">
        <v>17</v>
      </c>
      <c r="D2946" s="5" t="s">
        <v>18</v>
      </c>
      <c r="E2946" s="5" t="s">
        <v>854</v>
      </c>
      <c r="F2946" s="9">
        <v>46</v>
      </c>
      <c r="G2946" s="9">
        <v>496</v>
      </c>
      <c r="H2946" s="5" t="s">
        <v>20</v>
      </c>
      <c r="I2946" s="5" t="s">
        <v>7057</v>
      </c>
      <c r="J2946" s="12" t="str">
        <f>HYPERLINK("https://www.boe.es/gazeta/dias/1805/06/07/pdfs/GMD-1805-46.pdf#page=8","Abrir facsímil")</f>
        <v>Abrir facsímil</v>
      </c>
      <c r="K2946" s="15" t="s">
        <v>7058</v>
      </c>
    </row>
    <row r="2947" spans="1:11" ht="42" customHeight="1">
      <c r="A2947" s="4" t="s">
        <v>7059</v>
      </c>
      <c r="B2947" s="5" t="s">
        <v>7060</v>
      </c>
      <c r="C2947" s="5" t="s">
        <v>80</v>
      </c>
      <c r="D2947" s="5" t="s">
        <v>81</v>
      </c>
      <c r="E2947" s="5" t="s">
        <v>209</v>
      </c>
      <c r="F2947" s="9">
        <v>89</v>
      </c>
      <c r="G2947" s="9">
        <v>943</v>
      </c>
      <c r="H2947" s="5" t="s">
        <v>20</v>
      </c>
      <c r="I2947" s="5" t="s">
        <v>7061</v>
      </c>
      <c r="J2947" s="12" t="str">
        <f>HYPERLINK("https://www.boe.es/gazeta/dias/1805/11/05/pdfs/GMD-1805-89.pdf#page=3","Abrir facsímil")</f>
        <v>Abrir facsímil</v>
      </c>
      <c r="K2947" s="15" t="s">
        <v>22</v>
      </c>
    </row>
    <row r="2948" spans="1:11" ht="42" customHeight="1">
      <c r="A2948" s="4" t="s">
        <v>7062</v>
      </c>
      <c r="B2948" s="5" t="s">
        <v>7063</v>
      </c>
      <c r="C2948" s="5" t="s">
        <v>80</v>
      </c>
      <c r="D2948" s="5" t="s">
        <v>81</v>
      </c>
      <c r="E2948" s="5" t="s">
        <v>409</v>
      </c>
      <c r="F2948" s="9">
        <v>69</v>
      </c>
      <c r="G2948" s="9">
        <v>735</v>
      </c>
      <c r="H2948" s="5" t="s">
        <v>20</v>
      </c>
      <c r="I2948" s="5" t="s">
        <v>7064</v>
      </c>
      <c r="J2948" s="12" t="str">
        <f>HYPERLINK("https://www.boe.es/gazeta/dias/1805/08/27/pdfs/GMD-1805-69.pdf#page=3","Abrir facsímil")</f>
        <v>Abrir facsímil</v>
      </c>
      <c r="K2948" s="15" t="s">
        <v>22</v>
      </c>
    </row>
    <row r="2949" spans="1:11" ht="42" customHeight="1">
      <c r="A2949" s="4" t="s">
        <v>7065</v>
      </c>
      <c r="B2949" s="5" t="s">
        <v>7065</v>
      </c>
      <c r="C2949" s="5" t="s">
        <v>85</v>
      </c>
      <c r="D2949" s="5" t="s">
        <v>86</v>
      </c>
      <c r="E2949" s="5" t="s">
        <v>711</v>
      </c>
      <c r="F2949" s="9">
        <v>63</v>
      </c>
      <c r="G2949" s="9">
        <v>674</v>
      </c>
      <c r="H2949" s="5" t="s">
        <v>20</v>
      </c>
      <c r="I2949" s="5" t="s">
        <v>7066</v>
      </c>
      <c r="J2949" s="12" t="str">
        <f>HYPERLINK("https://www.boe.es/gazeta/dias/1805/08/06/pdfs/GMD-1805-63.pdf#page=10","Abrir facsímil")</f>
        <v>Abrir facsímil</v>
      </c>
      <c r="K2949" s="15" t="s">
        <v>22</v>
      </c>
    </row>
    <row r="2950" spans="1:11" ht="42" customHeight="1">
      <c r="A2950" s="4" t="s">
        <v>7067</v>
      </c>
      <c r="B2950" s="5" t="s">
        <v>7067</v>
      </c>
      <c r="C2950" s="5" t="s">
        <v>35</v>
      </c>
      <c r="D2950" s="5" t="s">
        <v>36</v>
      </c>
      <c r="E2950" s="5" t="s">
        <v>539</v>
      </c>
      <c r="F2950" s="9">
        <v>97</v>
      </c>
      <c r="G2950" s="9">
        <v>1046</v>
      </c>
      <c r="H2950" s="5" t="s">
        <v>20</v>
      </c>
      <c r="I2950" s="5" t="s">
        <v>7068</v>
      </c>
      <c r="J2950" s="12" t="str">
        <f>HYPERLINK("https://www.boe.es/gazeta/dias/1805/12/03/pdfs/GMD-1805-97.pdf#page=10","Abrir facsímil")</f>
        <v>Abrir facsímil</v>
      </c>
      <c r="K2950" s="15" t="s">
        <v>22</v>
      </c>
    </row>
    <row r="2951" spans="1:11" ht="42" customHeight="1">
      <c r="A2951" s="4" t="s">
        <v>7069</v>
      </c>
      <c r="B2951" s="5" t="s">
        <v>7069</v>
      </c>
      <c r="C2951" s="5" t="s">
        <v>17</v>
      </c>
      <c r="D2951" s="5" t="s">
        <v>18</v>
      </c>
      <c r="E2951" s="5" t="s">
        <v>506</v>
      </c>
      <c r="F2951" s="9">
        <v>80</v>
      </c>
      <c r="G2951" s="9">
        <v>848</v>
      </c>
      <c r="H2951" s="5" t="s">
        <v>20</v>
      </c>
      <c r="I2951" s="5" t="s">
        <v>7070</v>
      </c>
      <c r="J2951" s="12" t="str">
        <f>HYPERLINK("https://www.boe.es/gazeta/dias/1805/10/04/pdfs/GMD-1805-80.pdf#page=8","Abrir facsímil")</f>
        <v>Abrir facsímil</v>
      </c>
      <c r="K2951" s="15" t="s">
        <v>22</v>
      </c>
    </row>
    <row r="2952" spans="1:11" ht="42" customHeight="1">
      <c r="A2952" s="4" t="s">
        <v>7071</v>
      </c>
      <c r="B2952" s="5" t="s">
        <v>7071</v>
      </c>
      <c r="C2952" s="5" t="s">
        <v>35</v>
      </c>
      <c r="D2952" s="5" t="s">
        <v>36</v>
      </c>
      <c r="E2952" s="5" t="s">
        <v>226</v>
      </c>
      <c r="F2952" s="9">
        <v>73</v>
      </c>
      <c r="G2952" s="9">
        <v>773</v>
      </c>
      <c r="H2952" s="5" t="s">
        <v>20</v>
      </c>
      <c r="I2952" s="5" t="s">
        <v>7072</v>
      </c>
      <c r="J2952" s="12" t="str">
        <f>HYPERLINK("https://www.boe.es/gazeta/dias/1805/09/10/pdfs/GMD-1805-73.pdf#page=5","Abrir facsímil")</f>
        <v>Abrir facsímil</v>
      </c>
      <c r="K2952" s="15" t="s">
        <v>22</v>
      </c>
    </row>
    <row r="2953" spans="1:11" ht="42" customHeight="1">
      <c r="A2953" s="4" t="s">
        <v>7073</v>
      </c>
      <c r="B2953" s="5" t="s">
        <v>7073</v>
      </c>
      <c r="C2953" s="5" t="s">
        <v>184</v>
      </c>
      <c r="D2953" s="5" t="s">
        <v>86</v>
      </c>
      <c r="E2953" s="5" t="s">
        <v>163</v>
      </c>
      <c r="F2953" s="9">
        <v>77</v>
      </c>
      <c r="G2953" s="9">
        <v>811</v>
      </c>
      <c r="H2953" s="5" t="s">
        <v>20</v>
      </c>
      <c r="I2953" s="5" t="s">
        <v>7074</v>
      </c>
      <c r="J2953" s="12" t="str">
        <f>HYPERLINK("https://www.boe.es/gazeta/dias/1805/09/24/pdfs/GMD-1805-77.pdf#page=3","Abrir facsímil")</f>
        <v>Abrir facsímil</v>
      </c>
      <c r="K2953" s="15" t="s">
        <v>22</v>
      </c>
    </row>
    <row r="2954" spans="1:11" ht="42" customHeight="1">
      <c r="A2954" s="4" t="s">
        <v>7075</v>
      </c>
      <c r="B2954" s="5" t="s">
        <v>7076</v>
      </c>
      <c r="C2954" s="5" t="s">
        <v>35</v>
      </c>
      <c r="D2954" s="5" t="s">
        <v>36</v>
      </c>
      <c r="E2954" s="5" t="s">
        <v>817</v>
      </c>
      <c r="F2954" s="9">
        <v>92</v>
      </c>
      <c r="G2954" s="9">
        <v>987</v>
      </c>
      <c r="H2954" s="5" t="s">
        <v>20</v>
      </c>
      <c r="I2954" s="5" t="s">
        <v>7077</v>
      </c>
      <c r="J2954" s="12" t="str">
        <f>HYPERLINK("https://www.boe.es/gazeta/dias/1805/11/15/pdfs/GMD-1805-92.pdf#page=7","Abrir facsímil")</f>
        <v>Abrir facsímil</v>
      </c>
      <c r="K2954" s="15" t="s">
        <v>22</v>
      </c>
    </row>
    <row r="2955" spans="1:11" ht="42" customHeight="1">
      <c r="A2955" s="4" t="s">
        <v>7078</v>
      </c>
      <c r="B2955" s="5" t="s">
        <v>7079</v>
      </c>
      <c r="C2955" s="5" t="s">
        <v>17</v>
      </c>
      <c r="D2955" s="5" t="s">
        <v>18</v>
      </c>
      <c r="E2955" s="5" t="s">
        <v>226</v>
      </c>
      <c r="F2955" s="9">
        <v>73</v>
      </c>
      <c r="G2955" s="9">
        <v>776</v>
      </c>
      <c r="H2955" s="5" t="s">
        <v>20</v>
      </c>
      <c r="I2955" s="5" t="s">
        <v>7080</v>
      </c>
      <c r="J2955" s="12" t="str">
        <f>HYPERLINK("https://www.boe.es/gazeta/dias/1805/09/10/pdfs/GMD-1805-73.pdf#page=8","Abrir facsímil")</f>
        <v>Abrir facsímil</v>
      </c>
      <c r="K2955" s="15" t="s">
        <v>22</v>
      </c>
    </row>
    <row r="2956" spans="1:11" ht="42" customHeight="1">
      <c r="A2956" s="4" t="s">
        <v>7081</v>
      </c>
      <c r="B2956" s="5" t="s">
        <v>7081</v>
      </c>
      <c r="C2956" s="5" t="s">
        <v>35</v>
      </c>
      <c r="D2956" s="5" t="s">
        <v>36</v>
      </c>
      <c r="E2956" s="5" t="s">
        <v>1432</v>
      </c>
      <c r="F2956" s="9">
        <v>53</v>
      </c>
      <c r="G2956" s="9">
        <v>572</v>
      </c>
      <c r="H2956" s="5" t="s">
        <v>20</v>
      </c>
      <c r="I2956" s="5" t="s">
        <v>7082</v>
      </c>
      <c r="J2956" s="12" t="str">
        <f>HYPERLINK("https://www.boe.es/gazeta/dias/1805/07/02/pdfs/GMD-1805-53.pdf#page=8","Abrir facsímil")</f>
        <v>Abrir facsímil</v>
      </c>
      <c r="K2956" s="15" t="s">
        <v>22</v>
      </c>
    </row>
    <row r="2957" spans="1:11" ht="42" customHeight="1">
      <c r="A2957" s="4" t="s">
        <v>7083</v>
      </c>
      <c r="B2957" s="5" t="s">
        <v>7083</v>
      </c>
      <c r="C2957" s="5" t="s">
        <v>17</v>
      </c>
      <c r="D2957" s="5" t="s">
        <v>18</v>
      </c>
      <c r="E2957" s="5" t="s">
        <v>112</v>
      </c>
      <c r="F2957" s="9">
        <v>16</v>
      </c>
      <c r="G2957" s="9">
        <v>168</v>
      </c>
      <c r="H2957" s="5" t="s">
        <v>20</v>
      </c>
      <c r="I2957" s="5" t="s">
        <v>7084</v>
      </c>
      <c r="J2957" s="12" t="str">
        <f>HYPERLINK("https://www.boe.es/gazeta/dias/1805/02/22/pdfs/GMD-1805-16.pdf#page=8","Abrir facsímil")</f>
        <v>Abrir facsímil</v>
      </c>
      <c r="K2957" s="15" t="s">
        <v>22</v>
      </c>
    </row>
    <row r="2958" spans="1:11" ht="42" customHeight="1">
      <c r="A2958" s="4" t="s">
        <v>7085</v>
      </c>
      <c r="B2958" s="5" t="s">
        <v>7085</v>
      </c>
      <c r="C2958" s="5" t="s">
        <v>35</v>
      </c>
      <c r="D2958" s="5" t="s">
        <v>36</v>
      </c>
      <c r="E2958" s="5" t="s">
        <v>59</v>
      </c>
      <c r="F2958" s="9">
        <v>21</v>
      </c>
      <c r="G2958" s="9">
        <v>220</v>
      </c>
      <c r="H2958" s="5" t="s">
        <v>20</v>
      </c>
      <c r="I2958" s="5" t="s">
        <v>7086</v>
      </c>
      <c r="J2958" s="12" t="str">
        <f>HYPERLINK("https://www.boe.es/gazeta/dias/1805/03/12/pdfs/GMD-1805-21.pdf#page=8","Abrir facsímil")</f>
        <v>Abrir facsímil</v>
      </c>
      <c r="K2958" s="15" t="s">
        <v>22</v>
      </c>
    </row>
    <row r="2959" spans="1:11" ht="42" customHeight="1">
      <c r="A2959" s="4" t="s">
        <v>7087</v>
      </c>
      <c r="B2959" s="5" t="s">
        <v>7088</v>
      </c>
      <c r="C2959" s="5" t="s">
        <v>35</v>
      </c>
      <c r="D2959" s="5" t="s">
        <v>36</v>
      </c>
      <c r="E2959" s="5" t="s">
        <v>138</v>
      </c>
      <c r="F2959" s="9">
        <v>102</v>
      </c>
      <c r="G2959" s="9">
        <v>1097</v>
      </c>
      <c r="H2959" s="5" t="s">
        <v>20</v>
      </c>
      <c r="I2959" s="5" t="s">
        <v>7089</v>
      </c>
      <c r="J2959" s="12" t="str">
        <f>HYPERLINK("https://www.boe.es/gazeta/dias/1805/12/20/pdfs/GMD-1805-102.pdf#page=1","Abrir facsímil")</f>
        <v>Abrir facsímil</v>
      </c>
      <c r="K2959" s="15" t="s">
        <v>22</v>
      </c>
    </row>
    <row r="2960" spans="1:11" ht="42" customHeight="1">
      <c r="A2960" s="4" t="s">
        <v>7090</v>
      </c>
      <c r="B2960" s="5" t="s">
        <v>7091</v>
      </c>
      <c r="C2960" s="5" t="s">
        <v>80</v>
      </c>
      <c r="D2960" s="5" t="s">
        <v>81</v>
      </c>
      <c r="E2960" s="5" t="s">
        <v>117</v>
      </c>
      <c r="F2960" s="9">
        <v>20</v>
      </c>
      <c r="G2960" s="9">
        <v>203</v>
      </c>
      <c r="H2960" s="5" t="s">
        <v>20</v>
      </c>
      <c r="I2960" s="5" t="s">
        <v>7092</v>
      </c>
      <c r="J2960" s="12" t="str">
        <f>HYPERLINK("https://www.boe.es/gazeta/dias/1805/03/08/pdfs/GMD-1805-20.pdf#page=3","Abrir facsímil")</f>
        <v>Abrir facsímil</v>
      </c>
      <c r="K2960" s="15" t="s">
        <v>22</v>
      </c>
    </row>
    <row r="2961" spans="1:11" ht="42" customHeight="1">
      <c r="A2961" s="4" t="s">
        <v>7093</v>
      </c>
      <c r="B2961" s="5" t="s">
        <v>7094</v>
      </c>
      <c r="C2961" s="5" t="s">
        <v>80</v>
      </c>
      <c r="D2961" s="5" t="s">
        <v>81</v>
      </c>
      <c r="E2961" s="5" t="s">
        <v>1022</v>
      </c>
      <c r="F2961" s="9">
        <v>52</v>
      </c>
      <c r="G2961" s="9">
        <v>557</v>
      </c>
      <c r="H2961" s="5" t="s">
        <v>20</v>
      </c>
      <c r="I2961" s="5" t="s">
        <v>7095</v>
      </c>
      <c r="J2961" s="12" t="str">
        <f>HYPERLINK("https://www.boe.es/gazeta/dias/1805/06/28/pdfs/GMD-1805-52.pdf#page=5","Abrir facsímil")</f>
        <v>Abrir facsímil</v>
      </c>
      <c r="K2961" s="15" t="s">
        <v>22</v>
      </c>
    </row>
    <row r="2962" spans="1:11" ht="42" customHeight="1">
      <c r="A2962" s="4" t="s">
        <v>7093</v>
      </c>
      <c r="B2962" s="5" t="s">
        <v>7094</v>
      </c>
      <c r="C2962" s="5" t="s">
        <v>35</v>
      </c>
      <c r="D2962" s="5" t="s">
        <v>36</v>
      </c>
      <c r="E2962" s="5" t="s">
        <v>1132</v>
      </c>
      <c r="F2962" s="9">
        <v>72</v>
      </c>
      <c r="G2962" s="9">
        <v>765</v>
      </c>
      <c r="H2962" s="5" t="s">
        <v>20</v>
      </c>
      <c r="I2962" s="5" t="s">
        <v>7096</v>
      </c>
      <c r="J2962" s="12" t="str">
        <f>HYPERLINK("https://www.boe.es/gazeta/dias/1805/09/06/pdfs/GMD-1805-72.pdf#page=5","Abrir facsímil")</f>
        <v>Abrir facsímil</v>
      </c>
      <c r="K2962" s="15" t="s">
        <v>22</v>
      </c>
    </row>
    <row r="2963" spans="1:11" ht="42" customHeight="1">
      <c r="A2963" s="4" t="s">
        <v>7097</v>
      </c>
      <c r="B2963" s="5" t="s">
        <v>7098</v>
      </c>
      <c r="C2963" s="5" t="s">
        <v>17</v>
      </c>
      <c r="D2963" s="5" t="s">
        <v>18</v>
      </c>
      <c r="E2963" s="5" t="s">
        <v>854</v>
      </c>
      <c r="F2963" s="9">
        <v>46</v>
      </c>
      <c r="G2963" s="9">
        <v>495</v>
      </c>
      <c r="H2963" s="5" t="s">
        <v>20</v>
      </c>
      <c r="I2963" s="5" t="s">
        <v>7099</v>
      </c>
      <c r="J2963" s="12" t="str">
        <f>HYPERLINK("https://www.boe.es/gazeta/dias/1805/06/07/pdfs/GMD-1805-46.pdf#page=7","Abrir facsímil")</f>
        <v>Abrir facsímil</v>
      </c>
      <c r="K2963" s="15" t="s">
        <v>22</v>
      </c>
    </row>
    <row r="2964" spans="1:11" ht="42" customHeight="1">
      <c r="A2964" s="4" t="s">
        <v>7097</v>
      </c>
      <c r="B2964" s="5" t="s">
        <v>7098</v>
      </c>
      <c r="C2964" s="5" t="s">
        <v>80</v>
      </c>
      <c r="D2964" s="5" t="s">
        <v>81</v>
      </c>
      <c r="E2964" s="5" t="s">
        <v>495</v>
      </c>
      <c r="F2964" s="9">
        <v>103</v>
      </c>
      <c r="G2964" s="9">
        <v>1111</v>
      </c>
      <c r="H2964" s="5" t="s">
        <v>20</v>
      </c>
      <c r="I2964" s="5" t="s">
        <v>7100</v>
      </c>
      <c r="J2964" s="12" t="str">
        <f>HYPERLINK("https://www.boe.es/gazeta/dias/1805/12/24/pdfs/GMD-1805-103.pdf#page=3","Abrir facsímil")</f>
        <v>Abrir facsímil</v>
      </c>
      <c r="K2964" s="15" t="s">
        <v>22</v>
      </c>
    </row>
    <row r="2965" spans="1:11" ht="42" customHeight="1">
      <c r="A2965" s="4" t="s">
        <v>7101</v>
      </c>
      <c r="B2965" s="5" t="s">
        <v>7102</v>
      </c>
      <c r="C2965" s="5" t="s">
        <v>29</v>
      </c>
      <c r="D2965" s="5" t="s">
        <v>30</v>
      </c>
      <c r="E2965" s="5" t="s">
        <v>506</v>
      </c>
      <c r="F2965" s="9">
        <v>80</v>
      </c>
      <c r="G2965" s="9">
        <v>852</v>
      </c>
      <c r="H2965" s="5" t="s">
        <v>20</v>
      </c>
      <c r="I2965" s="5" t="s">
        <v>7103</v>
      </c>
      <c r="J2965" s="12" t="str">
        <f>HYPERLINK("https://www.boe.es/gazeta/dias/1805/10/04/pdfs/GMD-1805-80.pdf#page=12","Abrir facsímil")</f>
        <v>Abrir facsímil</v>
      </c>
      <c r="K2965" s="15" t="s">
        <v>22</v>
      </c>
    </row>
    <row r="2966" spans="1:11" ht="42" customHeight="1">
      <c r="A2966" s="4" t="s">
        <v>7104</v>
      </c>
      <c r="B2966" s="5" t="s">
        <v>7105</v>
      </c>
      <c r="C2966" s="5" t="s">
        <v>35</v>
      </c>
      <c r="D2966" s="5" t="s">
        <v>36</v>
      </c>
      <c r="E2966" s="5" t="s">
        <v>24</v>
      </c>
      <c r="F2966" s="9">
        <v>11</v>
      </c>
      <c r="G2966" s="9">
        <v>121</v>
      </c>
      <c r="H2966" s="5" t="s">
        <v>20</v>
      </c>
      <c r="I2966" s="5" t="s">
        <v>7106</v>
      </c>
      <c r="J2966" s="12" t="str">
        <f>HYPERLINK("https://www.boe.es/gazeta/dias/1805/02/05/pdfs/GMD-1805-11.pdf#page=9","Abrir facsímil")</f>
        <v>Abrir facsímil</v>
      </c>
      <c r="K2966" s="15" t="s">
        <v>22</v>
      </c>
    </row>
    <row r="2967" spans="1:11" ht="42" customHeight="1">
      <c r="A2967" s="4" t="s">
        <v>7107</v>
      </c>
      <c r="B2967" s="5" t="s">
        <v>7107</v>
      </c>
      <c r="C2967" s="5" t="s">
        <v>17</v>
      </c>
      <c r="D2967" s="5" t="s">
        <v>18</v>
      </c>
      <c r="E2967" s="5" t="s">
        <v>59</v>
      </c>
      <c r="F2967" s="9">
        <v>21</v>
      </c>
      <c r="G2967" s="9">
        <v>220</v>
      </c>
      <c r="H2967" s="5" t="s">
        <v>20</v>
      </c>
      <c r="I2967" s="5" t="s">
        <v>7108</v>
      </c>
      <c r="J2967" s="12" t="str">
        <f>HYPERLINK("https://www.boe.es/gazeta/dias/1805/03/12/pdfs/GMD-1805-21.pdf#page=8","Abrir facsímil")</f>
        <v>Abrir facsímil</v>
      </c>
      <c r="K2967" s="15" t="s">
        <v>22</v>
      </c>
    </row>
    <row r="2968" spans="1:11" ht="42" customHeight="1">
      <c r="A2968" s="4" t="s">
        <v>7109</v>
      </c>
      <c r="B2968" s="5" t="s">
        <v>7109</v>
      </c>
      <c r="C2968" s="5" t="s">
        <v>17</v>
      </c>
      <c r="D2968" s="5" t="s">
        <v>18</v>
      </c>
      <c r="E2968" s="5" t="s">
        <v>76</v>
      </c>
      <c r="F2968" s="9">
        <v>66</v>
      </c>
      <c r="G2968" s="9">
        <v>707</v>
      </c>
      <c r="H2968" s="5" t="s">
        <v>20</v>
      </c>
      <c r="I2968" s="5" t="s">
        <v>7110</v>
      </c>
      <c r="J2968" s="12" t="str">
        <f>HYPERLINK("https://www.boe.es/gazeta/dias/1805/08/16/pdfs/GMD-1805-66.pdf#page=7","Abrir facsímil")</f>
        <v>Abrir facsímil</v>
      </c>
      <c r="K2968" s="15" t="s">
        <v>22</v>
      </c>
    </row>
    <row r="2969" spans="1:11" ht="42" customHeight="1">
      <c r="A2969" s="4" t="s">
        <v>7111</v>
      </c>
      <c r="B2969" s="5" t="s">
        <v>7112</v>
      </c>
      <c r="C2969" s="5" t="s">
        <v>17</v>
      </c>
      <c r="D2969" s="5" t="s">
        <v>18</v>
      </c>
      <c r="E2969" s="5" t="s">
        <v>207</v>
      </c>
      <c r="F2969" s="9">
        <v>76</v>
      </c>
      <c r="G2969" s="9">
        <v>808</v>
      </c>
      <c r="H2969" s="5" t="s">
        <v>20</v>
      </c>
      <c r="I2969" s="5" t="s">
        <v>7113</v>
      </c>
      <c r="J2969" s="12" t="str">
        <f>HYPERLINK("https://www.boe.es/gazeta/dias/1805/09/20/pdfs/GMD-1805-76.pdf#page=8","Abrir facsímil")</f>
        <v>Abrir facsímil</v>
      </c>
      <c r="K2969" s="15" t="s">
        <v>22</v>
      </c>
    </row>
    <row r="2970" spans="1:11" ht="42" customHeight="1">
      <c r="A2970" s="4" t="s">
        <v>7111</v>
      </c>
      <c r="B2970" s="5" t="s">
        <v>7112</v>
      </c>
      <c r="C2970" s="5" t="s">
        <v>17</v>
      </c>
      <c r="D2970" s="5" t="s">
        <v>18</v>
      </c>
      <c r="E2970" s="5" t="s">
        <v>144</v>
      </c>
      <c r="F2970" s="9">
        <v>85</v>
      </c>
      <c r="G2970" s="9">
        <v>901</v>
      </c>
      <c r="H2970" s="5" t="s">
        <v>20</v>
      </c>
      <c r="I2970" s="5" t="s">
        <v>7114</v>
      </c>
      <c r="J2970" s="12" t="str">
        <f>HYPERLINK("https://www.boe.es/gazeta/dias/1805/10/22/pdfs/GMD-1805-85.pdf#page=9","Abrir facsímil")</f>
        <v>Abrir facsímil</v>
      </c>
      <c r="K2970" s="15" t="s">
        <v>22</v>
      </c>
    </row>
    <row r="2971" spans="1:11" ht="42" customHeight="1">
      <c r="A2971" s="4" t="s">
        <v>7115</v>
      </c>
      <c r="B2971" s="5" t="s">
        <v>7116</v>
      </c>
      <c r="C2971" s="5" t="s">
        <v>52</v>
      </c>
      <c r="D2971" s="5" t="s">
        <v>53</v>
      </c>
      <c r="E2971" s="5" t="s">
        <v>144</v>
      </c>
      <c r="F2971" s="9">
        <v>85</v>
      </c>
      <c r="G2971" s="9" t="s">
        <v>55</v>
      </c>
      <c r="H2971" s="5" t="s">
        <v>20</v>
      </c>
      <c r="I2971" s="5" t="s">
        <v>7117</v>
      </c>
      <c r="J2971" s="12" t="str">
        <f>HYPERLINK("https://www.boe.es/gazeta/dias/1805/10/22/pdfs/GMD-C-1805-85.pdf#page=4","Abrir facsímil")</f>
        <v>Abrir facsímil</v>
      </c>
      <c r="K2971" s="15" t="s">
        <v>22</v>
      </c>
    </row>
    <row r="2972" spans="1:11" ht="42" customHeight="1">
      <c r="A2972" s="4" t="s">
        <v>7118</v>
      </c>
      <c r="B2972" s="5" t="s">
        <v>7119</v>
      </c>
      <c r="C2972" s="5" t="s">
        <v>80</v>
      </c>
      <c r="D2972" s="5" t="s">
        <v>81</v>
      </c>
      <c r="E2972" s="5" t="s">
        <v>27</v>
      </c>
      <c r="F2972" s="9">
        <v>37</v>
      </c>
      <c r="G2972" s="9">
        <v>396</v>
      </c>
      <c r="H2972" s="5" t="s">
        <v>20</v>
      </c>
      <c r="I2972" s="5" t="s">
        <v>7120</v>
      </c>
      <c r="J2972" s="12" t="str">
        <f>HYPERLINK("https://www.boe.es/gazeta/dias/1805/05/07/pdfs/GMD-1805-37.pdf#page=4","Abrir facsímil")</f>
        <v>Abrir facsímil</v>
      </c>
      <c r="K2972" s="15" t="s">
        <v>22</v>
      </c>
    </row>
    <row r="2973" spans="1:11" ht="42" customHeight="1">
      <c r="A2973" s="4" t="s">
        <v>7121</v>
      </c>
      <c r="B2973" s="5" t="s">
        <v>7122</v>
      </c>
      <c r="C2973" s="5" t="s">
        <v>80</v>
      </c>
      <c r="D2973" s="5" t="s">
        <v>81</v>
      </c>
      <c r="E2973" s="5" t="s">
        <v>87</v>
      </c>
      <c r="F2973" s="9">
        <v>14</v>
      </c>
      <c r="G2973" s="9">
        <v>141</v>
      </c>
      <c r="H2973" s="5" t="s">
        <v>20</v>
      </c>
      <c r="I2973" s="5" t="s">
        <v>7123</v>
      </c>
      <c r="J2973" s="12" t="str">
        <f>HYPERLINK("https://www.boe.es/gazeta/dias/1805/02/15/pdfs/GMD-1805-14.pdf#page=1","Abrir facsímil")</f>
        <v>Abrir facsímil</v>
      </c>
      <c r="K2973" s="15" t="s">
        <v>22</v>
      </c>
    </row>
    <row r="2974" spans="1:11" ht="42" customHeight="1">
      <c r="A2974" s="4" t="s">
        <v>7121</v>
      </c>
      <c r="B2974" s="5" t="s">
        <v>7122</v>
      </c>
      <c r="C2974" s="5" t="s">
        <v>80</v>
      </c>
      <c r="D2974" s="5" t="s">
        <v>81</v>
      </c>
      <c r="E2974" s="5" t="s">
        <v>296</v>
      </c>
      <c r="F2974" s="9">
        <v>26</v>
      </c>
      <c r="G2974" s="9">
        <v>272</v>
      </c>
      <c r="H2974" s="5" t="s">
        <v>20</v>
      </c>
      <c r="I2974" s="5" t="s">
        <v>7124</v>
      </c>
      <c r="J2974" s="12" t="str">
        <f>HYPERLINK("https://www.boe.es/gazeta/dias/1805/03/29/pdfs/GMD-1805-26.pdf#page=4","Abrir facsímil")</f>
        <v>Abrir facsímil</v>
      </c>
      <c r="K2974" s="15" t="s">
        <v>22</v>
      </c>
    </row>
    <row r="2975" spans="1:11" ht="42" customHeight="1">
      <c r="A2975" s="4" t="s">
        <v>7121</v>
      </c>
      <c r="B2975" s="5" t="s">
        <v>7122</v>
      </c>
      <c r="C2975" s="5" t="s">
        <v>35</v>
      </c>
      <c r="D2975" s="5" t="s">
        <v>36</v>
      </c>
      <c r="E2975" s="5" t="s">
        <v>426</v>
      </c>
      <c r="F2975" s="9">
        <v>75</v>
      </c>
      <c r="G2975" s="9">
        <v>790</v>
      </c>
      <c r="H2975" s="5" t="s">
        <v>20</v>
      </c>
      <c r="I2975" s="5" t="s">
        <v>7125</v>
      </c>
      <c r="J2975" s="12" t="str">
        <f>HYPERLINK("https://www.boe.es/gazeta/dias/1805/09/17/pdfs/GMD-1805-75.pdf#page=2","Abrir facsímil")</f>
        <v>Abrir facsímil</v>
      </c>
      <c r="K2975" s="15" t="s">
        <v>22</v>
      </c>
    </row>
    <row r="2976" spans="1:11" ht="42" customHeight="1">
      <c r="A2976" s="4" t="s">
        <v>7126</v>
      </c>
      <c r="B2976" s="5" t="s">
        <v>7127</v>
      </c>
      <c r="C2976" s="5" t="s">
        <v>35</v>
      </c>
      <c r="D2976" s="5" t="s">
        <v>36</v>
      </c>
      <c r="E2976" s="5" t="s">
        <v>63</v>
      </c>
      <c r="F2976" s="9">
        <v>101</v>
      </c>
      <c r="G2976" s="9">
        <v>1092</v>
      </c>
      <c r="H2976" s="5" t="s">
        <v>20</v>
      </c>
      <c r="I2976" s="5" t="s">
        <v>7128</v>
      </c>
      <c r="J2976" s="12" t="str">
        <f>HYPERLINK("https://www.boe.es/gazeta/dias/1805/12/17/pdfs/GMD-1805-101.pdf#page=8","Abrir facsímil")</f>
        <v>Abrir facsímil</v>
      </c>
      <c r="K2976" s="15" t="s">
        <v>22</v>
      </c>
    </row>
    <row r="2977" spans="1:11" ht="42" customHeight="1">
      <c r="A2977" s="4" t="s">
        <v>7129</v>
      </c>
      <c r="B2977" s="5" t="s">
        <v>7129</v>
      </c>
      <c r="C2977" s="5" t="s">
        <v>80</v>
      </c>
      <c r="D2977" s="5" t="s">
        <v>81</v>
      </c>
      <c r="E2977" s="5" t="s">
        <v>393</v>
      </c>
      <c r="F2977" s="9">
        <v>44</v>
      </c>
      <c r="G2977" s="9">
        <v>467</v>
      </c>
      <c r="H2977" s="5" t="s">
        <v>20</v>
      </c>
      <c r="I2977" s="5" t="s">
        <v>7130</v>
      </c>
      <c r="J2977" s="12" t="str">
        <f>HYPERLINK("https://www.boe.es/gazeta/dias/1805/05/31/pdfs/GMD-1805-44.pdf#page=3","Abrir facsímil")</f>
        <v>Abrir facsímil</v>
      </c>
      <c r="K2977" s="15" t="s">
        <v>22</v>
      </c>
    </row>
    <row r="2978" spans="1:11" ht="42" customHeight="1">
      <c r="A2978" s="4" t="s">
        <v>7131</v>
      </c>
      <c r="B2978" s="5" t="s">
        <v>7132</v>
      </c>
      <c r="C2978" s="5" t="s">
        <v>35</v>
      </c>
      <c r="D2978" s="5" t="s">
        <v>36</v>
      </c>
      <c r="E2978" s="5" t="s">
        <v>99</v>
      </c>
      <c r="F2978" s="9">
        <v>83</v>
      </c>
      <c r="G2978" s="9">
        <v>882</v>
      </c>
      <c r="H2978" s="5" t="s">
        <v>20</v>
      </c>
      <c r="I2978" s="5" t="s">
        <v>7133</v>
      </c>
      <c r="J2978" s="12" t="str">
        <f>HYPERLINK("https://www.boe.es/gazeta/dias/1805/10/15/pdfs/GMD-1805-83.pdf#page=10","Abrir facsímil")</f>
        <v>Abrir facsímil</v>
      </c>
      <c r="K2978" s="15" t="s">
        <v>22</v>
      </c>
    </row>
    <row r="2979" spans="1:11" ht="42" customHeight="1">
      <c r="A2979" s="4" t="s">
        <v>7134</v>
      </c>
      <c r="B2979" s="5" t="s">
        <v>7135</v>
      </c>
      <c r="C2979" s="5" t="s">
        <v>29</v>
      </c>
      <c r="D2979" s="5" t="s">
        <v>30</v>
      </c>
      <c r="E2979" s="5" t="s">
        <v>440</v>
      </c>
      <c r="F2979" s="9">
        <v>27</v>
      </c>
      <c r="G2979" s="9">
        <v>292</v>
      </c>
      <c r="H2979" s="5" t="s">
        <v>20</v>
      </c>
      <c r="I2979" s="5" t="s">
        <v>7136</v>
      </c>
      <c r="J2979" s="12" t="str">
        <f>HYPERLINK("https://www.boe.es/gazeta/dias/1805/04/02/pdfs/GMD-1805-27.pdf#page=12","Abrir facsímil")</f>
        <v>Abrir facsímil</v>
      </c>
      <c r="K2979" s="15" t="s">
        <v>22</v>
      </c>
    </row>
    <row r="2980" spans="1:11" ht="42" customHeight="1">
      <c r="A2980" s="4" t="s">
        <v>7137</v>
      </c>
      <c r="B2980" s="5" t="s">
        <v>7137</v>
      </c>
      <c r="C2980" s="5" t="s">
        <v>17</v>
      </c>
      <c r="D2980" s="5" t="s">
        <v>18</v>
      </c>
      <c r="E2980" s="5" t="s">
        <v>71</v>
      </c>
      <c r="F2980" s="9">
        <v>33</v>
      </c>
      <c r="G2980" s="9">
        <v>355</v>
      </c>
      <c r="H2980" s="5" t="s">
        <v>20</v>
      </c>
      <c r="I2980" s="5" t="s">
        <v>7138</v>
      </c>
      <c r="J2980" s="12" t="str">
        <f>HYPERLINK("https://www.boe.es/gazeta/dias/1805/04/23/pdfs/GMD-1805-33.pdf#page=11","Abrir facsímil")</f>
        <v>Abrir facsímil</v>
      </c>
      <c r="K2980" s="15" t="s">
        <v>22</v>
      </c>
    </row>
    <row r="2981" spans="1:11" ht="42" customHeight="1">
      <c r="A2981" s="4" t="s">
        <v>7139</v>
      </c>
      <c r="B2981" s="5" t="s">
        <v>7139</v>
      </c>
      <c r="C2981" s="5" t="s">
        <v>29</v>
      </c>
      <c r="D2981" s="5" t="s">
        <v>30</v>
      </c>
      <c r="E2981" s="5" t="s">
        <v>120</v>
      </c>
      <c r="F2981" s="9">
        <v>24</v>
      </c>
      <c r="G2981" s="9">
        <v>260</v>
      </c>
      <c r="H2981" s="5" t="s">
        <v>20</v>
      </c>
      <c r="I2981" s="5" t="s">
        <v>7140</v>
      </c>
      <c r="J2981" s="12" t="str">
        <f>HYPERLINK("https://www.boe.es/gazeta/dias/1805/03/22/pdfs/GMD-1805-24.pdf#page=12","Abrir facsímil")</f>
        <v>Abrir facsímil</v>
      </c>
      <c r="K2981" s="15" t="s">
        <v>22</v>
      </c>
    </row>
    <row r="2982" spans="1:11" ht="42" customHeight="1">
      <c r="A2982" s="4" t="s">
        <v>7141</v>
      </c>
      <c r="B2982" s="5" t="s">
        <v>7141</v>
      </c>
      <c r="C2982" s="5" t="s">
        <v>35</v>
      </c>
      <c r="D2982" s="5" t="s">
        <v>36</v>
      </c>
      <c r="E2982" s="5" t="s">
        <v>138</v>
      </c>
      <c r="F2982" s="9">
        <v>102</v>
      </c>
      <c r="G2982" s="9">
        <v>1104</v>
      </c>
      <c r="H2982" s="5" t="s">
        <v>20</v>
      </c>
      <c r="I2982" s="5" t="s">
        <v>7142</v>
      </c>
      <c r="J2982" s="12" t="str">
        <f>HYPERLINK("https://www.boe.es/gazeta/dias/1805/12/20/pdfs/GMD-1805-102.pdf#page=8","Abrir facsímil")</f>
        <v>Abrir facsímil</v>
      </c>
      <c r="K2982" s="15" t="s">
        <v>22</v>
      </c>
    </row>
    <row r="2983" spans="1:11" ht="42" customHeight="1">
      <c r="A2983" s="4" t="s">
        <v>7143</v>
      </c>
      <c r="B2983" s="5" t="s">
        <v>7143</v>
      </c>
      <c r="C2983" s="5" t="s">
        <v>35</v>
      </c>
      <c r="D2983" s="5" t="s">
        <v>36</v>
      </c>
      <c r="E2983" s="5" t="s">
        <v>24</v>
      </c>
      <c r="F2983" s="9">
        <v>11</v>
      </c>
      <c r="G2983" s="9">
        <v>121</v>
      </c>
      <c r="H2983" s="5" t="s">
        <v>20</v>
      </c>
      <c r="I2983" s="5" t="s">
        <v>7144</v>
      </c>
      <c r="J2983" s="12" t="str">
        <f>HYPERLINK("https://www.boe.es/gazeta/dias/1805/02/05/pdfs/GMD-1805-11.pdf#page=9","Abrir facsímil")</f>
        <v>Abrir facsímil</v>
      </c>
      <c r="K2983" s="15" t="s">
        <v>22</v>
      </c>
    </row>
    <row r="2984" spans="1:11" ht="42" customHeight="1">
      <c r="A2984" s="4" t="s">
        <v>7145</v>
      </c>
      <c r="B2984" s="5" t="s">
        <v>7145</v>
      </c>
      <c r="C2984" s="5" t="s">
        <v>17</v>
      </c>
      <c r="D2984" s="5" t="s">
        <v>18</v>
      </c>
      <c r="E2984" s="5" t="s">
        <v>399</v>
      </c>
      <c r="F2984" s="9">
        <v>39</v>
      </c>
      <c r="G2984" s="9">
        <v>422</v>
      </c>
      <c r="H2984" s="5" t="s">
        <v>20</v>
      </c>
      <c r="I2984" s="5" t="s">
        <v>7146</v>
      </c>
      <c r="J2984" s="12" t="str">
        <f>HYPERLINK("https://www.boe.es/gazeta/dias/1805/05/14/pdfs/GMD-1805-39.pdf#page=10","Abrir facsímil")</f>
        <v>Abrir facsímil</v>
      </c>
      <c r="K2984" s="15" t="s">
        <v>22</v>
      </c>
    </row>
    <row r="2985" spans="1:11" ht="42" customHeight="1">
      <c r="A2985" s="4" t="s">
        <v>7147</v>
      </c>
      <c r="B2985" s="5" t="s">
        <v>7147</v>
      </c>
      <c r="C2985" s="5" t="s">
        <v>17</v>
      </c>
      <c r="D2985" s="5" t="s">
        <v>18</v>
      </c>
      <c r="E2985" s="5" t="s">
        <v>120</v>
      </c>
      <c r="F2985" s="9">
        <v>24</v>
      </c>
      <c r="G2985" s="9">
        <v>258</v>
      </c>
      <c r="H2985" s="5" t="s">
        <v>20</v>
      </c>
      <c r="I2985" s="5" t="s">
        <v>7148</v>
      </c>
      <c r="J2985" s="12" t="str">
        <f>HYPERLINK("https://www.boe.es/gazeta/dias/1805/03/22/pdfs/GMD-1805-24.pdf#page=10","Abrir facsímil")</f>
        <v>Abrir facsímil</v>
      </c>
      <c r="K2985" s="15" t="s">
        <v>22</v>
      </c>
    </row>
    <row r="2986" spans="1:11" ht="42" customHeight="1">
      <c r="A2986" s="4" t="s">
        <v>7147</v>
      </c>
      <c r="B2986" s="5" t="s">
        <v>7147</v>
      </c>
      <c r="C2986" s="5" t="s">
        <v>17</v>
      </c>
      <c r="D2986" s="5" t="s">
        <v>18</v>
      </c>
      <c r="E2986" s="5" t="s">
        <v>958</v>
      </c>
      <c r="F2986" s="9">
        <v>58</v>
      </c>
      <c r="G2986" s="9">
        <v>621</v>
      </c>
      <c r="H2986" s="5" t="s">
        <v>20</v>
      </c>
      <c r="I2986" s="5" t="s">
        <v>7149</v>
      </c>
      <c r="J2986" s="12" t="str">
        <f>HYPERLINK("https://www.boe.es/gazeta/dias/1805/07/19/pdfs/GMD-1805-58.pdf#page=5","Abrir facsímil")</f>
        <v>Abrir facsímil</v>
      </c>
      <c r="K2986" s="15" t="s">
        <v>22</v>
      </c>
    </row>
    <row r="2987" spans="1:11" ht="42" customHeight="1">
      <c r="A2987" s="4" t="s">
        <v>7150</v>
      </c>
      <c r="B2987" s="5" t="s">
        <v>7150</v>
      </c>
      <c r="C2987" s="5" t="s">
        <v>35</v>
      </c>
      <c r="D2987" s="5" t="s">
        <v>36</v>
      </c>
      <c r="E2987" s="5" t="s">
        <v>539</v>
      </c>
      <c r="F2987" s="9">
        <v>97</v>
      </c>
      <c r="G2987" s="9">
        <v>1045</v>
      </c>
      <c r="H2987" s="5" t="s">
        <v>20</v>
      </c>
      <c r="I2987" s="5" t="s">
        <v>7151</v>
      </c>
      <c r="J2987" s="12" t="str">
        <f>HYPERLINK("https://www.boe.es/gazeta/dias/1805/12/03/pdfs/GMD-1805-97.pdf#page=9","Abrir facsímil")</f>
        <v>Abrir facsímil</v>
      </c>
      <c r="K2987" s="15" t="s">
        <v>22</v>
      </c>
    </row>
    <row r="2988" spans="1:11" ht="42" customHeight="1">
      <c r="A2988" s="4" t="s">
        <v>7152</v>
      </c>
      <c r="B2988" s="5" t="s">
        <v>7152</v>
      </c>
      <c r="C2988" s="5" t="s">
        <v>29</v>
      </c>
      <c r="D2988" s="5" t="s">
        <v>30</v>
      </c>
      <c r="E2988" s="5" t="s">
        <v>729</v>
      </c>
      <c r="F2988" s="9">
        <v>61</v>
      </c>
      <c r="G2988" s="9">
        <v>655</v>
      </c>
      <c r="H2988" s="5" t="s">
        <v>20</v>
      </c>
      <c r="I2988" s="5" t="s">
        <v>7153</v>
      </c>
      <c r="J2988" s="12" t="str">
        <f>HYPERLINK("https://www.boe.es/gazeta/dias/1805/07/30/pdfs/GMD-1805-61.pdf#page=7","Abrir facsímil")</f>
        <v>Abrir facsímil</v>
      </c>
      <c r="K2988" s="15" t="s">
        <v>22</v>
      </c>
    </row>
    <row r="2989" spans="1:11" ht="42" customHeight="1">
      <c r="A2989" s="4" t="s">
        <v>7154</v>
      </c>
      <c r="B2989" s="5" t="s">
        <v>7154</v>
      </c>
      <c r="C2989" s="5" t="s">
        <v>17</v>
      </c>
      <c r="D2989" s="5" t="s">
        <v>18</v>
      </c>
      <c r="E2989" s="5" t="s">
        <v>138</v>
      </c>
      <c r="F2989" s="9">
        <v>102</v>
      </c>
      <c r="G2989" s="9">
        <v>1104</v>
      </c>
      <c r="H2989" s="5" t="s">
        <v>20</v>
      </c>
      <c r="I2989" s="5" t="s">
        <v>7155</v>
      </c>
      <c r="J2989" s="12" t="str">
        <f>HYPERLINK("https://www.boe.es/gazeta/dias/1805/12/20/pdfs/GMD-1805-102.pdf#page=8","Abrir facsímil")</f>
        <v>Abrir facsímil</v>
      </c>
      <c r="K2989" s="15" t="s">
        <v>22</v>
      </c>
    </row>
    <row r="2990" spans="1:11" ht="42" customHeight="1">
      <c r="A2990" s="4" t="s">
        <v>7156</v>
      </c>
      <c r="B2990" s="5" t="s">
        <v>7156</v>
      </c>
      <c r="C2990" s="5" t="s">
        <v>85</v>
      </c>
      <c r="D2990" s="5" t="s">
        <v>86</v>
      </c>
      <c r="E2990" s="5" t="s">
        <v>539</v>
      </c>
      <c r="F2990" s="9">
        <v>97</v>
      </c>
      <c r="G2990" s="9">
        <v>1043</v>
      </c>
      <c r="H2990" s="5" t="s">
        <v>20</v>
      </c>
      <c r="I2990" s="5" t="s">
        <v>7157</v>
      </c>
      <c r="J2990" s="12" t="str">
        <f>HYPERLINK("https://www.boe.es/gazeta/dias/1805/12/03/pdfs/GMD-1805-97.pdf#page=7","Abrir facsímil")</f>
        <v>Abrir facsímil</v>
      </c>
      <c r="K2990" s="15" t="s">
        <v>22</v>
      </c>
    </row>
    <row r="2991" spans="1:11" ht="42" customHeight="1">
      <c r="A2991" s="4" t="s">
        <v>7158</v>
      </c>
      <c r="B2991" s="5" t="s">
        <v>7158</v>
      </c>
      <c r="C2991" s="5" t="s">
        <v>35</v>
      </c>
      <c r="D2991" s="5" t="s">
        <v>36</v>
      </c>
      <c r="E2991" s="5" t="s">
        <v>67</v>
      </c>
      <c r="F2991" s="9">
        <v>98</v>
      </c>
      <c r="G2991" s="9">
        <v>1059</v>
      </c>
      <c r="H2991" s="5" t="s">
        <v>20</v>
      </c>
      <c r="I2991" s="5" t="s">
        <v>7159</v>
      </c>
      <c r="J2991" s="12" t="str">
        <f>HYPERLINK("https://www.boe.es/gazeta/dias/1805/12/06/pdfs/GMD-1805-98.pdf#page=11","Abrir facsímil")</f>
        <v>Abrir facsímil</v>
      </c>
      <c r="K2991" s="15" t="s">
        <v>22</v>
      </c>
    </row>
    <row r="2992" spans="1:11" ht="42" customHeight="1">
      <c r="A2992" s="4" t="s">
        <v>7160</v>
      </c>
      <c r="B2992" s="5" t="s">
        <v>7160</v>
      </c>
      <c r="C2992" s="5" t="s">
        <v>17</v>
      </c>
      <c r="D2992" s="5" t="s">
        <v>18</v>
      </c>
      <c r="E2992" s="5" t="s">
        <v>63</v>
      </c>
      <c r="F2992" s="9">
        <v>101</v>
      </c>
      <c r="G2992" s="9">
        <v>1091</v>
      </c>
      <c r="H2992" s="5" t="s">
        <v>20</v>
      </c>
      <c r="I2992" s="5" t="s">
        <v>7161</v>
      </c>
      <c r="J2992" s="12" t="str">
        <f>HYPERLINK("https://www.boe.es/gazeta/dias/1805/12/17/pdfs/GMD-1805-101.pdf#page=7","Abrir facsímil")</f>
        <v>Abrir facsímil</v>
      </c>
      <c r="K2992" s="15" t="s">
        <v>22</v>
      </c>
    </row>
    <row r="2993" spans="1:11" ht="42" customHeight="1">
      <c r="A2993" s="4" t="s">
        <v>7162</v>
      </c>
      <c r="B2993" s="5" t="s">
        <v>7162</v>
      </c>
      <c r="C2993" s="5" t="s">
        <v>35</v>
      </c>
      <c r="D2993" s="5" t="s">
        <v>36</v>
      </c>
      <c r="E2993" s="5" t="s">
        <v>37</v>
      </c>
      <c r="F2993" s="9">
        <v>54</v>
      </c>
      <c r="G2993" s="9">
        <v>579</v>
      </c>
      <c r="H2993" s="5" t="s">
        <v>20</v>
      </c>
      <c r="I2993" s="5" t="s">
        <v>7163</v>
      </c>
      <c r="J2993" s="12" t="str">
        <f>HYPERLINK("https://www.boe.es/gazeta/dias/1805/07/05/pdfs/GMD-1805-54.pdf#page=7","Abrir facsímil")</f>
        <v>Abrir facsímil</v>
      </c>
      <c r="K2993" s="15" t="s">
        <v>22</v>
      </c>
    </row>
    <row r="2994" spans="1:11" ht="42" customHeight="1">
      <c r="A2994" s="4" t="s">
        <v>7164</v>
      </c>
      <c r="B2994" s="5" t="s">
        <v>7164</v>
      </c>
      <c r="C2994" s="5" t="s">
        <v>85</v>
      </c>
      <c r="D2994" s="5" t="s">
        <v>86</v>
      </c>
      <c r="E2994" s="5" t="s">
        <v>192</v>
      </c>
      <c r="F2994" s="9">
        <v>105</v>
      </c>
      <c r="G2994" s="9">
        <v>1137</v>
      </c>
      <c r="H2994" s="5" t="s">
        <v>20</v>
      </c>
      <c r="I2994" s="5" t="s">
        <v>7165</v>
      </c>
      <c r="J2994" s="12" t="str">
        <f>HYPERLINK("https://www.boe.es/gazeta/dias/1805/12/31/pdfs/GMD-1805-105.pdf#page=9","Abrir facsímil")</f>
        <v>Abrir facsímil</v>
      </c>
      <c r="K2994" s="15" t="s">
        <v>22</v>
      </c>
    </row>
    <row r="2995" spans="1:11" ht="42" customHeight="1">
      <c r="A2995" s="4" t="s">
        <v>7166</v>
      </c>
      <c r="B2995" s="5" t="s">
        <v>7166</v>
      </c>
      <c r="C2995" s="5" t="s">
        <v>17</v>
      </c>
      <c r="D2995" s="5" t="s">
        <v>18</v>
      </c>
      <c r="E2995" s="5" t="s">
        <v>440</v>
      </c>
      <c r="F2995" s="9">
        <v>27</v>
      </c>
      <c r="G2995" s="9">
        <v>286</v>
      </c>
      <c r="H2995" s="5" t="s">
        <v>20</v>
      </c>
      <c r="I2995" s="5" t="s">
        <v>7167</v>
      </c>
      <c r="J2995" s="12" t="str">
        <f>HYPERLINK("https://www.boe.es/gazeta/dias/1805/04/02/pdfs/GMD-1805-27.pdf#page=6","Abrir facsímil")</f>
        <v>Abrir facsímil</v>
      </c>
      <c r="K2995" s="15" t="s">
        <v>22</v>
      </c>
    </row>
    <row r="2996" spans="1:11" ht="42" customHeight="1">
      <c r="A2996" s="4" t="s">
        <v>7168</v>
      </c>
      <c r="B2996" s="5" t="s">
        <v>7168</v>
      </c>
      <c r="C2996" s="5" t="s">
        <v>80</v>
      </c>
      <c r="D2996" s="5" t="s">
        <v>81</v>
      </c>
      <c r="E2996" s="5" t="s">
        <v>1259</v>
      </c>
      <c r="F2996" s="9">
        <v>78</v>
      </c>
      <c r="G2996" s="9">
        <v>821</v>
      </c>
      <c r="H2996" s="5" t="s">
        <v>20</v>
      </c>
      <c r="I2996" s="5" t="s">
        <v>7169</v>
      </c>
      <c r="J2996" s="12" t="str">
        <f>HYPERLINK("https://www.boe.es/gazeta/dias/1805/09/27/pdfs/GMD-1805-78.pdf#page=1","Abrir facsímil")</f>
        <v>Abrir facsímil</v>
      </c>
      <c r="K2996" s="15" t="s">
        <v>22</v>
      </c>
    </row>
    <row r="2997" spans="1:11" ht="42" customHeight="1">
      <c r="A2997" s="4" t="s">
        <v>7170</v>
      </c>
      <c r="B2997" s="5" t="s">
        <v>7171</v>
      </c>
      <c r="C2997" s="5" t="s">
        <v>35</v>
      </c>
      <c r="D2997" s="5" t="s">
        <v>36</v>
      </c>
      <c r="E2997" s="5" t="s">
        <v>273</v>
      </c>
      <c r="F2997" s="9">
        <v>8</v>
      </c>
      <c r="G2997" s="9">
        <v>82</v>
      </c>
      <c r="H2997" s="5" t="s">
        <v>20</v>
      </c>
      <c r="I2997" s="5" t="s">
        <v>7172</v>
      </c>
      <c r="J2997" s="12" t="str">
        <f>HYPERLINK("https://www.boe.es/gazeta/dias/1805/01/25/pdfs/GMD-1805-8.pdf#page=2","Abrir facsímil")</f>
        <v>Abrir facsímil</v>
      </c>
      <c r="K2997" s="15" t="s">
        <v>22</v>
      </c>
    </row>
    <row r="2998" spans="1:11" ht="42" customHeight="1">
      <c r="A2998" s="4" t="s">
        <v>7170</v>
      </c>
      <c r="B2998" s="5" t="s">
        <v>7171</v>
      </c>
      <c r="C2998" s="5" t="s">
        <v>35</v>
      </c>
      <c r="D2998" s="5" t="s">
        <v>36</v>
      </c>
      <c r="E2998" s="5" t="s">
        <v>76</v>
      </c>
      <c r="F2998" s="9">
        <v>66</v>
      </c>
      <c r="G2998" s="9">
        <v>702</v>
      </c>
      <c r="H2998" s="5" t="s">
        <v>20</v>
      </c>
      <c r="I2998" s="5" t="s">
        <v>7173</v>
      </c>
      <c r="J2998" s="12" t="str">
        <f>HYPERLINK("https://www.boe.es/gazeta/dias/1805/08/16/pdfs/GMD-1805-66.pdf#page=2","Abrir facsímil")</f>
        <v>Abrir facsímil</v>
      </c>
      <c r="K2998" s="15" t="s">
        <v>22</v>
      </c>
    </row>
    <row r="2999" spans="1:11" ht="42" customHeight="1">
      <c r="A2999" s="4" t="s">
        <v>7174</v>
      </c>
      <c r="B2999" s="5" t="s">
        <v>7175</v>
      </c>
      <c r="C2999" s="5" t="s">
        <v>35</v>
      </c>
      <c r="D2999" s="5" t="s">
        <v>36</v>
      </c>
      <c r="E2999" s="5" t="s">
        <v>585</v>
      </c>
      <c r="F2999" s="9">
        <v>64</v>
      </c>
      <c r="G2999" s="9">
        <v>680</v>
      </c>
      <c r="H2999" s="5" t="s">
        <v>20</v>
      </c>
      <c r="I2999" s="5" t="s">
        <v>7176</v>
      </c>
      <c r="J2999" s="12" t="str">
        <f>HYPERLINK("https://www.boe.es/gazeta/dias/1805/08/09/pdfs/GMD-1805-64.pdf#page=4","Abrir facsímil")</f>
        <v>Abrir facsímil</v>
      </c>
      <c r="K2999" s="15" t="s">
        <v>22</v>
      </c>
    </row>
    <row r="3000" spans="1:11" ht="42" customHeight="1">
      <c r="A3000" s="4" t="s">
        <v>7177</v>
      </c>
      <c r="B3000" s="5" t="s">
        <v>7178</v>
      </c>
      <c r="C3000" s="5" t="s">
        <v>17</v>
      </c>
      <c r="D3000" s="5" t="s">
        <v>18</v>
      </c>
      <c r="E3000" s="5" t="s">
        <v>303</v>
      </c>
      <c r="F3000" s="9">
        <v>57</v>
      </c>
      <c r="G3000" s="9">
        <v>609</v>
      </c>
      <c r="H3000" s="5" t="s">
        <v>20</v>
      </c>
      <c r="I3000" s="5" t="s">
        <v>7179</v>
      </c>
      <c r="J3000" s="12" t="str">
        <f>HYPERLINK("https://www.boe.es/gazeta/dias/1805/07/16/pdfs/GMD-1805-57.pdf#page=5","Abrir facsímil")</f>
        <v>Abrir facsímil</v>
      </c>
      <c r="K3000" s="15" t="s">
        <v>22</v>
      </c>
    </row>
    <row r="3001" spans="1:11" ht="42" customHeight="1">
      <c r="A3001" s="4" t="s">
        <v>7180</v>
      </c>
      <c r="B3001" s="5" t="s">
        <v>7181</v>
      </c>
      <c r="C3001" s="5" t="s">
        <v>29</v>
      </c>
      <c r="D3001" s="5" t="s">
        <v>30</v>
      </c>
      <c r="E3001" s="5" t="s">
        <v>356</v>
      </c>
      <c r="F3001" s="9">
        <v>12</v>
      </c>
      <c r="G3001" s="9">
        <v>130</v>
      </c>
      <c r="H3001" s="5" t="s">
        <v>20</v>
      </c>
      <c r="I3001" s="5" t="s">
        <v>7182</v>
      </c>
      <c r="J3001" s="12" t="str">
        <f>HYPERLINK("https://www.boe.es/gazeta/dias/1805/02/08/pdfs/GMD-1805-12.pdf#page=6","Abrir facsímil")</f>
        <v>Abrir facsímil</v>
      </c>
      <c r="K3001" s="15" t="s">
        <v>22</v>
      </c>
    </row>
    <row r="3002" spans="1:11" ht="42" customHeight="1">
      <c r="A3002" s="4" t="s">
        <v>7183</v>
      </c>
      <c r="B3002" s="5" t="s">
        <v>7184</v>
      </c>
      <c r="C3002" s="5" t="s">
        <v>35</v>
      </c>
      <c r="D3002" s="5" t="s">
        <v>36</v>
      </c>
      <c r="E3002" s="5" t="s">
        <v>120</v>
      </c>
      <c r="F3002" s="9">
        <v>24</v>
      </c>
      <c r="G3002" s="9">
        <v>255</v>
      </c>
      <c r="H3002" s="5" t="s">
        <v>20</v>
      </c>
      <c r="I3002" s="5" t="s">
        <v>7185</v>
      </c>
      <c r="J3002" s="12" t="str">
        <f>HYPERLINK("https://www.boe.es/gazeta/dias/1805/03/22/pdfs/GMD-1805-24.pdf#page=7","Abrir facsímil")</f>
        <v>Abrir facsímil</v>
      </c>
      <c r="K3002" s="15" t="s">
        <v>22</v>
      </c>
    </row>
    <row r="3003" spans="1:11" ht="42" customHeight="1">
      <c r="A3003" s="4" t="s">
        <v>7186</v>
      </c>
      <c r="B3003" s="5" t="s">
        <v>7187</v>
      </c>
      <c r="C3003" s="5" t="s">
        <v>35</v>
      </c>
      <c r="D3003" s="5" t="s">
        <v>36</v>
      </c>
      <c r="E3003" s="5" t="s">
        <v>40</v>
      </c>
      <c r="F3003" s="9">
        <v>59</v>
      </c>
      <c r="G3003" s="9">
        <v>631</v>
      </c>
      <c r="H3003" s="5" t="s">
        <v>20</v>
      </c>
      <c r="I3003" s="5" t="s">
        <v>7188</v>
      </c>
      <c r="J3003" s="12" t="str">
        <f>HYPERLINK("https://www.boe.es/gazeta/dias/1805/07/23/pdfs/GMD-1805-59.pdf#page=7","Abrir facsímil")</f>
        <v>Abrir facsímil</v>
      </c>
      <c r="K3003" s="15" t="s">
        <v>22</v>
      </c>
    </row>
    <row r="3004" spans="1:11" ht="42" customHeight="1">
      <c r="A3004" s="4" t="s">
        <v>7189</v>
      </c>
      <c r="B3004" s="5" t="s">
        <v>7190</v>
      </c>
      <c r="C3004" s="5" t="s">
        <v>17</v>
      </c>
      <c r="D3004" s="5" t="s">
        <v>18</v>
      </c>
      <c r="E3004" s="5" t="s">
        <v>128</v>
      </c>
      <c r="F3004" s="9">
        <v>23</v>
      </c>
      <c r="G3004" s="9">
        <v>246</v>
      </c>
      <c r="H3004" s="5" t="s">
        <v>20</v>
      </c>
      <c r="I3004" s="5" t="s">
        <v>7191</v>
      </c>
      <c r="J3004" s="12" t="str">
        <f>HYPERLINK("https://www.boe.es/gazeta/dias/1805/03/19/pdfs/GMD-1805-23.pdf#page=10","Abrir facsímil")</f>
        <v>Abrir facsímil</v>
      </c>
      <c r="K3004" s="15" t="s">
        <v>22</v>
      </c>
    </row>
    <row r="3005" spans="1:11" ht="42" customHeight="1">
      <c r="A3005" s="4" t="s">
        <v>7192</v>
      </c>
      <c r="B3005" s="5" t="s">
        <v>7193</v>
      </c>
      <c r="C3005" s="5" t="s">
        <v>35</v>
      </c>
      <c r="D3005" s="5" t="s">
        <v>36</v>
      </c>
      <c r="E3005" s="5" t="s">
        <v>300</v>
      </c>
      <c r="F3005" s="9">
        <v>81</v>
      </c>
      <c r="G3005" s="9">
        <v>858</v>
      </c>
      <c r="H3005" s="5" t="s">
        <v>20</v>
      </c>
      <c r="I3005" s="5" t="s">
        <v>7194</v>
      </c>
      <c r="J3005" s="12" t="str">
        <f>HYPERLINK("https://www.boe.es/gazeta/dias/1805/10/08/pdfs/GMD-1805-81.pdf#page=6","Abrir facsímil")</f>
        <v>Abrir facsímil</v>
      </c>
      <c r="K3005" s="15" t="s">
        <v>22</v>
      </c>
    </row>
    <row r="3006" spans="1:11" ht="42" customHeight="1">
      <c r="A3006" s="4" t="s">
        <v>7195</v>
      </c>
      <c r="B3006" s="5" t="s">
        <v>7196</v>
      </c>
      <c r="C3006" s="5" t="s">
        <v>184</v>
      </c>
      <c r="D3006" s="5" t="s">
        <v>86</v>
      </c>
      <c r="E3006" s="5" t="s">
        <v>128</v>
      </c>
      <c r="F3006" s="9">
        <v>23</v>
      </c>
      <c r="G3006" s="9">
        <v>247</v>
      </c>
      <c r="H3006" s="5" t="s">
        <v>20</v>
      </c>
      <c r="I3006" s="5" t="s">
        <v>7197</v>
      </c>
      <c r="J3006" s="12" t="str">
        <f>HYPERLINK("https://www.boe.es/gazeta/dias/1805/03/19/pdfs/GMD-1805-23.pdf#page=11","Abrir facsímil")</f>
        <v>Abrir facsímil</v>
      </c>
      <c r="K3006" s="15" t="s">
        <v>22</v>
      </c>
    </row>
    <row r="3007" spans="1:11" ht="42" customHeight="1">
      <c r="A3007" s="4" t="s">
        <v>7198</v>
      </c>
      <c r="B3007" s="5" t="s">
        <v>7199</v>
      </c>
      <c r="C3007" s="5" t="s">
        <v>35</v>
      </c>
      <c r="D3007" s="5" t="s">
        <v>36</v>
      </c>
      <c r="E3007" s="5" t="s">
        <v>138</v>
      </c>
      <c r="F3007" s="9">
        <v>102</v>
      </c>
      <c r="G3007" s="9">
        <v>1103</v>
      </c>
      <c r="H3007" s="5" t="s">
        <v>20</v>
      </c>
      <c r="I3007" s="5" t="s">
        <v>7200</v>
      </c>
      <c r="J3007" s="12" t="str">
        <f>HYPERLINK("https://www.boe.es/gazeta/dias/1805/12/20/pdfs/GMD-1805-102.pdf#page=7","Abrir facsímil")</f>
        <v>Abrir facsímil</v>
      </c>
      <c r="K3007" s="15" t="s">
        <v>22</v>
      </c>
    </row>
    <row r="3008" spans="1:11" ht="42" customHeight="1">
      <c r="A3008" s="4" t="s">
        <v>7201</v>
      </c>
      <c r="B3008" s="5" t="s">
        <v>7202</v>
      </c>
      <c r="C3008" s="5" t="s">
        <v>184</v>
      </c>
      <c r="D3008" s="5" t="s">
        <v>86</v>
      </c>
      <c r="E3008" s="5" t="s">
        <v>512</v>
      </c>
      <c r="F3008" s="9">
        <v>100</v>
      </c>
      <c r="G3008" s="9">
        <v>1083</v>
      </c>
      <c r="H3008" s="5" t="s">
        <v>20</v>
      </c>
      <c r="I3008" s="5" t="s">
        <v>7203</v>
      </c>
      <c r="J3008" s="12" t="str">
        <f>HYPERLINK("https://www.boe.es/gazeta/dias/1805/12/13/pdfs/GMD-1805-100.pdf#page=11","Abrir facsímil")</f>
        <v>Abrir facsímil</v>
      </c>
      <c r="K3008" s="15" t="s">
        <v>22</v>
      </c>
    </row>
    <row r="3009" spans="1:11" ht="42" customHeight="1">
      <c r="A3009" s="4" t="s">
        <v>7204</v>
      </c>
      <c r="B3009" s="5" t="s">
        <v>7204</v>
      </c>
      <c r="C3009" s="5" t="s">
        <v>17</v>
      </c>
      <c r="D3009" s="5" t="s">
        <v>18</v>
      </c>
      <c r="E3009" s="5" t="s">
        <v>352</v>
      </c>
      <c r="F3009" s="9">
        <v>60</v>
      </c>
      <c r="G3009" s="9">
        <v>645</v>
      </c>
      <c r="H3009" s="5" t="s">
        <v>20</v>
      </c>
      <c r="I3009" s="5" t="s">
        <v>7205</v>
      </c>
      <c r="J3009" s="12" t="str">
        <f>HYPERLINK("https://www.boe.es/gazeta/dias/1805/07/26/pdfs/GMD-1805-60.pdf#page=9","Abrir facsímil")</f>
        <v>Abrir facsímil</v>
      </c>
      <c r="K3009" s="15" t="s">
        <v>22</v>
      </c>
    </row>
    <row r="3010" spans="1:11" ht="42" customHeight="1">
      <c r="A3010" s="4" t="s">
        <v>7206</v>
      </c>
      <c r="B3010" s="5" t="s">
        <v>7206</v>
      </c>
      <c r="C3010" s="5" t="s">
        <v>17</v>
      </c>
      <c r="D3010" s="5" t="s">
        <v>18</v>
      </c>
      <c r="E3010" s="5" t="s">
        <v>1445</v>
      </c>
      <c r="F3010" s="9">
        <v>6</v>
      </c>
      <c r="G3010" s="9">
        <v>59</v>
      </c>
      <c r="H3010" s="5" t="s">
        <v>20</v>
      </c>
      <c r="I3010" s="5" t="s">
        <v>7207</v>
      </c>
      <c r="J3010" s="12" t="str">
        <f>HYPERLINK("https://www.boe.es/gazeta/dias/1805/01/18/pdfs/GMD-1805-6.pdf#page=3","Abrir facsímil")</f>
        <v>Abrir facsímil</v>
      </c>
      <c r="K3010" s="15" t="s">
        <v>22</v>
      </c>
    </row>
    <row r="3011" spans="1:11" ht="42" customHeight="1">
      <c r="A3011" s="4" t="s">
        <v>7206</v>
      </c>
      <c r="B3011" s="5" t="s">
        <v>7206</v>
      </c>
      <c r="C3011" s="5" t="s">
        <v>35</v>
      </c>
      <c r="D3011" s="5" t="s">
        <v>36</v>
      </c>
      <c r="E3011" s="5" t="s">
        <v>196</v>
      </c>
      <c r="F3011" s="9">
        <v>67</v>
      </c>
      <c r="G3011" s="9">
        <v>714</v>
      </c>
      <c r="H3011" s="5" t="s">
        <v>20</v>
      </c>
      <c r="I3011" s="5" t="s">
        <v>7208</v>
      </c>
      <c r="J3011" s="12" t="str">
        <f>HYPERLINK("https://www.boe.es/gazeta/dias/1805/08/20/pdfs/GMD-1805-67.pdf#page=2","Abrir facsímil")</f>
        <v>Abrir facsímil</v>
      </c>
      <c r="K3011" s="15" t="s">
        <v>22</v>
      </c>
    </row>
    <row r="3012" spans="1:11" ht="42" customHeight="1">
      <c r="A3012" s="4" t="s">
        <v>7206</v>
      </c>
      <c r="B3012" s="5" t="s">
        <v>7206</v>
      </c>
      <c r="C3012" s="5" t="s">
        <v>35</v>
      </c>
      <c r="D3012" s="5" t="s">
        <v>36</v>
      </c>
      <c r="E3012" s="5" t="s">
        <v>217</v>
      </c>
      <c r="F3012" s="9">
        <v>96</v>
      </c>
      <c r="G3012" s="9">
        <v>1026</v>
      </c>
      <c r="H3012" s="5" t="s">
        <v>20</v>
      </c>
      <c r="I3012" s="5" t="s">
        <v>7209</v>
      </c>
      <c r="J3012" s="12" t="str">
        <f>HYPERLINK("https://www.boe.es/gazeta/dias/1805/11/29/pdfs/GMD-1805-96.pdf#page=2","Abrir facsímil")</f>
        <v>Abrir facsímil</v>
      </c>
      <c r="K3012" s="15" t="s">
        <v>22</v>
      </c>
    </row>
    <row r="3013" spans="1:11" ht="42" customHeight="1">
      <c r="A3013" s="4" t="s">
        <v>7210</v>
      </c>
      <c r="B3013" s="5" t="s">
        <v>7210</v>
      </c>
      <c r="C3013" s="5" t="s">
        <v>35</v>
      </c>
      <c r="D3013" s="5" t="s">
        <v>36</v>
      </c>
      <c r="E3013" s="5" t="s">
        <v>200</v>
      </c>
      <c r="F3013" s="9">
        <v>91</v>
      </c>
      <c r="G3013" s="9">
        <v>977</v>
      </c>
      <c r="H3013" s="5" t="s">
        <v>20</v>
      </c>
      <c r="I3013" s="5" t="s">
        <v>7211</v>
      </c>
      <c r="J3013" s="12" t="str">
        <f>HYPERLINK("https://www.boe.es/gazeta/dias/1805/11/12/pdfs/GMD-1805-91.pdf#page=9","Abrir facsímil")</f>
        <v>Abrir facsímil</v>
      </c>
      <c r="K3013" s="15" t="s">
        <v>22</v>
      </c>
    </row>
    <row r="3014" spans="1:11" ht="42" customHeight="1">
      <c r="A3014" s="4" t="s">
        <v>7212</v>
      </c>
      <c r="B3014" s="5" t="s">
        <v>7212</v>
      </c>
      <c r="C3014" s="5" t="s">
        <v>52</v>
      </c>
      <c r="D3014" s="5" t="s">
        <v>53</v>
      </c>
      <c r="E3014" s="5" t="s">
        <v>54</v>
      </c>
      <c r="F3014" s="9">
        <v>99</v>
      </c>
      <c r="G3014" s="9" t="s">
        <v>222</v>
      </c>
      <c r="H3014" s="5" t="s">
        <v>20</v>
      </c>
      <c r="I3014" s="5" t="s">
        <v>7213</v>
      </c>
      <c r="J3014" s="12" t="str">
        <f>HYPERLINK("https://www.boe.es/gazeta/dias/1805/12/10/pdfs/GMD-C-1805-99.pdf#page=1","Abrir facsímil")</f>
        <v>Abrir facsímil</v>
      </c>
      <c r="K3014" s="15" t="s">
        <v>22</v>
      </c>
    </row>
    <row r="3015" spans="1:11" ht="42" customHeight="1">
      <c r="A3015" s="4" t="s">
        <v>7214</v>
      </c>
      <c r="B3015" s="5" t="s">
        <v>7214</v>
      </c>
      <c r="C3015" s="5" t="s">
        <v>35</v>
      </c>
      <c r="D3015" s="5" t="s">
        <v>36</v>
      </c>
      <c r="E3015" s="5" t="s">
        <v>91</v>
      </c>
      <c r="F3015" s="9">
        <v>28</v>
      </c>
      <c r="G3015" s="9">
        <v>300</v>
      </c>
      <c r="H3015" s="5" t="s">
        <v>20</v>
      </c>
      <c r="I3015" s="5" t="s">
        <v>7215</v>
      </c>
      <c r="J3015" s="12" t="str">
        <f>HYPERLINK("https://www.boe.es/gazeta/dias/1805/04/05/pdfs/GMD-1805-28.pdf#page=8","Abrir facsímil")</f>
        <v>Abrir facsímil</v>
      </c>
      <c r="K3015" s="15" t="s">
        <v>22</v>
      </c>
    </row>
    <row r="3016" spans="1:11" ht="42" customHeight="1">
      <c r="A3016" s="4" t="s">
        <v>7216</v>
      </c>
      <c r="B3016" s="5" t="s">
        <v>7216</v>
      </c>
      <c r="C3016" s="5" t="s">
        <v>17</v>
      </c>
      <c r="D3016" s="5" t="s">
        <v>18</v>
      </c>
      <c r="E3016" s="5" t="s">
        <v>293</v>
      </c>
      <c r="F3016" s="9">
        <v>5</v>
      </c>
      <c r="G3016" s="9">
        <v>53</v>
      </c>
      <c r="H3016" s="5" t="s">
        <v>20</v>
      </c>
      <c r="I3016" s="5" t="s">
        <v>7217</v>
      </c>
      <c r="J3016" s="12" t="str">
        <f>HYPERLINK("https://www.boe.es/gazeta/dias/1805/01/15/pdfs/GMD-1805-5.pdf#page=9","Abrir facsímil")</f>
        <v>Abrir facsímil</v>
      </c>
      <c r="K3016" s="15" t="s">
        <v>22</v>
      </c>
    </row>
    <row r="3017" spans="1:11" ht="42" customHeight="1">
      <c r="A3017" s="4" t="s">
        <v>7218</v>
      </c>
      <c r="B3017" s="5" t="s">
        <v>7218</v>
      </c>
      <c r="C3017" s="5" t="s">
        <v>85</v>
      </c>
      <c r="D3017" s="5" t="s">
        <v>86</v>
      </c>
      <c r="E3017" s="5" t="s">
        <v>1445</v>
      </c>
      <c r="F3017" s="9">
        <v>6</v>
      </c>
      <c r="G3017" s="9">
        <v>66</v>
      </c>
      <c r="H3017" s="5" t="s">
        <v>20</v>
      </c>
      <c r="I3017" s="5" t="s">
        <v>7219</v>
      </c>
      <c r="J3017" s="12" t="str">
        <f>HYPERLINK("https://www.boe.es/gazeta/dias/1805/01/18/pdfs/GMD-1805-6.pdf#page=10","Abrir facsímil")</f>
        <v>Abrir facsímil</v>
      </c>
      <c r="K3017" s="15" t="s">
        <v>22</v>
      </c>
    </row>
    <row r="3018" spans="1:11" ht="42" customHeight="1">
      <c r="A3018" s="4" t="s">
        <v>7218</v>
      </c>
      <c r="B3018" s="5" t="s">
        <v>7218</v>
      </c>
      <c r="C3018" s="5" t="s">
        <v>35</v>
      </c>
      <c r="D3018" s="5" t="s">
        <v>36</v>
      </c>
      <c r="E3018" s="5" t="s">
        <v>188</v>
      </c>
      <c r="F3018" s="9">
        <v>68</v>
      </c>
      <c r="G3018" s="9">
        <v>728</v>
      </c>
      <c r="H3018" s="5" t="s">
        <v>20</v>
      </c>
      <c r="I3018" s="5" t="s">
        <v>7220</v>
      </c>
      <c r="J3018" s="12" t="str">
        <f>HYPERLINK("https://www.boe.es/gazeta/dias/1805/08/23/pdfs/GMD-1805-68.pdf#page=8","Abrir facsímil")</f>
        <v>Abrir facsímil</v>
      </c>
      <c r="K3018" s="15" t="s">
        <v>22</v>
      </c>
    </row>
    <row r="3019" spans="1:11" ht="42" customHeight="1">
      <c r="A3019" s="4" t="s">
        <v>7221</v>
      </c>
      <c r="B3019" s="5" t="s">
        <v>7221</v>
      </c>
      <c r="C3019" s="5" t="s">
        <v>35</v>
      </c>
      <c r="D3019" s="5" t="s">
        <v>36</v>
      </c>
      <c r="E3019" s="5" t="s">
        <v>365</v>
      </c>
      <c r="F3019" s="9">
        <v>3</v>
      </c>
      <c r="G3019" s="9">
        <v>29</v>
      </c>
      <c r="H3019" s="5" t="s">
        <v>20</v>
      </c>
      <c r="I3019" s="5" t="s">
        <v>7222</v>
      </c>
      <c r="J3019" s="12" t="str">
        <f>HYPERLINK("https://www.boe.es/gazeta/dias/1805/01/08/pdfs/GMD-1805-3.pdf#page=5","Abrir facsímil")</f>
        <v>Abrir facsímil</v>
      </c>
      <c r="K3019" s="15" t="s">
        <v>22</v>
      </c>
    </row>
    <row r="3020" spans="1:11" ht="42" customHeight="1">
      <c r="A3020" s="4" t="s">
        <v>7223</v>
      </c>
      <c r="B3020" s="5" t="s">
        <v>7223</v>
      </c>
      <c r="C3020" s="5" t="s">
        <v>35</v>
      </c>
      <c r="D3020" s="5" t="s">
        <v>36</v>
      </c>
      <c r="E3020" s="5" t="s">
        <v>24</v>
      </c>
      <c r="F3020" s="9">
        <v>11</v>
      </c>
      <c r="G3020" s="9">
        <v>121</v>
      </c>
      <c r="H3020" s="5" t="s">
        <v>20</v>
      </c>
      <c r="I3020" s="5" t="s">
        <v>7224</v>
      </c>
      <c r="J3020" s="12" t="str">
        <f>HYPERLINK("https://www.boe.es/gazeta/dias/1805/02/05/pdfs/GMD-1805-11.pdf#page=9","Abrir facsímil")</f>
        <v>Abrir facsímil</v>
      </c>
      <c r="K3020" s="15" t="s">
        <v>22</v>
      </c>
    </row>
    <row r="3021" spans="1:11" ht="42" customHeight="1">
      <c r="A3021" s="4" t="s">
        <v>7225</v>
      </c>
      <c r="B3021" s="5" t="s">
        <v>7225</v>
      </c>
      <c r="C3021" s="5" t="s">
        <v>52</v>
      </c>
      <c r="D3021" s="5" t="s">
        <v>53</v>
      </c>
      <c r="E3021" s="5" t="s">
        <v>144</v>
      </c>
      <c r="F3021" s="9">
        <v>85</v>
      </c>
      <c r="G3021" s="9" t="s">
        <v>145</v>
      </c>
      <c r="H3021" s="5" t="s">
        <v>20</v>
      </c>
      <c r="I3021" s="5" t="s">
        <v>7226</v>
      </c>
      <c r="J3021" s="12" t="str">
        <f>HYPERLINK("https://www.boe.es/gazeta/dias/1805/10/22/pdfs/GMD-C-1805-85.pdf#page=2","Abrir facsímil")</f>
        <v>Abrir facsímil</v>
      </c>
      <c r="K3021" s="15" t="s">
        <v>22</v>
      </c>
    </row>
    <row r="3022" spans="1:11" ht="42" customHeight="1">
      <c r="A3022" s="4" t="s">
        <v>7227</v>
      </c>
      <c r="B3022" s="5" t="s">
        <v>7227</v>
      </c>
      <c r="C3022" s="5" t="s">
        <v>17</v>
      </c>
      <c r="D3022" s="5" t="s">
        <v>18</v>
      </c>
      <c r="E3022" s="5" t="s">
        <v>1471</v>
      </c>
      <c r="F3022" s="9">
        <v>34</v>
      </c>
      <c r="G3022" s="9">
        <v>362</v>
      </c>
      <c r="H3022" s="5" t="s">
        <v>20</v>
      </c>
      <c r="I3022" s="5" t="s">
        <v>7228</v>
      </c>
      <c r="J3022" s="12" t="str">
        <f>HYPERLINK("https://www.boe.es/gazeta/dias/1805/04/26/pdfs/GMD-1805-34.pdf#page=6","Abrir facsímil")</f>
        <v>Abrir facsímil</v>
      </c>
      <c r="K3022" s="15" t="s">
        <v>22</v>
      </c>
    </row>
    <row r="3023" spans="1:11" ht="42" customHeight="1">
      <c r="A3023" s="4" t="s">
        <v>7227</v>
      </c>
      <c r="B3023" s="5" t="s">
        <v>7227</v>
      </c>
      <c r="C3023" s="5" t="s">
        <v>35</v>
      </c>
      <c r="D3023" s="5" t="s">
        <v>36</v>
      </c>
      <c r="E3023" s="5" t="s">
        <v>144</v>
      </c>
      <c r="F3023" s="9">
        <v>85</v>
      </c>
      <c r="G3023" s="9">
        <v>902</v>
      </c>
      <c r="H3023" s="5" t="s">
        <v>20</v>
      </c>
      <c r="I3023" s="5" t="s">
        <v>7229</v>
      </c>
      <c r="J3023" s="12" t="str">
        <f>HYPERLINK("https://www.boe.es/gazeta/dias/1805/10/22/pdfs/GMD-1805-85.pdf#page=10","Abrir facsímil")</f>
        <v>Abrir facsímil</v>
      </c>
      <c r="K3023" s="15" t="s">
        <v>22</v>
      </c>
    </row>
    <row r="3024" spans="1:11" ht="42" customHeight="1">
      <c r="A3024" s="4" t="s">
        <v>7230</v>
      </c>
      <c r="B3024" s="5" t="s">
        <v>7230</v>
      </c>
      <c r="C3024" s="5" t="s">
        <v>35</v>
      </c>
      <c r="D3024" s="5" t="s">
        <v>36</v>
      </c>
      <c r="E3024" s="5" t="s">
        <v>290</v>
      </c>
      <c r="F3024" s="9">
        <v>36</v>
      </c>
      <c r="G3024" s="9">
        <v>389</v>
      </c>
      <c r="H3024" s="5" t="s">
        <v>20</v>
      </c>
      <c r="I3024" s="5" t="s">
        <v>7231</v>
      </c>
      <c r="J3024" s="12" t="str">
        <f>HYPERLINK("https://www.boe.es/gazeta/dias/1805/05/03/pdfs/GMD-1805-36.pdf#page=9","Abrir facsímil")</f>
        <v>Abrir facsímil</v>
      </c>
      <c r="K3024" s="15" t="s">
        <v>22</v>
      </c>
    </row>
    <row r="3025" spans="1:11" ht="42" customHeight="1">
      <c r="A3025" s="4" t="s">
        <v>7232</v>
      </c>
      <c r="B3025" s="5" t="s">
        <v>7232</v>
      </c>
      <c r="C3025" s="5" t="s">
        <v>17</v>
      </c>
      <c r="D3025" s="5" t="s">
        <v>18</v>
      </c>
      <c r="E3025" s="5" t="s">
        <v>91</v>
      </c>
      <c r="F3025" s="9">
        <v>28</v>
      </c>
      <c r="G3025" s="9">
        <v>300</v>
      </c>
      <c r="H3025" s="5" t="s">
        <v>20</v>
      </c>
      <c r="I3025" s="5" t="s">
        <v>7233</v>
      </c>
      <c r="J3025" s="12" t="str">
        <f>HYPERLINK("https://www.boe.es/gazeta/dias/1805/04/05/pdfs/GMD-1805-28.pdf#page=8","Abrir facsímil")</f>
        <v>Abrir facsímil</v>
      </c>
      <c r="K3025" s="15" t="s">
        <v>22</v>
      </c>
    </row>
    <row r="3026" spans="1:11" ht="42" customHeight="1">
      <c r="A3026" s="4" t="s">
        <v>7234</v>
      </c>
      <c r="B3026" s="5" t="s">
        <v>7234</v>
      </c>
      <c r="C3026" s="5" t="s">
        <v>29</v>
      </c>
      <c r="D3026" s="5" t="s">
        <v>30</v>
      </c>
      <c r="E3026" s="5" t="s">
        <v>181</v>
      </c>
      <c r="F3026" s="9">
        <v>90</v>
      </c>
      <c r="G3026" s="9">
        <v>968</v>
      </c>
      <c r="H3026" s="5" t="s">
        <v>20</v>
      </c>
      <c r="I3026" s="5" t="s">
        <v>7235</v>
      </c>
      <c r="J3026" s="12" t="str">
        <f>HYPERLINK("https://www.boe.es/gazeta/dias/1805/11/08/pdfs/GMD-1805-90.pdf#page=12","Abrir facsímil")</f>
        <v>Abrir facsímil</v>
      </c>
      <c r="K3026" s="15" t="s">
        <v>22</v>
      </c>
    </row>
    <row r="3027" spans="1:11" ht="42" customHeight="1">
      <c r="A3027" s="4" t="s">
        <v>7236</v>
      </c>
      <c r="B3027" s="5" t="s">
        <v>7237</v>
      </c>
      <c r="C3027" s="5" t="s">
        <v>17</v>
      </c>
      <c r="D3027" s="5" t="s">
        <v>18</v>
      </c>
      <c r="E3027" s="5" t="s">
        <v>200</v>
      </c>
      <c r="F3027" s="9">
        <v>91</v>
      </c>
      <c r="G3027" s="9">
        <v>977</v>
      </c>
      <c r="H3027" s="5" t="s">
        <v>20</v>
      </c>
      <c r="I3027" s="5" t="s">
        <v>7238</v>
      </c>
      <c r="J3027" s="12" t="str">
        <f>HYPERLINK("https://www.boe.es/gazeta/dias/1805/11/12/pdfs/GMD-1805-91.pdf#page=9","Abrir facsímil")</f>
        <v>Abrir facsímil</v>
      </c>
      <c r="K3027" s="15" t="s">
        <v>22</v>
      </c>
    </row>
    <row r="3028" spans="1:11" ht="42" customHeight="1">
      <c r="A3028" s="4" t="s">
        <v>7239</v>
      </c>
      <c r="B3028" s="5" t="s">
        <v>7240</v>
      </c>
      <c r="C3028" s="5" t="s">
        <v>17</v>
      </c>
      <c r="D3028" s="5" t="s">
        <v>18</v>
      </c>
      <c r="E3028" s="5" t="s">
        <v>63</v>
      </c>
      <c r="F3028" s="9">
        <v>101</v>
      </c>
      <c r="G3028" s="9">
        <v>1093</v>
      </c>
      <c r="H3028" s="5" t="s">
        <v>20</v>
      </c>
      <c r="I3028" s="5" t="s">
        <v>7241</v>
      </c>
      <c r="J3028" s="12" t="str">
        <f>HYPERLINK("https://www.boe.es/gazeta/dias/1805/12/17/pdfs/GMD-1805-101.pdf#page=9","Abrir facsímil")</f>
        <v>Abrir facsímil</v>
      </c>
      <c r="K3028" s="15" t="s">
        <v>22</v>
      </c>
    </row>
    <row r="3029" spans="1:11" ht="42" customHeight="1">
      <c r="A3029" s="4" t="s">
        <v>7242</v>
      </c>
      <c r="B3029" s="5" t="s">
        <v>7243</v>
      </c>
      <c r="C3029" s="5" t="s">
        <v>35</v>
      </c>
      <c r="D3029" s="5" t="s">
        <v>36</v>
      </c>
      <c r="E3029" s="5" t="s">
        <v>669</v>
      </c>
      <c r="F3029" s="9">
        <v>84</v>
      </c>
      <c r="G3029" s="9">
        <v>890</v>
      </c>
      <c r="H3029" s="5" t="s">
        <v>20</v>
      </c>
      <c r="I3029" s="5" t="s">
        <v>7244</v>
      </c>
      <c r="J3029" s="12" t="str">
        <f>HYPERLINK("https://www.boe.es/gazeta/dias/1805/10/18/pdfs/GMD-1805-84.pdf#page=6","Abrir facsímil")</f>
        <v>Abrir facsímil</v>
      </c>
      <c r="K3029" s="15" t="s">
        <v>22</v>
      </c>
    </row>
    <row r="3030" spans="1:11" ht="42" customHeight="1">
      <c r="A3030" s="4" t="s">
        <v>7245</v>
      </c>
      <c r="B3030" s="5" t="s">
        <v>7245</v>
      </c>
      <c r="C3030" s="5" t="s">
        <v>80</v>
      </c>
      <c r="D3030" s="5" t="s">
        <v>81</v>
      </c>
      <c r="E3030" s="5" t="s">
        <v>399</v>
      </c>
      <c r="F3030" s="9">
        <v>39</v>
      </c>
      <c r="G3030" s="9">
        <v>416</v>
      </c>
      <c r="H3030" s="5" t="s">
        <v>20</v>
      </c>
      <c r="I3030" s="5" t="s">
        <v>7246</v>
      </c>
      <c r="J3030" s="12" t="str">
        <f>HYPERLINK("https://www.boe.es/gazeta/dias/1805/05/14/pdfs/GMD-1805-39.pdf#page=4","Abrir facsímil")</f>
        <v>Abrir facsímil</v>
      </c>
      <c r="K3030" s="15" t="s">
        <v>22</v>
      </c>
    </row>
    <row r="3031" spans="1:11" ht="42" customHeight="1">
      <c r="A3031" s="4" t="s">
        <v>7247</v>
      </c>
      <c r="B3031" s="5" t="s">
        <v>7247</v>
      </c>
      <c r="C3031" s="5" t="s">
        <v>80</v>
      </c>
      <c r="D3031" s="5" t="s">
        <v>81</v>
      </c>
      <c r="E3031" s="5" t="s">
        <v>207</v>
      </c>
      <c r="F3031" s="9">
        <v>76</v>
      </c>
      <c r="G3031" s="9">
        <v>804</v>
      </c>
      <c r="H3031" s="5" t="s">
        <v>20</v>
      </c>
      <c r="I3031" s="5" t="s">
        <v>7248</v>
      </c>
      <c r="J3031" s="12" t="str">
        <f>HYPERLINK("https://www.boe.es/gazeta/dias/1805/09/20/pdfs/GMD-1805-76.pdf#page=4","Abrir facsímil")</f>
        <v>Abrir facsímil</v>
      </c>
      <c r="K3031" s="15" t="s">
        <v>22</v>
      </c>
    </row>
    <row r="3032" spans="1:11" ht="42" customHeight="1">
      <c r="A3032" s="4" t="s">
        <v>7247</v>
      </c>
      <c r="B3032" s="5" t="s">
        <v>7247</v>
      </c>
      <c r="C3032" s="5" t="s">
        <v>80</v>
      </c>
      <c r="D3032" s="5" t="s">
        <v>81</v>
      </c>
      <c r="E3032" s="5" t="s">
        <v>495</v>
      </c>
      <c r="F3032" s="9">
        <v>103</v>
      </c>
      <c r="G3032" s="9">
        <v>1111</v>
      </c>
      <c r="H3032" s="5" t="s">
        <v>20</v>
      </c>
      <c r="I3032" s="5" t="s">
        <v>7249</v>
      </c>
      <c r="J3032" s="12" t="str">
        <f>HYPERLINK("https://www.boe.es/gazeta/dias/1805/12/24/pdfs/GMD-1805-103.pdf#page=3","Abrir facsímil")</f>
        <v>Abrir facsímil</v>
      </c>
      <c r="K3032" s="15" t="s">
        <v>22</v>
      </c>
    </row>
    <row r="3033" spans="1:11" ht="42" customHeight="1">
      <c r="A3033" s="4" t="s">
        <v>7250</v>
      </c>
      <c r="B3033" s="5" t="s">
        <v>7250</v>
      </c>
      <c r="C3033" s="5" t="s">
        <v>80</v>
      </c>
      <c r="D3033" s="5" t="s">
        <v>81</v>
      </c>
      <c r="E3033" s="5" t="s">
        <v>207</v>
      </c>
      <c r="F3033" s="9">
        <v>76</v>
      </c>
      <c r="G3033" s="9">
        <v>804</v>
      </c>
      <c r="H3033" s="5" t="s">
        <v>20</v>
      </c>
      <c r="I3033" s="5" t="s">
        <v>7251</v>
      </c>
      <c r="J3033" s="12" t="str">
        <f>HYPERLINK("https://www.boe.es/gazeta/dias/1805/09/20/pdfs/GMD-1805-76.pdf#page=4","Abrir facsímil")</f>
        <v>Abrir facsímil</v>
      </c>
      <c r="K3033" s="15" t="s">
        <v>22</v>
      </c>
    </row>
    <row r="3034" spans="1:11" ht="42" customHeight="1">
      <c r="A3034" s="4" t="s">
        <v>7252</v>
      </c>
      <c r="B3034" s="5" t="s">
        <v>7253</v>
      </c>
      <c r="C3034" s="5" t="s">
        <v>29</v>
      </c>
      <c r="D3034" s="5" t="s">
        <v>30</v>
      </c>
      <c r="E3034" s="5" t="s">
        <v>585</v>
      </c>
      <c r="F3034" s="9">
        <v>64</v>
      </c>
      <c r="G3034" s="9">
        <v>684</v>
      </c>
      <c r="H3034" s="5" t="s">
        <v>20</v>
      </c>
      <c r="I3034" s="5" t="s">
        <v>7254</v>
      </c>
      <c r="J3034" s="12" t="str">
        <f>HYPERLINK("https://www.boe.es/gazeta/dias/1805/08/09/pdfs/GMD-1805-64.pdf#page=8","Abrir facsímil")</f>
        <v>Abrir facsímil</v>
      </c>
      <c r="K3034" s="15" t="s">
        <v>22</v>
      </c>
    </row>
    <row r="3035" spans="1:11" ht="42" customHeight="1">
      <c r="A3035" s="4" t="s">
        <v>7255</v>
      </c>
      <c r="B3035" s="5" t="s">
        <v>7255</v>
      </c>
      <c r="C3035" s="5" t="s">
        <v>17</v>
      </c>
      <c r="D3035" s="5" t="s">
        <v>18</v>
      </c>
      <c r="E3035" s="5" t="s">
        <v>440</v>
      </c>
      <c r="F3035" s="9">
        <v>27</v>
      </c>
      <c r="G3035" s="9">
        <v>281</v>
      </c>
      <c r="H3035" s="5" t="s">
        <v>20</v>
      </c>
      <c r="I3035" s="5" t="s">
        <v>7256</v>
      </c>
      <c r="J3035" s="12" t="str">
        <f>HYPERLINK("https://www.boe.es/gazeta/dias/1805/04/02/pdfs/GMD-1805-27.pdf#page=1","Abrir facsímil")</f>
        <v>Abrir facsímil</v>
      </c>
      <c r="K3035" s="15" t="s">
        <v>22</v>
      </c>
    </row>
    <row r="3036" spans="1:11" ht="42" customHeight="1">
      <c r="A3036" s="4" t="s">
        <v>7257</v>
      </c>
      <c r="B3036" s="5" t="s">
        <v>7257</v>
      </c>
      <c r="C3036" s="5" t="s">
        <v>184</v>
      </c>
      <c r="D3036" s="5" t="s">
        <v>86</v>
      </c>
      <c r="E3036" s="5" t="s">
        <v>729</v>
      </c>
      <c r="F3036" s="9">
        <v>61</v>
      </c>
      <c r="G3036" s="9">
        <v>650</v>
      </c>
      <c r="H3036" s="5" t="s">
        <v>20</v>
      </c>
      <c r="I3036" s="5" t="s">
        <v>7258</v>
      </c>
      <c r="J3036" s="12" t="str">
        <f>HYPERLINK("https://www.boe.es/gazeta/dias/1805/07/30/pdfs/GMD-1805-61.pdf#page=2","Abrir facsímil")</f>
        <v>Abrir facsímil</v>
      </c>
      <c r="K3036" s="15" t="s">
        <v>22</v>
      </c>
    </row>
    <row r="3037" spans="1:11" ht="42" customHeight="1">
      <c r="A3037" s="4" t="s">
        <v>7259</v>
      </c>
      <c r="B3037" s="5" t="s">
        <v>7260</v>
      </c>
      <c r="C3037" s="5" t="s">
        <v>17</v>
      </c>
      <c r="D3037" s="5" t="s">
        <v>18</v>
      </c>
      <c r="E3037" s="5" t="s">
        <v>1494</v>
      </c>
      <c r="F3037" s="9">
        <v>31</v>
      </c>
      <c r="G3037" s="9">
        <v>333</v>
      </c>
      <c r="H3037" s="5" t="s">
        <v>20</v>
      </c>
      <c r="I3037" s="5" t="s">
        <v>7261</v>
      </c>
      <c r="J3037" s="12" t="str">
        <f>HYPERLINK("https://www.boe.es/gazeta/dias/1805/04/16/pdfs/GMD-1805-31.pdf#page=9","Abrir facsímil")</f>
        <v>Abrir facsímil</v>
      </c>
      <c r="K3037" s="15" t="s">
        <v>22</v>
      </c>
    </row>
    <row r="3038" spans="1:11" ht="42" customHeight="1">
      <c r="A3038" s="4" t="s">
        <v>7262</v>
      </c>
      <c r="B3038" s="5" t="s">
        <v>7263</v>
      </c>
      <c r="C3038" s="5" t="s">
        <v>35</v>
      </c>
      <c r="D3038" s="5" t="s">
        <v>36</v>
      </c>
      <c r="E3038" s="5" t="s">
        <v>296</v>
      </c>
      <c r="F3038" s="9">
        <v>26</v>
      </c>
      <c r="G3038" s="9">
        <v>278</v>
      </c>
      <c r="H3038" s="5" t="s">
        <v>20</v>
      </c>
      <c r="I3038" s="5" t="s">
        <v>7264</v>
      </c>
      <c r="J3038" s="12" t="str">
        <f>HYPERLINK("https://www.boe.es/gazeta/dias/1805/03/29/pdfs/GMD-1805-26.pdf#page=10","Abrir facsímil")</f>
        <v>Abrir facsímil</v>
      </c>
      <c r="K3038" s="15" t="s">
        <v>22</v>
      </c>
    </row>
    <row r="3039" spans="1:11" ht="42" customHeight="1">
      <c r="A3039" s="4" t="s">
        <v>7262</v>
      </c>
      <c r="B3039" s="5" t="s">
        <v>7263</v>
      </c>
      <c r="C3039" s="5" t="s">
        <v>35</v>
      </c>
      <c r="D3039" s="5" t="s">
        <v>36</v>
      </c>
      <c r="E3039" s="5" t="s">
        <v>226</v>
      </c>
      <c r="F3039" s="9">
        <v>73</v>
      </c>
      <c r="G3039" s="9">
        <v>775</v>
      </c>
      <c r="H3039" s="5" t="s">
        <v>20</v>
      </c>
      <c r="I3039" s="5" t="s">
        <v>7265</v>
      </c>
      <c r="J3039" s="12" t="str">
        <f>HYPERLINK("https://www.boe.es/gazeta/dias/1805/09/10/pdfs/GMD-1805-73.pdf#page=7","Abrir facsímil")</f>
        <v>Abrir facsímil</v>
      </c>
      <c r="K3039" s="15" t="s">
        <v>22</v>
      </c>
    </row>
    <row r="3040" spans="1:11" ht="42" customHeight="1">
      <c r="A3040" s="4" t="s">
        <v>7266</v>
      </c>
      <c r="B3040" s="5" t="s">
        <v>7266</v>
      </c>
      <c r="C3040" s="5" t="s">
        <v>17</v>
      </c>
      <c r="D3040" s="5" t="s">
        <v>18</v>
      </c>
      <c r="E3040" s="5" t="s">
        <v>352</v>
      </c>
      <c r="F3040" s="9">
        <v>60</v>
      </c>
      <c r="G3040" s="9">
        <v>639</v>
      </c>
      <c r="H3040" s="5" t="s">
        <v>20</v>
      </c>
      <c r="I3040" s="5" t="s">
        <v>7267</v>
      </c>
      <c r="J3040" s="12" t="str">
        <f>HYPERLINK("https://www.boe.es/gazeta/dias/1805/07/26/pdfs/GMD-1805-60.pdf#page=3","Abrir facsímil")</f>
        <v>Abrir facsímil</v>
      </c>
      <c r="K3040" s="15" t="s">
        <v>22</v>
      </c>
    </row>
    <row r="3041" spans="1:11" ht="42" customHeight="1">
      <c r="A3041" s="4" t="s">
        <v>7266</v>
      </c>
      <c r="B3041" s="5" t="s">
        <v>7266</v>
      </c>
      <c r="C3041" s="5" t="s">
        <v>80</v>
      </c>
      <c r="D3041" s="5" t="s">
        <v>81</v>
      </c>
      <c r="E3041" s="5" t="s">
        <v>729</v>
      </c>
      <c r="F3041" s="9">
        <v>61</v>
      </c>
      <c r="G3041" s="9">
        <v>650</v>
      </c>
      <c r="H3041" s="5" t="s">
        <v>20</v>
      </c>
      <c r="I3041" s="5" t="s">
        <v>7268</v>
      </c>
      <c r="J3041" s="12" t="str">
        <f>HYPERLINK("https://www.boe.es/gazeta/dias/1805/07/30/pdfs/GMD-1805-61.pdf#page=2","Abrir facsímil")</f>
        <v>Abrir facsímil</v>
      </c>
      <c r="K3041" s="15" t="s">
        <v>22</v>
      </c>
    </row>
    <row r="3042" spans="1:11" ht="42" customHeight="1">
      <c r="A3042" s="4" t="s">
        <v>7269</v>
      </c>
      <c r="B3042" s="5" t="s">
        <v>7270</v>
      </c>
      <c r="C3042" s="5" t="s">
        <v>184</v>
      </c>
      <c r="D3042" s="5" t="s">
        <v>86</v>
      </c>
      <c r="E3042" s="5" t="s">
        <v>506</v>
      </c>
      <c r="F3042" s="9">
        <v>80</v>
      </c>
      <c r="G3042" s="9">
        <v>852</v>
      </c>
      <c r="H3042" s="5" t="s">
        <v>20</v>
      </c>
      <c r="I3042" s="5" t="s">
        <v>7271</v>
      </c>
      <c r="J3042" s="12" t="str">
        <f>HYPERLINK("https://www.boe.es/gazeta/dias/1805/10/04/pdfs/GMD-1805-80.pdf#page=12","Abrir facsímil")</f>
        <v>Abrir facsímil</v>
      </c>
      <c r="K3042" s="15" t="s">
        <v>22</v>
      </c>
    </row>
    <row r="3043" spans="1:11" ht="42" customHeight="1">
      <c r="A3043" s="4" t="s">
        <v>7272</v>
      </c>
      <c r="B3043" s="5" t="s">
        <v>7272</v>
      </c>
      <c r="C3043" s="5" t="s">
        <v>85</v>
      </c>
      <c r="D3043" s="5" t="s">
        <v>86</v>
      </c>
      <c r="E3043" s="5" t="s">
        <v>1292</v>
      </c>
      <c r="F3043" s="9">
        <v>43</v>
      </c>
      <c r="G3043" s="9">
        <v>462</v>
      </c>
      <c r="H3043" s="5" t="s">
        <v>20</v>
      </c>
      <c r="I3043" s="5" t="s">
        <v>7273</v>
      </c>
      <c r="J3043" s="12" t="str">
        <f>HYPERLINK("https://www.boe.es/gazeta/dias/1805/05/28/pdfs/GMD-1805-43.pdf#page=6","Abrir facsímil")</f>
        <v>Abrir facsímil</v>
      </c>
      <c r="K3043" s="15" t="s">
        <v>22</v>
      </c>
    </row>
    <row r="3044" spans="1:11" ht="42" customHeight="1">
      <c r="A3044" s="4" t="s">
        <v>7274</v>
      </c>
      <c r="B3044" s="5" t="s">
        <v>7274</v>
      </c>
      <c r="C3044" s="5" t="s">
        <v>52</v>
      </c>
      <c r="D3044" s="5" t="s">
        <v>53</v>
      </c>
      <c r="E3044" s="5" t="s">
        <v>82</v>
      </c>
      <c r="F3044" s="9">
        <v>25</v>
      </c>
      <c r="G3044" s="9" t="s">
        <v>222</v>
      </c>
      <c r="H3044" s="5" t="s">
        <v>20</v>
      </c>
      <c r="I3044" s="5" t="s">
        <v>7275</v>
      </c>
      <c r="J3044" s="12" t="str">
        <f>HYPERLINK("https://www.boe.es/gazeta/dias/1805/03/26/pdfs/GMD-C-1805-25.pdf#page=1","Abrir facsímil")</f>
        <v>Abrir facsímil</v>
      </c>
      <c r="K3044" s="15" t="s">
        <v>22</v>
      </c>
    </row>
    <row r="3045" spans="1:11" ht="42" customHeight="1">
      <c r="A3045" s="4" t="s">
        <v>7276</v>
      </c>
      <c r="B3045" s="5" t="s">
        <v>7276</v>
      </c>
      <c r="C3045" s="5" t="s">
        <v>85</v>
      </c>
      <c r="D3045" s="5" t="s">
        <v>86</v>
      </c>
      <c r="E3045" s="5" t="s">
        <v>426</v>
      </c>
      <c r="F3045" s="9">
        <v>75</v>
      </c>
      <c r="G3045" s="9">
        <v>798</v>
      </c>
      <c r="H3045" s="5" t="s">
        <v>20</v>
      </c>
      <c r="I3045" s="5" t="s">
        <v>7277</v>
      </c>
      <c r="J3045" s="12" t="str">
        <f>HYPERLINK("https://www.boe.es/gazeta/dias/1805/09/17/pdfs/GMD-1805-75.pdf#page=10","Abrir facsímil")</f>
        <v>Abrir facsímil</v>
      </c>
      <c r="K3045" s="15" t="s">
        <v>22</v>
      </c>
    </row>
    <row r="3046" spans="1:11" ht="42" customHeight="1">
      <c r="A3046" s="4" t="s">
        <v>7278</v>
      </c>
      <c r="B3046" s="5" t="s">
        <v>7278</v>
      </c>
      <c r="C3046" s="5" t="s">
        <v>17</v>
      </c>
      <c r="D3046" s="5" t="s">
        <v>18</v>
      </c>
      <c r="E3046" s="5" t="s">
        <v>76</v>
      </c>
      <c r="F3046" s="9">
        <v>66</v>
      </c>
      <c r="G3046" s="9">
        <v>708</v>
      </c>
      <c r="H3046" s="5" t="s">
        <v>20</v>
      </c>
      <c r="I3046" s="5" t="s">
        <v>7279</v>
      </c>
      <c r="J3046" s="12" t="str">
        <f>HYPERLINK("https://www.boe.es/gazeta/dias/1805/08/16/pdfs/GMD-1805-66.pdf#page=8","Abrir facsímil")</f>
        <v>Abrir facsímil</v>
      </c>
      <c r="K3046" s="15" t="s">
        <v>22</v>
      </c>
    </row>
    <row r="3047" spans="1:11" ht="42" customHeight="1">
      <c r="A3047" s="4" t="s">
        <v>7280</v>
      </c>
      <c r="B3047" s="5" t="s">
        <v>7280</v>
      </c>
      <c r="C3047" s="5" t="s">
        <v>85</v>
      </c>
      <c r="D3047" s="5" t="s">
        <v>86</v>
      </c>
      <c r="E3047" s="5" t="s">
        <v>196</v>
      </c>
      <c r="F3047" s="9">
        <v>67</v>
      </c>
      <c r="G3047" s="9">
        <v>717</v>
      </c>
      <c r="H3047" s="5" t="s">
        <v>20</v>
      </c>
      <c r="I3047" s="5" t="s">
        <v>7281</v>
      </c>
      <c r="J3047" s="12" t="str">
        <f>HYPERLINK("https://www.boe.es/gazeta/dias/1805/08/20/pdfs/GMD-1805-67.pdf#page=5","Abrir facsímil")</f>
        <v>Abrir facsímil</v>
      </c>
      <c r="K3047" s="15" t="s">
        <v>22</v>
      </c>
    </row>
    <row r="3048" spans="1:11" ht="42" customHeight="1">
      <c r="A3048" s="4" t="s">
        <v>7282</v>
      </c>
      <c r="B3048" s="5" t="s">
        <v>7282</v>
      </c>
      <c r="C3048" s="5" t="s">
        <v>85</v>
      </c>
      <c r="D3048" s="5" t="s">
        <v>86</v>
      </c>
      <c r="E3048" s="5" t="s">
        <v>399</v>
      </c>
      <c r="F3048" s="9">
        <v>39</v>
      </c>
      <c r="G3048" s="9">
        <v>421</v>
      </c>
      <c r="H3048" s="5" t="s">
        <v>20</v>
      </c>
      <c r="I3048" s="5" t="s">
        <v>7283</v>
      </c>
      <c r="J3048" s="12" t="str">
        <f>HYPERLINK("https://www.boe.es/gazeta/dias/1805/05/14/pdfs/GMD-1805-39.pdf#page=9","Abrir facsímil")</f>
        <v>Abrir facsímil</v>
      </c>
      <c r="K3048" s="15" t="s">
        <v>22</v>
      </c>
    </row>
    <row r="3049" spans="1:11" ht="42" customHeight="1">
      <c r="A3049" s="4" t="s">
        <v>7284</v>
      </c>
      <c r="B3049" s="5" t="s">
        <v>7284</v>
      </c>
      <c r="C3049" s="5" t="s">
        <v>17</v>
      </c>
      <c r="D3049" s="5" t="s">
        <v>18</v>
      </c>
      <c r="E3049" s="5" t="s">
        <v>733</v>
      </c>
      <c r="F3049" s="9">
        <v>45</v>
      </c>
      <c r="G3049" s="9">
        <v>485</v>
      </c>
      <c r="H3049" s="5" t="s">
        <v>20</v>
      </c>
      <c r="I3049" s="5" t="s">
        <v>7285</v>
      </c>
      <c r="J3049" s="12" t="str">
        <f>HYPERLINK("https://www.boe.es/gazeta/dias/1805/06/04/pdfs/GMD-1805-45.pdf#page=9","Abrir facsímil")</f>
        <v>Abrir facsímil</v>
      </c>
      <c r="K3049" s="15" t="s">
        <v>22</v>
      </c>
    </row>
    <row r="3050" spans="1:11" ht="42" customHeight="1">
      <c r="A3050" s="4" t="s">
        <v>7286</v>
      </c>
      <c r="B3050" s="5" t="s">
        <v>7286</v>
      </c>
      <c r="C3050" s="5" t="s">
        <v>35</v>
      </c>
      <c r="D3050" s="5" t="s">
        <v>36</v>
      </c>
      <c r="E3050" s="5" t="s">
        <v>293</v>
      </c>
      <c r="F3050" s="9">
        <v>5</v>
      </c>
      <c r="G3050" s="9">
        <v>53</v>
      </c>
      <c r="H3050" s="5" t="s">
        <v>20</v>
      </c>
      <c r="I3050" s="5" t="s">
        <v>7287</v>
      </c>
      <c r="J3050" s="12" t="str">
        <f>HYPERLINK("https://www.boe.es/gazeta/dias/1805/01/15/pdfs/GMD-1805-5.pdf#page=9","Abrir facsímil")</f>
        <v>Abrir facsímil</v>
      </c>
      <c r="K3050" s="15" t="s">
        <v>22</v>
      </c>
    </row>
    <row r="3051" spans="1:11" ht="42" customHeight="1">
      <c r="A3051" s="4" t="s">
        <v>7288</v>
      </c>
      <c r="B3051" s="5" t="s">
        <v>7288</v>
      </c>
      <c r="C3051" s="5" t="s">
        <v>35</v>
      </c>
      <c r="D3051" s="5" t="s">
        <v>36</v>
      </c>
      <c r="E3051" s="5" t="s">
        <v>107</v>
      </c>
      <c r="F3051" s="9">
        <v>19</v>
      </c>
      <c r="G3051" s="9">
        <v>198</v>
      </c>
      <c r="H3051" s="5" t="s">
        <v>20</v>
      </c>
      <c r="I3051" s="5" t="s">
        <v>7289</v>
      </c>
      <c r="J3051" s="12" t="str">
        <f>HYPERLINK("https://www.boe.es/gazeta/dias/1805/03/05/pdfs/GMD-1805-19.pdf#page=10","Abrir facsímil")</f>
        <v>Abrir facsímil</v>
      </c>
      <c r="K3051" s="15" t="s">
        <v>22</v>
      </c>
    </row>
    <row r="3052" spans="1:11" ht="42" customHeight="1">
      <c r="A3052" s="4" t="s">
        <v>7290</v>
      </c>
      <c r="B3052" s="5" t="s">
        <v>7290</v>
      </c>
      <c r="C3052" s="5" t="s">
        <v>35</v>
      </c>
      <c r="D3052" s="5" t="s">
        <v>36</v>
      </c>
      <c r="E3052" s="5" t="s">
        <v>44</v>
      </c>
      <c r="F3052" s="9">
        <v>29</v>
      </c>
      <c r="G3052" s="9">
        <v>312</v>
      </c>
      <c r="H3052" s="5" t="s">
        <v>20</v>
      </c>
      <c r="I3052" s="5" t="s">
        <v>7291</v>
      </c>
      <c r="J3052" s="12" t="str">
        <f>HYPERLINK("https://www.boe.es/gazeta/dias/1805/04/09/pdfs/GMD-1805-29.pdf#page=8","Abrir facsímil")</f>
        <v>Abrir facsímil</v>
      </c>
      <c r="K3052" s="15" t="s">
        <v>22</v>
      </c>
    </row>
    <row r="3053" spans="1:11" ht="42" customHeight="1">
      <c r="A3053" s="4" t="s">
        <v>7292</v>
      </c>
      <c r="B3053" s="5" t="s">
        <v>7292</v>
      </c>
      <c r="C3053" s="5" t="s">
        <v>17</v>
      </c>
      <c r="D3053" s="5" t="s">
        <v>18</v>
      </c>
      <c r="E3053" s="5" t="s">
        <v>512</v>
      </c>
      <c r="F3053" s="9">
        <v>100</v>
      </c>
      <c r="G3053" s="9">
        <v>1083</v>
      </c>
      <c r="H3053" s="5" t="s">
        <v>20</v>
      </c>
      <c r="I3053" s="5" t="s">
        <v>7293</v>
      </c>
      <c r="J3053" s="12" t="str">
        <f>HYPERLINK("https://www.boe.es/gazeta/dias/1805/12/13/pdfs/GMD-1805-100.pdf#page=11","Abrir facsímil")</f>
        <v>Abrir facsímil</v>
      </c>
      <c r="K3053" s="15" t="s">
        <v>22</v>
      </c>
    </row>
    <row r="3054" spans="1:11" ht="42" customHeight="1">
      <c r="A3054" s="4" t="s">
        <v>7294</v>
      </c>
      <c r="B3054" s="5" t="s">
        <v>7294</v>
      </c>
      <c r="C3054" s="5" t="s">
        <v>35</v>
      </c>
      <c r="D3054" s="5" t="s">
        <v>36</v>
      </c>
      <c r="E3054" s="5" t="s">
        <v>217</v>
      </c>
      <c r="F3054" s="9">
        <v>96</v>
      </c>
      <c r="G3054" s="9">
        <v>1030</v>
      </c>
      <c r="H3054" s="5" t="s">
        <v>20</v>
      </c>
      <c r="I3054" s="5" t="s">
        <v>7295</v>
      </c>
      <c r="J3054" s="12" t="str">
        <f>HYPERLINK("https://www.boe.es/gazeta/dias/1805/11/29/pdfs/GMD-1805-96.pdf#page=6","Abrir facsímil")</f>
        <v>Abrir facsímil</v>
      </c>
      <c r="K3054" s="15" t="s">
        <v>22</v>
      </c>
    </row>
    <row r="3055" spans="1:11" ht="42" customHeight="1">
      <c r="A3055" s="4" t="s">
        <v>7296</v>
      </c>
      <c r="B3055" s="5" t="s">
        <v>7296</v>
      </c>
      <c r="C3055" s="5" t="s">
        <v>85</v>
      </c>
      <c r="D3055" s="5" t="s">
        <v>86</v>
      </c>
      <c r="E3055" s="5" t="s">
        <v>440</v>
      </c>
      <c r="F3055" s="9">
        <v>27</v>
      </c>
      <c r="G3055" s="9">
        <v>288</v>
      </c>
      <c r="H3055" s="5" t="s">
        <v>20</v>
      </c>
      <c r="I3055" s="5" t="s">
        <v>7297</v>
      </c>
      <c r="J3055" s="12" t="str">
        <f>HYPERLINK("https://www.boe.es/gazeta/dias/1805/04/02/pdfs/GMD-1805-27.pdf#page=8","Abrir facsímil")</f>
        <v>Abrir facsímil</v>
      </c>
      <c r="K3055" s="15" t="s">
        <v>22</v>
      </c>
    </row>
    <row r="3056" spans="1:11" ht="42" customHeight="1">
      <c r="A3056" s="4" t="s">
        <v>7298</v>
      </c>
      <c r="B3056" s="5" t="s">
        <v>7298</v>
      </c>
      <c r="C3056" s="5" t="s">
        <v>35</v>
      </c>
      <c r="D3056" s="5" t="s">
        <v>36</v>
      </c>
      <c r="E3056" s="5" t="s">
        <v>196</v>
      </c>
      <c r="F3056" s="9">
        <v>67</v>
      </c>
      <c r="G3056" s="9">
        <v>717</v>
      </c>
      <c r="H3056" s="5" t="s">
        <v>20</v>
      </c>
      <c r="I3056" s="5" t="s">
        <v>7299</v>
      </c>
      <c r="J3056" s="12" t="str">
        <f>HYPERLINK("https://www.boe.es/gazeta/dias/1805/08/20/pdfs/GMD-1805-67.pdf#page=5","Abrir facsímil")</f>
        <v>Abrir facsímil</v>
      </c>
      <c r="K3056" s="15" t="s">
        <v>22</v>
      </c>
    </row>
    <row r="3057" spans="1:11" ht="42" customHeight="1">
      <c r="A3057" s="4" t="s">
        <v>7300</v>
      </c>
      <c r="B3057" s="5" t="s">
        <v>7300</v>
      </c>
      <c r="C3057" s="5" t="s">
        <v>52</v>
      </c>
      <c r="D3057" s="5" t="s">
        <v>53</v>
      </c>
      <c r="E3057" s="5" t="s">
        <v>82</v>
      </c>
      <c r="F3057" s="9">
        <v>25</v>
      </c>
      <c r="G3057" s="9" t="s">
        <v>222</v>
      </c>
      <c r="H3057" s="5" t="s">
        <v>20</v>
      </c>
      <c r="I3057" s="5" t="s">
        <v>7301</v>
      </c>
      <c r="J3057" s="12" t="str">
        <f>HYPERLINK("https://www.boe.es/gazeta/dias/1805/03/26/pdfs/GMD-C-1805-25.pdf#page=1","Abrir facsímil")</f>
        <v>Abrir facsímil</v>
      </c>
      <c r="K3057" s="15" t="s">
        <v>22</v>
      </c>
    </row>
    <row r="3058" spans="1:11" ht="42" customHeight="1">
      <c r="A3058" s="4" t="s">
        <v>7302</v>
      </c>
      <c r="B3058" s="5" t="s">
        <v>7302</v>
      </c>
      <c r="C3058" s="5" t="s">
        <v>35</v>
      </c>
      <c r="D3058" s="5" t="s">
        <v>36</v>
      </c>
      <c r="E3058" s="5" t="s">
        <v>645</v>
      </c>
      <c r="F3058" s="9">
        <v>55</v>
      </c>
      <c r="G3058" s="9">
        <v>585</v>
      </c>
      <c r="H3058" s="5" t="s">
        <v>20</v>
      </c>
      <c r="I3058" s="5" t="s">
        <v>7303</v>
      </c>
      <c r="J3058" s="12" t="str">
        <f>HYPERLINK("https://www.boe.es/gazeta/dias/1805/07/09/pdfs/GMD-1805-55.pdf#page=5","Abrir facsímil")</f>
        <v>Abrir facsímil</v>
      </c>
      <c r="K3058" s="15" t="s">
        <v>22</v>
      </c>
    </row>
    <row r="3059" spans="1:11" ht="42" customHeight="1">
      <c r="A3059" s="4" t="s">
        <v>7304</v>
      </c>
      <c r="B3059" s="5" t="s">
        <v>7304</v>
      </c>
      <c r="C3059" s="5" t="s">
        <v>52</v>
      </c>
      <c r="D3059" s="5" t="s">
        <v>53</v>
      </c>
      <c r="E3059" s="5" t="s">
        <v>82</v>
      </c>
      <c r="F3059" s="9">
        <v>25</v>
      </c>
      <c r="G3059" s="9" t="s">
        <v>145</v>
      </c>
      <c r="H3059" s="5" t="s">
        <v>20</v>
      </c>
      <c r="I3059" s="5" t="s">
        <v>7305</v>
      </c>
      <c r="J3059" s="12" t="str">
        <f>HYPERLINK("https://www.boe.es/gazeta/dias/1805/03/26/pdfs/GMD-C-1805-25.pdf#page=2","Abrir facsímil")</f>
        <v>Abrir facsímil</v>
      </c>
      <c r="K3059" s="15" t="s">
        <v>22</v>
      </c>
    </row>
    <row r="3060" spans="1:11" ht="42" customHeight="1">
      <c r="A3060" s="4" t="s">
        <v>7306</v>
      </c>
      <c r="B3060" s="5" t="s">
        <v>7307</v>
      </c>
      <c r="C3060" s="5" t="s">
        <v>35</v>
      </c>
      <c r="D3060" s="5" t="s">
        <v>36</v>
      </c>
      <c r="E3060" s="5" t="s">
        <v>213</v>
      </c>
      <c r="F3060" s="9">
        <v>56</v>
      </c>
      <c r="G3060" s="9">
        <v>600</v>
      </c>
      <c r="H3060" s="5" t="s">
        <v>20</v>
      </c>
      <c r="I3060" s="5" t="s">
        <v>7308</v>
      </c>
      <c r="J3060" s="12" t="str">
        <f>HYPERLINK("https://www.boe.es/gazeta/dias/1805/07/12/pdfs/GMD-1805-56.pdf#page=8","Abrir facsímil")</f>
        <v>Abrir facsímil</v>
      </c>
      <c r="K3060" s="15" t="s">
        <v>22</v>
      </c>
    </row>
    <row r="3061" spans="1:11" ht="42" customHeight="1">
      <c r="A3061" s="4" t="s">
        <v>7309</v>
      </c>
      <c r="B3061" s="5" t="s">
        <v>7310</v>
      </c>
      <c r="C3061" s="5" t="s">
        <v>35</v>
      </c>
      <c r="D3061" s="5" t="s">
        <v>36</v>
      </c>
      <c r="E3061" s="5" t="s">
        <v>649</v>
      </c>
      <c r="F3061" s="9">
        <v>7</v>
      </c>
      <c r="G3061" s="9">
        <v>74</v>
      </c>
      <c r="H3061" s="5" t="s">
        <v>20</v>
      </c>
      <c r="I3061" s="5" t="s">
        <v>7311</v>
      </c>
      <c r="J3061" s="12" t="str">
        <f>HYPERLINK("https://www.boe.es/gazeta/dias/1805/01/22/pdfs/GMD-1805-7.pdf#page=6","Abrir facsímil")</f>
        <v>Abrir facsímil</v>
      </c>
      <c r="K3061" s="15" t="s">
        <v>22</v>
      </c>
    </row>
    <row r="3062" spans="1:11" ht="42" customHeight="1">
      <c r="A3062" s="4" t="s">
        <v>7312</v>
      </c>
      <c r="B3062" s="5" t="s">
        <v>7312</v>
      </c>
      <c r="C3062" s="5" t="s">
        <v>80</v>
      </c>
      <c r="D3062" s="5" t="s">
        <v>81</v>
      </c>
      <c r="E3062" s="5" t="s">
        <v>1022</v>
      </c>
      <c r="F3062" s="9">
        <v>52</v>
      </c>
      <c r="G3062" s="9">
        <v>560</v>
      </c>
      <c r="H3062" s="5" t="s">
        <v>20</v>
      </c>
      <c r="I3062" s="5" t="s">
        <v>7313</v>
      </c>
      <c r="J3062" s="12" t="str">
        <f>HYPERLINK("https://www.boe.es/gazeta/dias/1805/06/28/pdfs/GMD-1805-52.pdf#page=8","Abrir facsímil")</f>
        <v>Abrir facsímil</v>
      </c>
      <c r="K3062" s="15" t="s">
        <v>22</v>
      </c>
    </row>
    <row r="3063" spans="1:11" ht="42" customHeight="1">
      <c r="A3063" s="4" t="s">
        <v>7314</v>
      </c>
      <c r="B3063" s="5" t="s">
        <v>7314</v>
      </c>
      <c r="C3063" s="5" t="s">
        <v>29</v>
      </c>
      <c r="D3063" s="5" t="s">
        <v>30</v>
      </c>
      <c r="E3063" s="5" t="s">
        <v>1471</v>
      </c>
      <c r="F3063" s="9">
        <v>34</v>
      </c>
      <c r="G3063" s="9">
        <v>364</v>
      </c>
      <c r="H3063" s="5" t="s">
        <v>20</v>
      </c>
      <c r="I3063" s="5" t="s">
        <v>7315</v>
      </c>
      <c r="J3063" s="12" t="str">
        <f>HYPERLINK("https://www.boe.es/gazeta/dias/1805/04/26/pdfs/GMD-1805-34.pdf#page=8","Abrir facsímil")</f>
        <v>Abrir facsímil</v>
      </c>
      <c r="K3063" s="15" t="s">
        <v>22</v>
      </c>
    </row>
    <row r="3064" spans="1:11" ht="42" customHeight="1">
      <c r="A3064" s="4" t="s">
        <v>7316</v>
      </c>
      <c r="B3064" s="5" t="s">
        <v>7316</v>
      </c>
      <c r="C3064" s="5" t="s">
        <v>29</v>
      </c>
      <c r="D3064" s="5" t="s">
        <v>30</v>
      </c>
      <c r="E3064" s="5" t="s">
        <v>170</v>
      </c>
      <c r="F3064" s="9">
        <v>9</v>
      </c>
      <c r="G3064" s="9">
        <v>103</v>
      </c>
      <c r="H3064" s="5" t="s">
        <v>20</v>
      </c>
      <c r="I3064" s="5" t="s">
        <v>7317</v>
      </c>
      <c r="J3064" s="12" t="str">
        <f>HYPERLINK("https://www.boe.es/gazeta/dias/1805/01/29/pdfs/GMD-1805-9.pdf#page=11","Abrir facsímil")</f>
        <v>Abrir facsímil</v>
      </c>
      <c r="K3064" s="15" t="s">
        <v>22</v>
      </c>
    </row>
    <row r="3065" spans="1:11" ht="42" customHeight="1">
      <c r="A3065" s="4" t="s">
        <v>7318</v>
      </c>
      <c r="B3065" s="5" t="s">
        <v>7318</v>
      </c>
      <c r="C3065" s="5" t="s">
        <v>85</v>
      </c>
      <c r="D3065" s="5" t="s">
        <v>86</v>
      </c>
      <c r="E3065" s="5" t="s">
        <v>539</v>
      </c>
      <c r="F3065" s="9">
        <v>97</v>
      </c>
      <c r="G3065" s="9">
        <v>1043</v>
      </c>
      <c r="H3065" s="5" t="s">
        <v>20</v>
      </c>
      <c r="I3065" s="5" t="s">
        <v>7319</v>
      </c>
      <c r="J3065" s="12" t="str">
        <f>HYPERLINK("https://www.boe.es/gazeta/dias/1805/12/03/pdfs/GMD-1805-97.pdf#page=7","Abrir facsímil")</f>
        <v>Abrir facsímil</v>
      </c>
      <c r="K3065" s="15" t="s">
        <v>22</v>
      </c>
    </row>
    <row r="3066" spans="1:11" ht="42" customHeight="1">
      <c r="A3066" s="4" t="s">
        <v>7320</v>
      </c>
      <c r="B3066" s="5" t="s">
        <v>7321</v>
      </c>
      <c r="C3066" s="5" t="s">
        <v>17</v>
      </c>
      <c r="D3066" s="5" t="s">
        <v>18</v>
      </c>
      <c r="E3066" s="5" t="s">
        <v>669</v>
      </c>
      <c r="F3066" s="9">
        <v>84</v>
      </c>
      <c r="G3066" s="9">
        <v>892</v>
      </c>
      <c r="H3066" s="5" t="s">
        <v>20</v>
      </c>
      <c r="I3066" s="5" t="s">
        <v>7322</v>
      </c>
      <c r="J3066" s="12" t="str">
        <f>HYPERLINK("https://www.boe.es/gazeta/dias/1805/10/18/pdfs/GMD-1805-84.pdf#page=8","Abrir facsímil")</f>
        <v>Abrir facsímil</v>
      </c>
      <c r="K3066" s="15" t="s">
        <v>22</v>
      </c>
    </row>
    <row r="3067" spans="1:11" ht="42" customHeight="1">
      <c r="A3067" s="4" t="s">
        <v>7323</v>
      </c>
      <c r="B3067" s="5" t="s">
        <v>7323</v>
      </c>
      <c r="C3067" s="5" t="s">
        <v>80</v>
      </c>
      <c r="D3067" s="5" t="s">
        <v>81</v>
      </c>
      <c r="E3067" s="5" t="s">
        <v>850</v>
      </c>
      <c r="F3067" s="9">
        <v>42</v>
      </c>
      <c r="G3067" s="9">
        <v>445</v>
      </c>
      <c r="H3067" s="5" t="s">
        <v>20</v>
      </c>
      <c r="I3067" s="5" t="s">
        <v>7324</v>
      </c>
      <c r="J3067" s="12" t="str">
        <f>HYPERLINK("https://www.boe.es/gazeta/dias/1805/05/24/pdfs/GMD-1805-42.pdf#page=1","Abrir facsímil")</f>
        <v>Abrir facsímil</v>
      </c>
      <c r="K3067" s="15" t="s">
        <v>22</v>
      </c>
    </row>
    <row r="3068" spans="1:11" ht="42" customHeight="1">
      <c r="A3068" s="4" t="s">
        <v>7323</v>
      </c>
      <c r="B3068" s="5" t="s">
        <v>7323</v>
      </c>
      <c r="C3068" s="5" t="s">
        <v>35</v>
      </c>
      <c r="D3068" s="5" t="s">
        <v>36</v>
      </c>
      <c r="E3068" s="5" t="s">
        <v>850</v>
      </c>
      <c r="F3068" s="9">
        <v>42</v>
      </c>
      <c r="G3068" s="9">
        <v>446</v>
      </c>
      <c r="H3068" s="5" t="s">
        <v>20</v>
      </c>
      <c r="I3068" s="5" t="s">
        <v>7325</v>
      </c>
      <c r="J3068" s="12" t="str">
        <f>HYPERLINK("https://www.boe.es/gazeta/dias/1805/05/24/pdfs/GMD-1805-42.pdf#page=2","Abrir facsímil")</f>
        <v>Abrir facsímil</v>
      </c>
      <c r="K3068" s="15" t="s">
        <v>22</v>
      </c>
    </row>
    <row r="3069" spans="1:11" ht="42" customHeight="1">
      <c r="A3069" s="4" t="s">
        <v>7326</v>
      </c>
      <c r="B3069" s="5" t="s">
        <v>7327</v>
      </c>
      <c r="C3069" s="5" t="s">
        <v>80</v>
      </c>
      <c r="D3069" s="5" t="s">
        <v>81</v>
      </c>
      <c r="E3069" s="5" t="s">
        <v>117</v>
      </c>
      <c r="F3069" s="9">
        <v>20</v>
      </c>
      <c r="G3069" s="9">
        <v>201</v>
      </c>
      <c r="H3069" s="5" t="s">
        <v>20</v>
      </c>
      <c r="I3069" s="5" t="s">
        <v>7328</v>
      </c>
      <c r="J3069" s="12" t="str">
        <f>HYPERLINK("https://www.boe.es/gazeta/dias/1805/03/08/pdfs/GMD-1805-20.pdf#page=1","Abrir facsímil")</f>
        <v>Abrir facsímil</v>
      </c>
      <c r="K3069" s="15" t="s">
        <v>22</v>
      </c>
    </row>
    <row r="3070" spans="1:11" ht="42" customHeight="1">
      <c r="A3070" s="4" t="s">
        <v>7329</v>
      </c>
      <c r="B3070" s="5" t="s">
        <v>7330</v>
      </c>
      <c r="C3070" s="5" t="s">
        <v>80</v>
      </c>
      <c r="D3070" s="5" t="s">
        <v>81</v>
      </c>
      <c r="E3070" s="5" t="s">
        <v>512</v>
      </c>
      <c r="F3070" s="9">
        <v>100</v>
      </c>
      <c r="G3070" s="9">
        <v>1080</v>
      </c>
      <c r="H3070" s="5" t="s">
        <v>20</v>
      </c>
      <c r="I3070" s="5" t="s">
        <v>7331</v>
      </c>
      <c r="J3070" s="12" t="str">
        <f>HYPERLINK("https://www.boe.es/gazeta/dias/1805/12/13/pdfs/GMD-1805-100.pdf#page=8","Abrir facsímil")</f>
        <v>Abrir facsímil</v>
      </c>
      <c r="K3070" s="15" t="s">
        <v>22</v>
      </c>
    </row>
    <row r="3071" spans="1:11" ht="42" customHeight="1">
      <c r="A3071" s="4" t="s">
        <v>7332</v>
      </c>
      <c r="B3071" s="5" t="s">
        <v>7333</v>
      </c>
      <c r="C3071" s="5" t="s">
        <v>80</v>
      </c>
      <c r="D3071" s="5" t="s">
        <v>81</v>
      </c>
      <c r="E3071" s="5" t="s">
        <v>789</v>
      </c>
      <c r="F3071" s="9">
        <v>104</v>
      </c>
      <c r="G3071" s="9">
        <v>1123</v>
      </c>
      <c r="H3071" s="5" t="s">
        <v>20</v>
      </c>
      <c r="I3071" s="5" t="s">
        <v>7334</v>
      </c>
      <c r="J3071" s="12" t="str">
        <f>HYPERLINK("https://www.boe.es/gazeta/dias/1805/12/27/pdfs/GMD-1805-104.pdf#page=7","Abrir facsímil")</f>
        <v>Abrir facsímil</v>
      </c>
      <c r="K3071" s="15" t="s">
        <v>22</v>
      </c>
    </row>
    <row r="3072" spans="1:11" ht="42" customHeight="1">
      <c r="A3072" s="4" t="s">
        <v>7332</v>
      </c>
      <c r="B3072" s="5" t="s">
        <v>7333</v>
      </c>
      <c r="C3072" s="5" t="s">
        <v>35</v>
      </c>
      <c r="D3072" s="5" t="s">
        <v>36</v>
      </c>
      <c r="E3072" s="5" t="s">
        <v>192</v>
      </c>
      <c r="F3072" s="9">
        <v>105</v>
      </c>
      <c r="G3072" s="9">
        <v>1136</v>
      </c>
      <c r="H3072" s="5" t="s">
        <v>20</v>
      </c>
      <c r="I3072" s="5" t="s">
        <v>7335</v>
      </c>
      <c r="J3072" s="12" t="str">
        <f>HYPERLINK("https://www.boe.es/gazeta/dias/1805/12/31/pdfs/GMD-1805-105.pdf#page=8","Abrir facsímil")</f>
        <v>Abrir facsímil</v>
      </c>
      <c r="K3072" s="15" t="s">
        <v>22</v>
      </c>
    </row>
    <row r="3073" spans="1:11" ht="42" customHeight="1">
      <c r="A3073" s="4" t="s">
        <v>7336</v>
      </c>
      <c r="B3073" s="5" t="s">
        <v>7337</v>
      </c>
      <c r="C3073" s="5" t="s">
        <v>35</v>
      </c>
      <c r="D3073" s="5" t="s">
        <v>36</v>
      </c>
      <c r="E3073" s="5" t="s">
        <v>192</v>
      </c>
      <c r="F3073" s="9">
        <v>105</v>
      </c>
      <c r="G3073" s="9">
        <v>1136</v>
      </c>
      <c r="H3073" s="5" t="s">
        <v>20</v>
      </c>
      <c r="I3073" s="5" t="s">
        <v>7338</v>
      </c>
      <c r="J3073" s="12" t="str">
        <f>HYPERLINK("https://www.boe.es/gazeta/dias/1805/12/31/pdfs/GMD-1805-105.pdf#page=8","Abrir facsímil")</f>
        <v>Abrir facsímil</v>
      </c>
      <c r="K3073" s="15" t="s">
        <v>22</v>
      </c>
    </row>
    <row r="3074" spans="1:11" ht="42" customHeight="1">
      <c r="A3074" s="4" t="s">
        <v>7339</v>
      </c>
      <c r="B3074" s="5" t="s">
        <v>7340</v>
      </c>
      <c r="C3074" s="5" t="s">
        <v>29</v>
      </c>
      <c r="D3074" s="5" t="s">
        <v>30</v>
      </c>
      <c r="E3074" s="5" t="s">
        <v>192</v>
      </c>
      <c r="F3074" s="9">
        <v>105</v>
      </c>
      <c r="G3074" s="9">
        <v>1135</v>
      </c>
      <c r="H3074" s="5" t="s">
        <v>20</v>
      </c>
      <c r="I3074" s="5" t="s">
        <v>7341</v>
      </c>
      <c r="J3074" s="12" t="str">
        <f>HYPERLINK("https://www.boe.es/gazeta/dias/1805/12/31/pdfs/GMD-1805-105.pdf#page=7","Abrir facsímil")</f>
        <v>Abrir facsímil</v>
      </c>
      <c r="K3074" s="15" t="s">
        <v>22</v>
      </c>
    </row>
    <row r="3075" spans="1:11" ht="42" customHeight="1">
      <c r="A3075" s="4" t="s">
        <v>7342</v>
      </c>
      <c r="B3075" s="5" t="s">
        <v>7342</v>
      </c>
      <c r="C3075" s="5" t="s">
        <v>29</v>
      </c>
      <c r="D3075" s="5" t="s">
        <v>30</v>
      </c>
      <c r="E3075" s="5" t="s">
        <v>506</v>
      </c>
      <c r="F3075" s="9">
        <v>80</v>
      </c>
      <c r="G3075" s="9">
        <v>846</v>
      </c>
      <c r="H3075" s="5" t="s">
        <v>20</v>
      </c>
      <c r="I3075" s="5" t="s">
        <v>7343</v>
      </c>
      <c r="J3075" s="12" t="str">
        <f>HYPERLINK("https://www.boe.es/gazeta/dias/1805/10/04/pdfs/GMD-1805-80.pdf#page=6","Abrir facsímil")</f>
        <v>Abrir facsímil</v>
      </c>
      <c r="K3075" s="15" t="s">
        <v>22</v>
      </c>
    </row>
    <row r="3076" spans="1:11" ht="42" customHeight="1">
      <c r="A3076" s="4" t="s">
        <v>7344</v>
      </c>
      <c r="B3076" s="5" t="s">
        <v>7345</v>
      </c>
      <c r="C3076" s="5" t="s">
        <v>29</v>
      </c>
      <c r="D3076" s="5" t="s">
        <v>30</v>
      </c>
      <c r="E3076" s="5" t="s">
        <v>71</v>
      </c>
      <c r="F3076" s="9">
        <v>33</v>
      </c>
      <c r="G3076" s="9">
        <v>355</v>
      </c>
      <c r="H3076" s="5" t="s">
        <v>20</v>
      </c>
      <c r="I3076" s="5" t="s">
        <v>7346</v>
      </c>
      <c r="J3076" s="12" t="str">
        <f>HYPERLINK("https://www.boe.es/gazeta/dias/1805/04/23/pdfs/GMD-1805-33.pdf#page=11","Abrir facsímil")</f>
        <v>Abrir facsímil</v>
      </c>
      <c r="K3076" s="15" t="s">
        <v>22</v>
      </c>
    </row>
    <row r="3077" spans="1:11" ht="42" customHeight="1">
      <c r="A3077" s="4" t="s">
        <v>7347</v>
      </c>
      <c r="B3077" s="5" t="s">
        <v>7347</v>
      </c>
      <c r="C3077" s="5" t="s">
        <v>80</v>
      </c>
      <c r="D3077" s="5" t="s">
        <v>81</v>
      </c>
      <c r="E3077" s="5" t="s">
        <v>409</v>
      </c>
      <c r="F3077" s="9">
        <v>69</v>
      </c>
      <c r="G3077" s="9">
        <v>735</v>
      </c>
      <c r="H3077" s="5" t="s">
        <v>20</v>
      </c>
      <c r="I3077" s="5" t="s">
        <v>7348</v>
      </c>
      <c r="J3077" s="12" t="str">
        <f>HYPERLINK("https://www.boe.es/gazeta/dias/1805/08/27/pdfs/GMD-1805-69.pdf#page=3","Abrir facsímil")</f>
        <v>Abrir facsímil</v>
      </c>
      <c r="K3077" s="15" t="s">
        <v>22</v>
      </c>
    </row>
    <row r="3078" spans="1:11" ht="42" customHeight="1">
      <c r="A3078" s="4" t="s">
        <v>7349</v>
      </c>
      <c r="B3078" s="5" t="s">
        <v>7349</v>
      </c>
      <c r="C3078" s="5" t="s">
        <v>17</v>
      </c>
      <c r="D3078" s="5" t="s">
        <v>18</v>
      </c>
      <c r="E3078" s="5" t="s">
        <v>733</v>
      </c>
      <c r="F3078" s="9">
        <v>45</v>
      </c>
      <c r="G3078" s="9">
        <v>484</v>
      </c>
      <c r="H3078" s="5" t="s">
        <v>20</v>
      </c>
      <c r="I3078" s="5" t="s">
        <v>7350</v>
      </c>
      <c r="J3078" s="12" t="str">
        <f>HYPERLINK("https://www.boe.es/gazeta/dias/1805/06/04/pdfs/GMD-1805-45.pdf#page=8","Abrir facsímil")</f>
        <v>Abrir facsímil</v>
      </c>
      <c r="K3078" s="15" t="s">
        <v>22</v>
      </c>
    </row>
    <row r="3079" spans="1:11" ht="42" customHeight="1">
      <c r="A3079" s="4" t="s">
        <v>7351</v>
      </c>
      <c r="B3079" s="5" t="s">
        <v>7351</v>
      </c>
      <c r="C3079" s="5" t="s">
        <v>29</v>
      </c>
      <c r="D3079" s="5" t="s">
        <v>30</v>
      </c>
      <c r="E3079" s="5" t="s">
        <v>196</v>
      </c>
      <c r="F3079" s="9">
        <v>67</v>
      </c>
      <c r="G3079" s="9">
        <v>720</v>
      </c>
      <c r="H3079" s="5" t="s">
        <v>20</v>
      </c>
      <c r="I3079" s="5" t="s">
        <v>7352</v>
      </c>
      <c r="J3079" s="12" t="str">
        <f>HYPERLINK("https://www.boe.es/gazeta/dias/1805/08/20/pdfs/GMD-1805-67.pdf#page=8","Abrir facsímil")</f>
        <v>Abrir facsímil</v>
      </c>
      <c r="K3079" s="15" t="s">
        <v>22</v>
      </c>
    </row>
    <row r="3080" spans="1:11" ht="42" customHeight="1">
      <c r="A3080" s="4" t="s">
        <v>7353</v>
      </c>
      <c r="B3080" s="5" t="s">
        <v>7354</v>
      </c>
      <c r="C3080" s="5" t="s">
        <v>35</v>
      </c>
      <c r="D3080" s="5" t="s">
        <v>36</v>
      </c>
      <c r="E3080" s="5" t="s">
        <v>356</v>
      </c>
      <c r="F3080" s="9">
        <v>12</v>
      </c>
      <c r="G3080" s="9">
        <v>132</v>
      </c>
      <c r="H3080" s="5" t="s">
        <v>20</v>
      </c>
      <c r="I3080" s="5" t="s">
        <v>7355</v>
      </c>
      <c r="J3080" s="12" t="str">
        <f>HYPERLINK("https://www.boe.es/gazeta/dias/1805/02/08/pdfs/GMD-1805-12.pdf#page=8","Abrir facsímil")</f>
        <v>Abrir facsímil</v>
      </c>
      <c r="K3080" s="15" t="s">
        <v>22</v>
      </c>
    </row>
    <row r="3081" spans="1:11" ht="42" customHeight="1">
      <c r="A3081" s="4" t="s">
        <v>7356</v>
      </c>
      <c r="B3081" s="5" t="s">
        <v>7356</v>
      </c>
      <c r="C3081" s="5" t="s">
        <v>35</v>
      </c>
      <c r="D3081" s="5" t="s">
        <v>36</v>
      </c>
      <c r="E3081" s="5" t="s">
        <v>188</v>
      </c>
      <c r="F3081" s="9">
        <v>68</v>
      </c>
      <c r="G3081" s="9">
        <v>729</v>
      </c>
      <c r="H3081" s="5" t="s">
        <v>20</v>
      </c>
      <c r="I3081" s="5" t="s">
        <v>7357</v>
      </c>
      <c r="J3081" s="12" t="str">
        <f>HYPERLINK("https://www.boe.es/gazeta/dias/1805/08/23/pdfs/GMD-1805-68.pdf#page=9","Abrir facsímil")</f>
        <v>Abrir facsímil</v>
      </c>
      <c r="K3081" s="15" t="s">
        <v>22</v>
      </c>
    </row>
    <row r="3082" spans="1:11" ht="42" customHeight="1">
      <c r="A3082" s="4" t="s">
        <v>7358</v>
      </c>
      <c r="B3082" s="5" t="s">
        <v>7358</v>
      </c>
      <c r="C3082" s="5" t="s">
        <v>85</v>
      </c>
      <c r="D3082" s="5" t="s">
        <v>86</v>
      </c>
      <c r="E3082" s="5" t="s">
        <v>1187</v>
      </c>
      <c r="F3082" s="9">
        <v>40</v>
      </c>
      <c r="G3082" s="9">
        <v>431</v>
      </c>
      <c r="H3082" s="5" t="s">
        <v>20</v>
      </c>
      <c r="I3082" s="5" t="s">
        <v>7359</v>
      </c>
      <c r="J3082" s="12" t="str">
        <f>HYPERLINK("https://www.boe.es/gazeta/dias/1805/05/17/pdfs/GMD-1805-40.pdf#page=7","Abrir facsímil")</f>
        <v>Abrir facsímil</v>
      </c>
      <c r="K3082" s="15" t="s">
        <v>22</v>
      </c>
    </row>
    <row r="3083" spans="1:11" ht="42" customHeight="1">
      <c r="A3083" s="4" t="s">
        <v>7360</v>
      </c>
      <c r="B3083" s="5" t="s">
        <v>7360</v>
      </c>
      <c r="C3083" s="5" t="s">
        <v>35</v>
      </c>
      <c r="D3083" s="5" t="s">
        <v>36</v>
      </c>
      <c r="E3083" s="5" t="s">
        <v>91</v>
      </c>
      <c r="F3083" s="9">
        <v>28</v>
      </c>
      <c r="G3083" s="9">
        <v>300</v>
      </c>
      <c r="H3083" s="5" t="s">
        <v>20</v>
      </c>
      <c r="I3083" s="5" t="s">
        <v>7361</v>
      </c>
      <c r="J3083" s="12" t="str">
        <f>HYPERLINK("https://www.boe.es/gazeta/dias/1805/04/05/pdfs/GMD-1805-28.pdf#page=8","Abrir facsímil")</f>
        <v>Abrir facsímil</v>
      </c>
      <c r="K3083" s="15" t="s">
        <v>22</v>
      </c>
    </row>
    <row r="3084" spans="1:11" ht="42" customHeight="1">
      <c r="A3084" s="4" t="s">
        <v>7362</v>
      </c>
      <c r="B3084" s="5" t="s">
        <v>7362</v>
      </c>
      <c r="C3084" s="5" t="s">
        <v>17</v>
      </c>
      <c r="D3084" s="5" t="s">
        <v>18</v>
      </c>
      <c r="E3084" s="5" t="s">
        <v>387</v>
      </c>
      <c r="F3084" s="9">
        <v>4</v>
      </c>
      <c r="G3084" s="9">
        <v>42</v>
      </c>
      <c r="H3084" s="5" t="s">
        <v>20</v>
      </c>
      <c r="I3084" s="5" t="s">
        <v>7363</v>
      </c>
      <c r="J3084" s="12" t="str">
        <f>HYPERLINK("https://www.boe.es/gazeta/dias/1805/01/11/pdfs/GMD-1805-4.pdf#page=10","Abrir facsímil")</f>
        <v>Abrir facsímil</v>
      </c>
      <c r="K3084" s="15" t="s">
        <v>22</v>
      </c>
    </row>
    <row r="3085" spans="1:11" ht="42" customHeight="1">
      <c r="A3085" s="4" t="s">
        <v>7364</v>
      </c>
      <c r="B3085" s="5" t="s">
        <v>7364</v>
      </c>
      <c r="C3085" s="5" t="s">
        <v>17</v>
      </c>
      <c r="D3085" s="5" t="s">
        <v>18</v>
      </c>
      <c r="E3085" s="5" t="s">
        <v>273</v>
      </c>
      <c r="F3085" s="9">
        <v>8</v>
      </c>
      <c r="G3085" s="9">
        <v>91</v>
      </c>
      <c r="H3085" s="5" t="s">
        <v>20</v>
      </c>
      <c r="I3085" s="5" t="s">
        <v>7365</v>
      </c>
      <c r="J3085" s="12" t="str">
        <f>HYPERLINK("https://www.boe.es/gazeta/dias/1805/01/25/pdfs/GMD-1805-8.pdf#page=11","Abrir facsímil")</f>
        <v>Abrir facsímil</v>
      </c>
      <c r="K3085" s="15" t="s">
        <v>22</v>
      </c>
    </row>
    <row r="3086" spans="1:11" ht="42" customHeight="1">
      <c r="A3086" s="4" t="s">
        <v>7366</v>
      </c>
      <c r="B3086" s="5" t="s">
        <v>7366</v>
      </c>
      <c r="C3086" s="5" t="s">
        <v>35</v>
      </c>
      <c r="D3086" s="5" t="s">
        <v>36</v>
      </c>
      <c r="E3086" s="5" t="s">
        <v>226</v>
      </c>
      <c r="F3086" s="9">
        <v>73</v>
      </c>
      <c r="G3086" s="9">
        <v>773</v>
      </c>
      <c r="H3086" s="5" t="s">
        <v>20</v>
      </c>
      <c r="I3086" s="5" t="s">
        <v>7367</v>
      </c>
      <c r="J3086" s="12" t="str">
        <f>HYPERLINK("https://www.boe.es/gazeta/dias/1805/09/10/pdfs/GMD-1805-73.pdf#page=5","Abrir facsímil")</f>
        <v>Abrir facsímil</v>
      </c>
      <c r="K3086" s="15" t="s">
        <v>22</v>
      </c>
    </row>
    <row r="3087" spans="1:11" ht="42" customHeight="1">
      <c r="A3087" s="4" t="s">
        <v>7368</v>
      </c>
      <c r="B3087" s="5" t="s">
        <v>7368</v>
      </c>
      <c r="C3087" s="5" t="s">
        <v>85</v>
      </c>
      <c r="D3087" s="5" t="s">
        <v>86</v>
      </c>
      <c r="E3087" s="5" t="s">
        <v>226</v>
      </c>
      <c r="F3087" s="9">
        <v>73</v>
      </c>
      <c r="G3087" s="9">
        <v>773</v>
      </c>
      <c r="H3087" s="5" t="s">
        <v>20</v>
      </c>
      <c r="I3087" s="5" t="s">
        <v>7369</v>
      </c>
      <c r="J3087" s="12" t="str">
        <f>HYPERLINK("https://www.boe.es/gazeta/dias/1805/09/10/pdfs/GMD-1805-73.pdf#page=5","Abrir facsímil")</f>
        <v>Abrir facsímil</v>
      </c>
      <c r="K3087" s="15" t="s">
        <v>22</v>
      </c>
    </row>
    <row r="3088" spans="1:11" ht="42" customHeight="1">
      <c r="A3088" s="4" t="s">
        <v>7370</v>
      </c>
      <c r="B3088" s="5" t="s">
        <v>7370</v>
      </c>
      <c r="C3088" s="5" t="s">
        <v>35</v>
      </c>
      <c r="D3088" s="5" t="s">
        <v>36</v>
      </c>
      <c r="E3088" s="5" t="s">
        <v>290</v>
      </c>
      <c r="F3088" s="9">
        <v>36</v>
      </c>
      <c r="G3088" s="9">
        <v>389</v>
      </c>
      <c r="H3088" s="5" t="s">
        <v>20</v>
      </c>
      <c r="I3088" s="5" t="s">
        <v>7371</v>
      </c>
      <c r="J3088" s="12" t="str">
        <f>HYPERLINK("https://www.boe.es/gazeta/dias/1805/05/03/pdfs/GMD-1805-36.pdf#page=9","Abrir facsímil")</f>
        <v>Abrir facsímil</v>
      </c>
      <c r="K3088" s="15" t="s">
        <v>22</v>
      </c>
    </row>
    <row r="3089" spans="1:11" ht="42" customHeight="1">
      <c r="A3089" s="4" t="s">
        <v>7372</v>
      </c>
      <c r="B3089" s="5" t="s">
        <v>7372</v>
      </c>
      <c r="C3089" s="5" t="s">
        <v>17</v>
      </c>
      <c r="D3089" s="5" t="s">
        <v>18</v>
      </c>
      <c r="E3089" s="5" t="s">
        <v>854</v>
      </c>
      <c r="F3089" s="9">
        <v>46</v>
      </c>
      <c r="G3089" s="9">
        <v>493</v>
      </c>
      <c r="H3089" s="5" t="s">
        <v>20</v>
      </c>
      <c r="I3089" s="5" t="s">
        <v>7373</v>
      </c>
      <c r="J3089" s="12" t="str">
        <f>HYPERLINK("https://www.boe.es/gazeta/dias/1805/06/07/pdfs/GMD-1805-46.pdf#page=5","Abrir facsímil")</f>
        <v>Abrir facsímil</v>
      </c>
      <c r="K3089" s="15" t="s">
        <v>22</v>
      </c>
    </row>
    <row r="3090" spans="1:11" ht="42" customHeight="1">
      <c r="A3090" s="4" t="s">
        <v>7374</v>
      </c>
      <c r="B3090" s="5" t="s">
        <v>7374</v>
      </c>
      <c r="C3090" s="5" t="s">
        <v>80</v>
      </c>
      <c r="D3090" s="5" t="s">
        <v>81</v>
      </c>
      <c r="E3090" s="5" t="s">
        <v>82</v>
      </c>
      <c r="F3090" s="9">
        <v>25</v>
      </c>
      <c r="G3090" s="9">
        <v>262</v>
      </c>
      <c r="H3090" s="5" t="s">
        <v>20</v>
      </c>
      <c r="I3090" s="5" t="s">
        <v>7375</v>
      </c>
      <c r="J3090" s="12" t="str">
        <f>HYPERLINK("https://www.boe.es/gazeta/dias/1805/03/26/pdfs/GMD-1805-25.pdf#page=2","Abrir facsímil")</f>
        <v>Abrir facsímil</v>
      </c>
      <c r="K3090" s="15" t="s">
        <v>22</v>
      </c>
    </row>
    <row r="3091" spans="1:11" ht="42" customHeight="1">
      <c r="A3091" s="4" t="s">
        <v>7376</v>
      </c>
      <c r="B3091" s="5" t="s">
        <v>7376</v>
      </c>
      <c r="C3091" s="5" t="s">
        <v>80</v>
      </c>
      <c r="D3091" s="5" t="s">
        <v>81</v>
      </c>
      <c r="E3091" s="5" t="s">
        <v>132</v>
      </c>
      <c r="F3091" s="9">
        <v>2</v>
      </c>
      <c r="G3091" s="9">
        <v>15</v>
      </c>
      <c r="H3091" s="5" t="s">
        <v>20</v>
      </c>
      <c r="I3091" s="5" t="s">
        <v>7377</v>
      </c>
      <c r="J3091" s="12" t="str">
        <f>HYPERLINK("https://www.boe.es/gazeta/dias/1805/01/04/pdfs/GMD-1805-2.pdf#page=3","Abrir facsímil")</f>
        <v>Abrir facsímil</v>
      </c>
      <c r="K3091" s="15" t="s">
        <v>22</v>
      </c>
    </row>
    <row r="3092" spans="1:11" ht="42" customHeight="1">
      <c r="A3092" s="4" t="s">
        <v>7376</v>
      </c>
      <c r="B3092" s="5" t="s">
        <v>7376</v>
      </c>
      <c r="C3092" s="5" t="s">
        <v>80</v>
      </c>
      <c r="D3092" s="5" t="s">
        <v>81</v>
      </c>
      <c r="E3092" s="5" t="s">
        <v>290</v>
      </c>
      <c r="F3092" s="9">
        <v>36</v>
      </c>
      <c r="G3092" s="9">
        <v>384</v>
      </c>
      <c r="H3092" s="5" t="s">
        <v>20</v>
      </c>
      <c r="I3092" s="5" t="s">
        <v>7378</v>
      </c>
      <c r="J3092" s="12" t="str">
        <f>HYPERLINK("https://www.boe.es/gazeta/dias/1805/05/03/pdfs/GMD-1805-36.pdf#page=4","Abrir facsímil")</f>
        <v>Abrir facsímil</v>
      </c>
      <c r="K3092" s="15" t="s">
        <v>22</v>
      </c>
    </row>
    <row r="3093" spans="1:11" ht="42" customHeight="1">
      <c r="A3093" s="4" t="s">
        <v>7376</v>
      </c>
      <c r="B3093" s="5" t="s">
        <v>7376</v>
      </c>
      <c r="C3093" s="5" t="s">
        <v>80</v>
      </c>
      <c r="D3093" s="5" t="s">
        <v>81</v>
      </c>
      <c r="E3093" s="5" t="s">
        <v>904</v>
      </c>
      <c r="F3093" s="9">
        <v>47</v>
      </c>
      <c r="G3093" s="9">
        <v>506</v>
      </c>
      <c r="H3093" s="5" t="s">
        <v>20</v>
      </c>
      <c r="I3093" s="5" t="s">
        <v>7379</v>
      </c>
      <c r="J3093" s="12" t="str">
        <f>HYPERLINK("https://www.boe.es/gazeta/dias/1805/06/11/pdfs/GMD-1805-47.pdf#page=6","Abrir facsímil")</f>
        <v>Abrir facsímil</v>
      </c>
      <c r="K3093" s="15" t="s">
        <v>22</v>
      </c>
    </row>
    <row r="3094" spans="1:11" ht="42" customHeight="1">
      <c r="A3094" s="4" t="s">
        <v>7376</v>
      </c>
      <c r="B3094" s="5" t="s">
        <v>7376</v>
      </c>
      <c r="C3094" s="5" t="s">
        <v>80</v>
      </c>
      <c r="D3094" s="5" t="s">
        <v>81</v>
      </c>
      <c r="E3094" s="5" t="s">
        <v>286</v>
      </c>
      <c r="F3094" s="9">
        <v>48</v>
      </c>
      <c r="G3094" s="9">
        <v>517</v>
      </c>
      <c r="H3094" s="5" t="s">
        <v>20</v>
      </c>
      <c r="I3094" s="5" t="s">
        <v>7380</v>
      </c>
      <c r="J3094" s="12" t="str">
        <f>HYPERLINK("https://www.boe.es/gazeta/dias/1805/06/14/pdfs/GMD-1805-48.pdf#page=5","Abrir facsímil")</f>
        <v>Abrir facsímil</v>
      </c>
      <c r="K3094" s="15" t="s">
        <v>22</v>
      </c>
    </row>
    <row r="3095" spans="1:11" ht="42" customHeight="1">
      <c r="A3095" s="4" t="s">
        <v>7381</v>
      </c>
      <c r="B3095" s="5" t="s">
        <v>7381</v>
      </c>
      <c r="C3095" s="5" t="s">
        <v>80</v>
      </c>
      <c r="D3095" s="5" t="s">
        <v>81</v>
      </c>
      <c r="E3095" s="5" t="s">
        <v>673</v>
      </c>
      <c r="F3095" s="9">
        <v>32</v>
      </c>
      <c r="G3095" s="9">
        <v>339</v>
      </c>
      <c r="H3095" s="5" t="s">
        <v>20</v>
      </c>
      <c r="I3095" s="5" t="s">
        <v>7382</v>
      </c>
      <c r="J3095" s="12" t="str">
        <f>HYPERLINK("https://www.boe.es/gazeta/dias/1805/04/19/pdfs/GMD-1805-32.pdf#page=3","Abrir facsímil")</f>
        <v>Abrir facsímil</v>
      </c>
      <c r="K3095" s="15" t="s">
        <v>22</v>
      </c>
    </row>
    <row r="3096" spans="1:11" ht="42" customHeight="1">
      <c r="A3096" s="4" t="s">
        <v>7383</v>
      </c>
      <c r="B3096" s="5" t="s">
        <v>7383</v>
      </c>
      <c r="C3096" s="5" t="s">
        <v>29</v>
      </c>
      <c r="D3096" s="5" t="s">
        <v>30</v>
      </c>
      <c r="E3096" s="5" t="s">
        <v>393</v>
      </c>
      <c r="F3096" s="9">
        <v>44</v>
      </c>
      <c r="G3096" s="9">
        <v>467</v>
      </c>
      <c r="H3096" s="5" t="s">
        <v>20</v>
      </c>
      <c r="I3096" s="5" t="s">
        <v>7384</v>
      </c>
      <c r="J3096" s="12" t="str">
        <f>HYPERLINK("https://www.boe.es/gazeta/dias/1805/05/31/pdfs/GMD-1805-44.pdf#page=3","Abrir facsímil")</f>
        <v>Abrir facsímil</v>
      </c>
      <c r="K3096" s="15" t="s">
        <v>22</v>
      </c>
    </row>
    <row r="3097" spans="1:11" ht="42" customHeight="1">
      <c r="A3097" s="4" t="s">
        <v>7385</v>
      </c>
      <c r="B3097" s="5" t="s">
        <v>7386</v>
      </c>
      <c r="C3097" s="5" t="s">
        <v>35</v>
      </c>
      <c r="D3097" s="5" t="s">
        <v>36</v>
      </c>
      <c r="E3097" s="5" t="s">
        <v>200</v>
      </c>
      <c r="F3097" s="9">
        <v>91</v>
      </c>
      <c r="G3097" s="9">
        <v>977</v>
      </c>
      <c r="H3097" s="5" t="s">
        <v>20</v>
      </c>
      <c r="I3097" s="5" t="s">
        <v>7387</v>
      </c>
      <c r="J3097" s="12" t="str">
        <f>HYPERLINK("https://www.boe.es/gazeta/dias/1805/11/12/pdfs/GMD-1805-91.pdf#page=9","Abrir facsímil")</f>
        <v>Abrir facsímil</v>
      </c>
      <c r="K3097" s="15" t="s">
        <v>22</v>
      </c>
    </row>
    <row r="3098" spans="1:11" ht="42" customHeight="1">
      <c r="A3098" s="4" t="s">
        <v>7388</v>
      </c>
      <c r="B3098" s="5" t="s">
        <v>7388</v>
      </c>
      <c r="C3098" s="5" t="s">
        <v>80</v>
      </c>
      <c r="D3098" s="5" t="s">
        <v>81</v>
      </c>
      <c r="E3098" s="5" t="s">
        <v>48</v>
      </c>
      <c r="F3098" s="9">
        <v>35</v>
      </c>
      <c r="G3098" s="9">
        <v>371</v>
      </c>
      <c r="H3098" s="5" t="s">
        <v>20</v>
      </c>
      <c r="I3098" s="5" t="s">
        <v>7389</v>
      </c>
      <c r="J3098" s="12" t="str">
        <f>HYPERLINK("https://www.boe.es/gazeta/dias/1805/04/30/pdfs/GMD-1805-35.pdf#page=3","Abrir facsímil")</f>
        <v>Abrir facsímil</v>
      </c>
      <c r="K3098" s="15" t="s">
        <v>22</v>
      </c>
    </row>
    <row r="3099" spans="1:11" ht="42" customHeight="1">
      <c r="A3099" s="4" t="s">
        <v>7390</v>
      </c>
      <c r="B3099" s="5" t="s">
        <v>7390</v>
      </c>
      <c r="C3099" s="5" t="s">
        <v>17</v>
      </c>
      <c r="D3099" s="5" t="s">
        <v>18</v>
      </c>
      <c r="E3099" s="5" t="s">
        <v>649</v>
      </c>
      <c r="F3099" s="9">
        <v>7</v>
      </c>
      <c r="G3099" s="9">
        <v>74</v>
      </c>
      <c r="H3099" s="5" t="s">
        <v>20</v>
      </c>
      <c r="I3099" s="5" t="s">
        <v>7391</v>
      </c>
      <c r="J3099" s="12" t="str">
        <f>HYPERLINK("https://www.boe.es/gazeta/dias/1805/01/22/pdfs/GMD-1805-7.pdf#page=6","Abrir facsímil")</f>
        <v>Abrir facsímil</v>
      </c>
      <c r="K3099" s="15" t="s">
        <v>22</v>
      </c>
    </row>
    <row r="3100" spans="1:11" ht="42" customHeight="1">
      <c r="A3100" s="4" t="s">
        <v>7390</v>
      </c>
      <c r="B3100" s="5" t="s">
        <v>7390</v>
      </c>
      <c r="C3100" s="5" t="s">
        <v>85</v>
      </c>
      <c r="D3100" s="5" t="s">
        <v>86</v>
      </c>
      <c r="E3100" s="5" t="s">
        <v>188</v>
      </c>
      <c r="F3100" s="9">
        <v>68</v>
      </c>
      <c r="G3100" s="9">
        <v>729</v>
      </c>
      <c r="H3100" s="5" t="s">
        <v>20</v>
      </c>
      <c r="I3100" s="5" t="s">
        <v>7392</v>
      </c>
      <c r="J3100" s="12" t="str">
        <f>HYPERLINK("https://www.boe.es/gazeta/dias/1805/08/23/pdfs/GMD-1805-68.pdf#page=9","Abrir facsímil")</f>
        <v>Abrir facsímil</v>
      </c>
      <c r="K3100" s="15" t="s">
        <v>22</v>
      </c>
    </row>
    <row r="3101" spans="1:11" ht="42" customHeight="1">
      <c r="A3101" s="4" t="s">
        <v>7390</v>
      </c>
      <c r="B3101" s="5" t="s">
        <v>7390</v>
      </c>
      <c r="C3101" s="5" t="s">
        <v>17</v>
      </c>
      <c r="D3101" s="5" t="s">
        <v>18</v>
      </c>
      <c r="E3101" s="5" t="s">
        <v>226</v>
      </c>
      <c r="F3101" s="9">
        <v>73</v>
      </c>
      <c r="G3101" s="9">
        <v>776</v>
      </c>
      <c r="H3101" s="5" t="s">
        <v>20</v>
      </c>
      <c r="I3101" s="5" t="s">
        <v>7393</v>
      </c>
      <c r="J3101" s="12" t="str">
        <f>HYPERLINK("https://www.boe.es/gazeta/dias/1805/09/10/pdfs/GMD-1805-73.pdf#page=8","Abrir facsímil")</f>
        <v>Abrir facsímil</v>
      </c>
      <c r="K3101" s="15" t="s">
        <v>22</v>
      </c>
    </row>
    <row r="3102" spans="1:11" ht="42" customHeight="1">
      <c r="A3102" s="4" t="s">
        <v>7390</v>
      </c>
      <c r="B3102" s="5" t="s">
        <v>7390</v>
      </c>
      <c r="C3102" s="5" t="s">
        <v>85</v>
      </c>
      <c r="D3102" s="5" t="s">
        <v>86</v>
      </c>
      <c r="E3102" s="5" t="s">
        <v>141</v>
      </c>
      <c r="F3102" s="9">
        <v>82</v>
      </c>
      <c r="G3102" s="9">
        <v>872</v>
      </c>
      <c r="H3102" s="5" t="s">
        <v>20</v>
      </c>
      <c r="I3102" s="5" t="s">
        <v>7394</v>
      </c>
      <c r="J3102" s="12" t="str">
        <f>HYPERLINK("https://www.boe.es/gazeta/dias/1805/10/11/pdfs/GMD-1805-82.pdf#page=12","Abrir facsímil")</f>
        <v>Abrir facsímil</v>
      </c>
      <c r="K3102" s="15" t="s">
        <v>22</v>
      </c>
    </row>
    <row r="3103" spans="1:11" ht="42" customHeight="1">
      <c r="A3103" s="4" t="s">
        <v>7390</v>
      </c>
      <c r="B3103" s="5" t="s">
        <v>7390</v>
      </c>
      <c r="C3103" s="5" t="s">
        <v>35</v>
      </c>
      <c r="D3103" s="5" t="s">
        <v>36</v>
      </c>
      <c r="E3103" s="5" t="s">
        <v>539</v>
      </c>
      <c r="F3103" s="9">
        <v>97</v>
      </c>
      <c r="G3103" s="9">
        <v>1045</v>
      </c>
      <c r="H3103" s="5" t="s">
        <v>20</v>
      </c>
      <c r="I3103" s="5" t="s">
        <v>7395</v>
      </c>
      <c r="J3103" s="12" t="str">
        <f>HYPERLINK("https://www.boe.es/gazeta/dias/1805/12/03/pdfs/GMD-1805-97.pdf#page=9","Abrir facsímil")</f>
        <v>Abrir facsímil</v>
      </c>
      <c r="K3103" s="15" t="s">
        <v>22</v>
      </c>
    </row>
    <row r="3104" spans="1:11" ht="42" customHeight="1">
      <c r="A3104" s="4" t="s">
        <v>7396</v>
      </c>
      <c r="B3104" s="5" t="s">
        <v>7396</v>
      </c>
      <c r="C3104" s="5" t="s">
        <v>17</v>
      </c>
      <c r="D3104" s="5" t="s">
        <v>18</v>
      </c>
      <c r="E3104" s="5" t="s">
        <v>27</v>
      </c>
      <c r="F3104" s="9">
        <v>37</v>
      </c>
      <c r="G3104" s="9">
        <v>401</v>
      </c>
      <c r="H3104" s="5" t="s">
        <v>20</v>
      </c>
      <c r="I3104" s="5" t="s">
        <v>7397</v>
      </c>
      <c r="J3104" s="12" t="str">
        <f>HYPERLINK("https://www.boe.es/gazeta/dias/1805/05/07/pdfs/GMD-1805-37.pdf#page=9","Abrir facsímil")</f>
        <v>Abrir facsímil</v>
      </c>
      <c r="K3104" s="15" t="s">
        <v>22</v>
      </c>
    </row>
    <row r="3105" spans="1:11" ht="42" customHeight="1">
      <c r="A3105" s="4" t="s">
        <v>7398</v>
      </c>
      <c r="B3105" s="5" t="s">
        <v>7398</v>
      </c>
      <c r="C3105" s="5" t="s">
        <v>17</v>
      </c>
      <c r="D3105" s="5" t="s">
        <v>18</v>
      </c>
      <c r="E3105" s="5" t="s">
        <v>99</v>
      </c>
      <c r="F3105" s="9">
        <v>83</v>
      </c>
      <c r="G3105" s="9">
        <v>883</v>
      </c>
      <c r="H3105" s="5" t="s">
        <v>20</v>
      </c>
      <c r="I3105" s="5" t="s">
        <v>7399</v>
      </c>
      <c r="J3105" s="12" t="str">
        <f>HYPERLINK("https://www.boe.es/gazeta/dias/1805/10/15/pdfs/GMD-1805-83.pdf#page=11","Abrir facsímil")</f>
        <v>Abrir facsímil</v>
      </c>
      <c r="K3105" s="15" t="s">
        <v>22</v>
      </c>
    </row>
    <row r="3106" spans="1:11" ht="42" customHeight="1">
      <c r="A3106" s="4" t="s">
        <v>7400</v>
      </c>
      <c r="B3106" s="5" t="s">
        <v>7400</v>
      </c>
      <c r="C3106" s="5" t="s">
        <v>35</v>
      </c>
      <c r="D3106" s="5" t="s">
        <v>36</v>
      </c>
      <c r="E3106" s="5" t="s">
        <v>112</v>
      </c>
      <c r="F3106" s="9">
        <v>16</v>
      </c>
      <c r="G3106" s="9">
        <v>166</v>
      </c>
      <c r="H3106" s="5" t="s">
        <v>20</v>
      </c>
      <c r="I3106" s="5" t="s">
        <v>7401</v>
      </c>
      <c r="J3106" s="12" t="str">
        <f>HYPERLINK("https://www.boe.es/gazeta/dias/1805/02/22/pdfs/GMD-1805-16.pdf#page=6","Abrir facsímil")</f>
        <v>Abrir facsímil</v>
      </c>
      <c r="K3106" s="15" t="s">
        <v>22</v>
      </c>
    </row>
    <row r="3107" spans="1:11" ht="42" customHeight="1">
      <c r="A3107" s="4" t="s">
        <v>7402</v>
      </c>
      <c r="B3107" s="5" t="s">
        <v>7402</v>
      </c>
      <c r="C3107" s="5" t="s">
        <v>35</v>
      </c>
      <c r="D3107" s="5" t="s">
        <v>36</v>
      </c>
      <c r="E3107" s="5" t="s">
        <v>226</v>
      </c>
      <c r="F3107" s="9">
        <v>73</v>
      </c>
      <c r="G3107" s="9">
        <v>773</v>
      </c>
      <c r="H3107" s="5" t="s">
        <v>20</v>
      </c>
      <c r="I3107" s="5" t="s">
        <v>7403</v>
      </c>
      <c r="J3107" s="12" t="str">
        <f>HYPERLINK("https://www.boe.es/gazeta/dias/1805/09/10/pdfs/GMD-1805-73.pdf#page=5","Abrir facsímil")</f>
        <v>Abrir facsímil</v>
      </c>
      <c r="K3107" s="15" t="s">
        <v>22</v>
      </c>
    </row>
    <row r="3108" spans="1:11" ht="42" customHeight="1">
      <c r="A3108" s="4" t="s">
        <v>7404</v>
      </c>
      <c r="B3108" s="5" t="s">
        <v>7404</v>
      </c>
      <c r="C3108" s="5" t="s">
        <v>17</v>
      </c>
      <c r="D3108" s="5" t="s">
        <v>18</v>
      </c>
      <c r="E3108" s="5" t="s">
        <v>1471</v>
      </c>
      <c r="F3108" s="9">
        <v>34</v>
      </c>
      <c r="G3108" s="9">
        <v>363</v>
      </c>
      <c r="H3108" s="5" t="s">
        <v>20</v>
      </c>
      <c r="I3108" s="5" t="s">
        <v>7405</v>
      </c>
      <c r="J3108" s="12" t="str">
        <f>HYPERLINK("https://www.boe.es/gazeta/dias/1805/04/26/pdfs/GMD-1805-34.pdf#page=7","Abrir facsímil")</f>
        <v>Abrir facsímil</v>
      </c>
      <c r="K3108" s="15" t="s">
        <v>22</v>
      </c>
    </row>
    <row r="3109" spans="1:11" ht="42" customHeight="1">
      <c r="A3109" s="4" t="s">
        <v>7406</v>
      </c>
      <c r="B3109" s="5" t="s">
        <v>7406</v>
      </c>
      <c r="C3109" s="5" t="s">
        <v>17</v>
      </c>
      <c r="D3109" s="5" t="s">
        <v>18</v>
      </c>
      <c r="E3109" s="5" t="s">
        <v>196</v>
      </c>
      <c r="F3109" s="9">
        <v>67</v>
      </c>
      <c r="G3109" s="9">
        <v>720</v>
      </c>
      <c r="H3109" s="5" t="s">
        <v>20</v>
      </c>
      <c r="I3109" s="5" t="s">
        <v>7407</v>
      </c>
      <c r="J3109" s="12" t="str">
        <f>HYPERLINK("https://www.boe.es/gazeta/dias/1805/08/20/pdfs/GMD-1805-67.pdf#page=8","Abrir facsímil")</f>
        <v>Abrir facsímil</v>
      </c>
      <c r="K3109" s="15" t="s">
        <v>22</v>
      </c>
    </row>
    <row r="3110" spans="1:11" ht="42" customHeight="1">
      <c r="A3110" s="4" t="s">
        <v>7408</v>
      </c>
      <c r="B3110" s="5" t="s">
        <v>7408</v>
      </c>
      <c r="C3110" s="5" t="s">
        <v>52</v>
      </c>
      <c r="D3110" s="5" t="s">
        <v>53</v>
      </c>
      <c r="E3110" s="5" t="s">
        <v>82</v>
      </c>
      <c r="F3110" s="9">
        <v>25</v>
      </c>
      <c r="G3110" s="9" t="s">
        <v>145</v>
      </c>
      <c r="H3110" s="5" t="s">
        <v>20</v>
      </c>
      <c r="I3110" s="5" t="s">
        <v>7409</v>
      </c>
      <c r="J3110" s="12" t="str">
        <f>HYPERLINK("https://www.boe.es/gazeta/dias/1805/03/26/pdfs/GMD-C-1805-25.pdf#page=2","Abrir facsímil")</f>
        <v>Abrir facsímil</v>
      </c>
      <c r="K3110" s="15" t="s">
        <v>22</v>
      </c>
    </row>
    <row r="3111" spans="1:11" ht="42" customHeight="1">
      <c r="A3111" s="4" t="s">
        <v>7410</v>
      </c>
      <c r="B3111" s="5" t="s">
        <v>7410</v>
      </c>
      <c r="C3111" s="5" t="s">
        <v>35</v>
      </c>
      <c r="D3111" s="5" t="s">
        <v>36</v>
      </c>
      <c r="E3111" s="5" t="s">
        <v>1445</v>
      </c>
      <c r="F3111" s="9">
        <v>6</v>
      </c>
      <c r="G3111" s="9">
        <v>66</v>
      </c>
      <c r="H3111" s="5" t="s">
        <v>20</v>
      </c>
      <c r="I3111" s="5" t="s">
        <v>7411</v>
      </c>
      <c r="J3111" s="12" t="str">
        <f>HYPERLINK("https://www.boe.es/gazeta/dias/1805/01/18/pdfs/GMD-1805-6.pdf#page=10","Abrir facsímil")</f>
        <v>Abrir facsímil</v>
      </c>
      <c r="K3111" s="15" t="s">
        <v>22</v>
      </c>
    </row>
    <row r="3112" spans="1:11" ht="42" customHeight="1">
      <c r="A3112" s="4" t="s">
        <v>7412</v>
      </c>
      <c r="B3112" s="5" t="s">
        <v>7412</v>
      </c>
      <c r="C3112" s="5" t="s">
        <v>29</v>
      </c>
      <c r="D3112" s="5" t="s">
        <v>30</v>
      </c>
      <c r="E3112" s="5" t="s">
        <v>440</v>
      </c>
      <c r="F3112" s="9">
        <v>27</v>
      </c>
      <c r="G3112" s="9">
        <v>290</v>
      </c>
      <c r="H3112" s="5" t="s">
        <v>20</v>
      </c>
      <c r="I3112" s="5" t="s">
        <v>7413</v>
      </c>
      <c r="J3112" s="12" t="str">
        <f>HYPERLINK("https://www.boe.es/gazeta/dias/1805/04/02/pdfs/GMD-1805-27.pdf#page=10","Abrir facsímil")</f>
        <v>Abrir facsímil</v>
      </c>
      <c r="K3112" s="15" t="s">
        <v>22</v>
      </c>
    </row>
    <row r="3113" spans="1:11" ht="42" customHeight="1">
      <c r="A3113" s="4" t="s">
        <v>7414</v>
      </c>
      <c r="B3113" s="5" t="s">
        <v>7414</v>
      </c>
      <c r="C3113" s="5" t="s">
        <v>17</v>
      </c>
      <c r="D3113" s="5" t="s">
        <v>18</v>
      </c>
      <c r="E3113" s="5" t="s">
        <v>1132</v>
      </c>
      <c r="F3113" s="9">
        <v>72</v>
      </c>
      <c r="G3113" s="9">
        <v>766</v>
      </c>
      <c r="H3113" s="5" t="s">
        <v>20</v>
      </c>
      <c r="I3113" s="5" t="s">
        <v>7415</v>
      </c>
      <c r="J3113" s="12" t="str">
        <f>HYPERLINK("https://www.boe.es/gazeta/dias/1805/09/06/pdfs/GMD-1805-72.pdf#page=6","Abrir facsímil")</f>
        <v>Abrir facsímil</v>
      </c>
      <c r="K3113" s="15" t="s">
        <v>22</v>
      </c>
    </row>
    <row r="3114" spans="1:11" ht="42" customHeight="1">
      <c r="A3114" s="4" t="s">
        <v>7416</v>
      </c>
      <c r="B3114" s="5" t="s">
        <v>7416</v>
      </c>
      <c r="C3114" s="5" t="s">
        <v>17</v>
      </c>
      <c r="D3114" s="5" t="s">
        <v>18</v>
      </c>
      <c r="E3114" s="5" t="s">
        <v>409</v>
      </c>
      <c r="F3114" s="9">
        <v>69</v>
      </c>
      <c r="G3114" s="9">
        <v>739</v>
      </c>
      <c r="H3114" s="5" t="s">
        <v>20</v>
      </c>
      <c r="I3114" s="5" t="s">
        <v>7417</v>
      </c>
      <c r="J3114" s="12" t="str">
        <f>HYPERLINK("https://www.boe.es/gazeta/dias/1805/08/27/pdfs/GMD-1805-69.pdf#page=7","Abrir facsímil")</f>
        <v>Abrir facsímil</v>
      </c>
      <c r="K3114" s="15" t="s">
        <v>22</v>
      </c>
    </row>
    <row r="3115" spans="1:11" ht="42" customHeight="1">
      <c r="A3115" s="4" t="s">
        <v>7418</v>
      </c>
      <c r="B3115" s="5" t="s">
        <v>7418</v>
      </c>
      <c r="C3115" s="5" t="s">
        <v>17</v>
      </c>
      <c r="D3115" s="5" t="s">
        <v>18</v>
      </c>
      <c r="E3115" s="5" t="s">
        <v>63</v>
      </c>
      <c r="F3115" s="9">
        <v>101</v>
      </c>
      <c r="G3115" s="9">
        <v>1093</v>
      </c>
      <c r="H3115" s="5" t="s">
        <v>20</v>
      </c>
      <c r="I3115" s="5" t="s">
        <v>7419</v>
      </c>
      <c r="J3115" s="12" t="str">
        <f>HYPERLINK("https://www.boe.es/gazeta/dias/1805/12/17/pdfs/GMD-1805-101.pdf#page=9","Abrir facsímil")</f>
        <v>Abrir facsímil</v>
      </c>
      <c r="K3115" s="15" t="s">
        <v>22</v>
      </c>
    </row>
    <row r="3116" spans="1:11" ht="42" customHeight="1">
      <c r="A3116" s="4" t="s">
        <v>7420</v>
      </c>
      <c r="B3116" s="5" t="s">
        <v>7420</v>
      </c>
      <c r="C3116" s="5" t="s">
        <v>85</v>
      </c>
      <c r="D3116" s="5" t="s">
        <v>86</v>
      </c>
      <c r="E3116" s="5" t="s">
        <v>303</v>
      </c>
      <c r="F3116" s="9">
        <v>57</v>
      </c>
      <c r="G3116" s="9">
        <v>611</v>
      </c>
      <c r="H3116" s="5" t="s">
        <v>20</v>
      </c>
      <c r="I3116" s="5" t="s">
        <v>7421</v>
      </c>
      <c r="J3116" s="12" t="str">
        <f>HYPERLINK("https://www.boe.es/gazeta/dias/1805/07/16/pdfs/GMD-1805-57.pdf#page=7","Abrir facsímil")</f>
        <v>Abrir facsímil</v>
      </c>
      <c r="K3116" s="15" t="s">
        <v>22</v>
      </c>
    </row>
    <row r="3117" spans="1:11" ht="42" customHeight="1">
      <c r="A3117" s="4" t="s">
        <v>7422</v>
      </c>
      <c r="B3117" s="5" t="s">
        <v>7423</v>
      </c>
      <c r="C3117" s="5" t="s">
        <v>29</v>
      </c>
      <c r="D3117" s="5" t="s">
        <v>30</v>
      </c>
      <c r="E3117" s="5" t="s">
        <v>59</v>
      </c>
      <c r="F3117" s="9">
        <v>21</v>
      </c>
      <c r="G3117" s="9">
        <v>224</v>
      </c>
      <c r="H3117" s="5" t="s">
        <v>20</v>
      </c>
      <c r="I3117" s="5" t="s">
        <v>7424</v>
      </c>
      <c r="J3117" s="12" t="str">
        <f>HYPERLINK("https://www.boe.es/gazeta/dias/1805/03/12/pdfs/GMD-1805-21.pdf#page=12","Abrir facsímil")</f>
        <v>Abrir facsímil</v>
      </c>
      <c r="K3117" s="15" t="s">
        <v>22</v>
      </c>
    </row>
    <row r="3118" spans="1:11" ht="42" customHeight="1">
      <c r="A3118" s="4" t="s">
        <v>7425</v>
      </c>
      <c r="B3118" s="5" t="s">
        <v>7425</v>
      </c>
      <c r="C3118" s="5" t="s">
        <v>85</v>
      </c>
      <c r="D3118" s="5" t="s">
        <v>86</v>
      </c>
      <c r="E3118" s="5" t="s">
        <v>107</v>
      </c>
      <c r="F3118" s="9">
        <v>19</v>
      </c>
      <c r="G3118" s="9">
        <v>198</v>
      </c>
      <c r="H3118" s="5" t="s">
        <v>20</v>
      </c>
      <c r="I3118" s="5" t="s">
        <v>7426</v>
      </c>
      <c r="J3118" s="12" t="str">
        <f>HYPERLINK("https://www.boe.es/gazeta/dias/1805/03/05/pdfs/GMD-1805-19.pdf#page=10","Abrir facsímil")</f>
        <v>Abrir facsímil</v>
      </c>
      <c r="K3118" s="15" t="s">
        <v>22</v>
      </c>
    </row>
    <row r="3119" spans="1:11" ht="42" customHeight="1">
      <c r="A3119" s="4" t="s">
        <v>7427</v>
      </c>
      <c r="B3119" s="5" t="s">
        <v>7427</v>
      </c>
      <c r="C3119" s="5" t="s">
        <v>35</v>
      </c>
      <c r="D3119" s="5" t="s">
        <v>36</v>
      </c>
      <c r="E3119" s="5" t="s">
        <v>817</v>
      </c>
      <c r="F3119" s="9">
        <v>92</v>
      </c>
      <c r="G3119" s="9">
        <v>987</v>
      </c>
      <c r="H3119" s="5" t="s">
        <v>20</v>
      </c>
      <c r="I3119" s="5" t="s">
        <v>7428</v>
      </c>
      <c r="J3119" s="12" t="str">
        <f>HYPERLINK("https://www.boe.es/gazeta/dias/1805/11/15/pdfs/GMD-1805-92.pdf#page=7","Abrir facsímil")</f>
        <v>Abrir facsímil</v>
      </c>
      <c r="K3119" s="15" t="s">
        <v>22</v>
      </c>
    </row>
    <row r="3120" spans="1:11" ht="42" customHeight="1">
      <c r="A3120" s="4" t="s">
        <v>7429</v>
      </c>
      <c r="B3120" s="5" t="s">
        <v>7429</v>
      </c>
      <c r="C3120" s="5" t="s">
        <v>35</v>
      </c>
      <c r="D3120" s="5" t="s">
        <v>36</v>
      </c>
      <c r="E3120" s="5" t="s">
        <v>645</v>
      </c>
      <c r="F3120" s="9">
        <v>55</v>
      </c>
      <c r="G3120" s="9">
        <v>592</v>
      </c>
      <c r="H3120" s="5" t="s">
        <v>20</v>
      </c>
      <c r="I3120" s="5" t="s">
        <v>7430</v>
      </c>
      <c r="J3120" s="12" t="str">
        <f>HYPERLINK("https://www.boe.es/gazeta/dias/1805/07/09/pdfs/GMD-C-1805-55.pdf#page=4","Abrir facsímil")</f>
        <v>Abrir facsímil</v>
      </c>
      <c r="K3120" s="15" t="s">
        <v>22</v>
      </c>
    </row>
    <row r="3121" spans="1:11" ht="42" customHeight="1">
      <c r="A3121" s="4" t="s">
        <v>7431</v>
      </c>
      <c r="B3121" s="5" t="s">
        <v>7431</v>
      </c>
      <c r="C3121" s="5" t="s">
        <v>35</v>
      </c>
      <c r="D3121" s="5" t="s">
        <v>36</v>
      </c>
      <c r="E3121" s="5" t="s">
        <v>107</v>
      </c>
      <c r="F3121" s="9">
        <v>19</v>
      </c>
      <c r="G3121" s="9">
        <v>198</v>
      </c>
      <c r="H3121" s="5" t="s">
        <v>20</v>
      </c>
      <c r="I3121" s="5" t="s">
        <v>7432</v>
      </c>
      <c r="J3121" s="12" t="str">
        <f>HYPERLINK("https://www.boe.es/gazeta/dias/1805/03/05/pdfs/GMD-1805-19.pdf#page=10","Abrir facsímil")</f>
        <v>Abrir facsímil</v>
      </c>
      <c r="K3121" s="15" t="s">
        <v>22</v>
      </c>
    </row>
    <row r="3122" spans="1:11" ht="42" customHeight="1">
      <c r="A3122" s="4" t="s">
        <v>7433</v>
      </c>
      <c r="B3122" s="5" t="s">
        <v>7433</v>
      </c>
      <c r="C3122" s="5" t="s">
        <v>35</v>
      </c>
      <c r="D3122" s="5" t="s">
        <v>36</v>
      </c>
      <c r="E3122" s="5" t="s">
        <v>864</v>
      </c>
      <c r="F3122" s="9">
        <v>88</v>
      </c>
      <c r="G3122" s="9">
        <v>938</v>
      </c>
      <c r="H3122" s="5" t="s">
        <v>20</v>
      </c>
      <c r="I3122" s="5" t="s">
        <v>7434</v>
      </c>
      <c r="J3122" s="12" t="str">
        <f>HYPERLINK("https://www.boe.es/gazeta/dias/1805/11/01/pdfs/GMD-1805-88.pdf#page=10","Abrir facsímil")</f>
        <v>Abrir facsímil</v>
      </c>
      <c r="K3122" s="15" t="s">
        <v>22</v>
      </c>
    </row>
    <row r="3123" spans="1:11" ht="42" customHeight="1">
      <c r="A3123" s="4" t="s">
        <v>7435</v>
      </c>
      <c r="B3123" s="5" t="s">
        <v>7435</v>
      </c>
      <c r="C3123" s="5" t="s">
        <v>17</v>
      </c>
      <c r="D3123" s="5" t="s">
        <v>18</v>
      </c>
      <c r="E3123" s="5" t="s">
        <v>729</v>
      </c>
      <c r="F3123" s="9">
        <v>61</v>
      </c>
      <c r="G3123" s="9">
        <v>655</v>
      </c>
      <c r="H3123" s="5" t="s">
        <v>20</v>
      </c>
      <c r="I3123" s="5" t="s">
        <v>7436</v>
      </c>
      <c r="J3123" s="12" t="str">
        <f>HYPERLINK("https://www.boe.es/gazeta/dias/1805/07/30/pdfs/GMD-1805-61.pdf#page=7","Abrir facsímil")</f>
        <v>Abrir facsímil</v>
      </c>
      <c r="K3123" s="15" t="s">
        <v>22</v>
      </c>
    </row>
    <row r="3124" spans="1:11" ht="42" customHeight="1">
      <c r="A3124" s="4" t="s">
        <v>7437</v>
      </c>
      <c r="B3124" s="5" t="s">
        <v>7437</v>
      </c>
      <c r="C3124" s="5" t="s">
        <v>85</v>
      </c>
      <c r="D3124" s="5" t="s">
        <v>86</v>
      </c>
      <c r="E3124" s="5" t="s">
        <v>24</v>
      </c>
      <c r="F3124" s="9">
        <v>11</v>
      </c>
      <c r="G3124" s="9">
        <v>120</v>
      </c>
      <c r="H3124" s="5" t="s">
        <v>20</v>
      </c>
      <c r="I3124" s="5" t="s">
        <v>7438</v>
      </c>
      <c r="J3124" s="12" t="str">
        <f>HYPERLINK("https://www.boe.es/gazeta/dias/1805/02/05/pdfs/GMD-1805-11.pdf#page=8","Abrir facsímil")</f>
        <v>Abrir facsímil</v>
      </c>
      <c r="K3124" s="15" t="s">
        <v>22</v>
      </c>
    </row>
    <row r="3125" spans="1:11" ht="42" customHeight="1">
      <c r="A3125" s="4" t="s">
        <v>7439</v>
      </c>
      <c r="B3125" s="5" t="s">
        <v>7439</v>
      </c>
      <c r="C3125" s="5" t="s">
        <v>17</v>
      </c>
      <c r="D3125" s="5" t="s">
        <v>18</v>
      </c>
      <c r="E3125" s="5" t="s">
        <v>729</v>
      </c>
      <c r="F3125" s="9">
        <v>61</v>
      </c>
      <c r="G3125" s="9">
        <v>655</v>
      </c>
      <c r="H3125" s="5" t="s">
        <v>20</v>
      </c>
      <c r="I3125" s="5" t="s">
        <v>7440</v>
      </c>
      <c r="J3125" s="12" t="str">
        <f>HYPERLINK("https://www.boe.es/gazeta/dias/1805/07/30/pdfs/GMD-1805-61.pdf#page=7","Abrir facsímil")</f>
        <v>Abrir facsímil</v>
      </c>
      <c r="K3125" s="15" t="s">
        <v>22</v>
      </c>
    </row>
    <row r="3126" spans="1:11" ht="42" customHeight="1">
      <c r="A3126" s="4" t="s">
        <v>7441</v>
      </c>
      <c r="B3126" s="5" t="s">
        <v>7441</v>
      </c>
      <c r="C3126" s="5" t="s">
        <v>85</v>
      </c>
      <c r="D3126" s="5" t="s">
        <v>86</v>
      </c>
      <c r="E3126" s="5" t="s">
        <v>711</v>
      </c>
      <c r="F3126" s="9">
        <v>63</v>
      </c>
      <c r="G3126" s="9">
        <v>674</v>
      </c>
      <c r="H3126" s="5" t="s">
        <v>20</v>
      </c>
      <c r="I3126" s="5" t="s">
        <v>7442</v>
      </c>
      <c r="J3126" s="12" t="str">
        <f>HYPERLINK("https://www.boe.es/gazeta/dias/1805/08/06/pdfs/GMD-1805-63.pdf#page=10","Abrir facsímil")</f>
        <v>Abrir facsímil</v>
      </c>
      <c r="K3126" s="15" t="s">
        <v>22</v>
      </c>
    </row>
    <row r="3127" spans="1:11" ht="42" customHeight="1">
      <c r="A3127" s="4" t="s">
        <v>7443</v>
      </c>
      <c r="B3127" s="5" t="s">
        <v>7443</v>
      </c>
      <c r="C3127" s="5" t="s">
        <v>35</v>
      </c>
      <c r="D3127" s="5" t="s">
        <v>36</v>
      </c>
      <c r="E3127" s="5" t="s">
        <v>495</v>
      </c>
      <c r="F3127" s="9">
        <v>103</v>
      </c>
      <c r="G3127" s="9">
        <v>1115</v>
      </c>
      <c r="H3127" s="5" t="s">
        <v>20</v>
      </c>
      <c r="I3127" s="5" t="s">
        <v>7444</v>
      </c>
      <c r="J3127" s="12" t="str">
        <f>HYPERLINK("https://www.boe.es/gazeta/dias/1805/12/24/pdfs/GMD-1805-103.pdf#page=7","Abrir facsímil")</f>
        <v>Abrir facsímil</v>
      </c>
      <c r="K3127" s="15" t="s">
        <v>22</v>
      </c>
    </row>
    <row r="3128" spans="1:11" ht="42" customHeight="1">
      <c r="A3128" s="4" t="s">
        <v>7445</v>
      </c>
      <c r="B3128" s="5" t="s">
        <v>7445</v>
      </c>
      <c r="C3128" s="5" t="s">
        <v>17</v>
      </c>
      <c r="D3128" s="5" t="s">
        <v>18</v>
      </c>
      <c r="E3128" s="5" t="s">
        <v>138</v>
      </c>
      <c r="F3128" s="9">
        <v>102</v>
      </c>
      <c r="G3128" s="9">
        <v>1104</v>
      </c>
      <c r="H3128" s="5" t="s">
        <v>20</v>
      </c>
      <c r="I3128" s="5" t="s">
        <v>7446</v>
      </c>
      <c r="J3128" s="12" t="str">
        <f>HYPERLINK("https://www.boe.es/gazeta/dias/1805/12/20/pdfs/GMD-1805-102.pdf#page=8","Abrir facsímil")</f>
        <v>Abrir facsímil</v>
      </c>
      <c r="K3128" s="15" t="s">
        <v>22</v>
      </c>
    </row>
    <row r="3129" spans="1:11" ht="42" customHeight="1">
      <c r="A3129" s="4" t="s">
        <v>7447</v>
      </c>
      <c r="B3129" s="5" t="s">
        <v>7447</v>
      </c>
      <c r="C3129" s="5" t="s">
        <v>85</v>
      </c>
      <c r="D3129" s="5" t="s">
        <v>86</v>
      </c>
      <c r="E3129" s="5" t="s">
        <v>27</v>
      </c>
      <c r="F3129" s="9">
        <v>37</v>
      </c>
      <c r="G3129" s="9">
        <v>403</v>
      </c>
      <c r="H3129" s="5" t="s">
        <v>20</v>
      </c>
      <c r="I3129" s="5" t="s">
        <v>7448</v>
      </c>
      <c r="J3129" s="12" t="str">
        <f>HYPERLINK("https://www.boe.es/gazeta/dias/1805/05/07/pdfs/GMD-1805-37.pdf#page=11","Abrir facsímil")</f>
        <v>Abrir facsímil</v>
      </c>
      <c r="K3129" s="15" t="s">
        <v>22</v>
      </c>
    </row>
    <row r="3130" spans="1:11" ht="42" customHeight="1">
      <c r="A3130" s="4" t="s">
        <v>7449</v>
      </c>
      <c r="B3130" s="5" t="s">
        <v>7449</v>
      </c>
      <c r="C3130" s="5" t="s">
        <v>85</v>
      </c>
      <c r="D3130" s="5" t="s">
        <v>86</v>
      </c>
      <c r="E3130" s="5" t="s">
        <v>495</v>
      </c>
      <c r="F3130" s="9">
        <v>103</v>
      </c>
      <c r="G3130" s="9">
        <v>1113</v>
      </c>
      <c r="H3130" s="5" t="s">
        <v>20</v>
      </c>
      <c r="I3130" s="5" t="s">
        <v>7450</v>
      </c>
      <c r="J3130" s="12" t="str">
        <f>HYPERLINK("https://www.boe.es/gazeta/dias/1805/12/24/pdfs/GMD-1805-103.pdf#page=5","Abrir facsímil")</f>
        <v>Abrir facsímil</v>
      </c>
      <c r="K3130" s="15" t="s">
        <v>22</v>
      </c>
    </row>
    <row r="3131" spans="1:11" ht="42" customHeight="1">
      <c r="A3131" s="4" t="s">
        <v>7451</v>
      </c>
      <c r="B3131" s="5" t="s">
        <v>7451</v>
      </c>
      <c r="C3131" s="5" t="s">
        <v>17</v>
      </c>
      <c r="D3131" s="5" t="s">
        <v>18</v>
      </c>
      <c r="E3131" s="5" t="s">
        <v>114</v>
      </c>
      <c r="F3131" s="9">
        <v>17</v>
      </c>
      <c r="G3131" s="9">
        <v>177</v>
      </c>
      <c r="H3131" s="5" t="s">
        <v>20</v>
      </c>
      <c r="I3131" s="5" t="s">
        <v>7452</v>
      </c>
      <c r="J3131" s="12" t="str">
        <f>HYPERLINK("https://www.boe.es/gazeta/dias/1805/02/26/pdfs/GMD-1805-17.pdf#page=9","Abrir facsímil")</f>
        <v>Abrir facsímil</v>
      </c>
      <c r="K3131" s="15" t="s">
        <v>22</v>
      </c>
    </row>
    <row r="3132" spans="1:11" ht="42" customHeight="1">
      <c r="A3132" s="4" t="s">
        <v>7453</v>
      </c>
      <c r="B3132" s="5" t="s">
        <v>7453</v>
      </c>
      <c r="C3132" s="5" t="s">
        <v>85</v>
      </c>
      <c r="D3132" s="5" t="s">
        <v>86</v>
      </c>
      <c r="E3132" s="5" t="s">
        <v>539</v>
      </c>
      <c r="F3132" s="9">
        <v>97</v>
      </c>
      <c r="G3132" s="9">
        <v>1045</v>
      </c>
      <c r="H3132" s="5" t="s">
        <v>20</v>
      </c>
      <c r="I3132" s="5" t="s">
        <v>7454</v>
      </c>
      <c r="J3132" s="12" t="str">
        <f>HYPERLINK("https://www.boe.es/gazeta/dias/1805/12/03/pdfs/GMD-1805-97.pdf#page=9","Abrir facsímil")</f>
        <v>Abrir facsímil</v>
      </c>
      <c r="K3132" s="15" t="s">
        <v>22</v>
      </c>
    </row>
    <row r="3133" spans="1:11" ht="42" customHeight="1">
      <c r="A3133" s="4" t="s">
        <v>7455</v>
      </c>
      <c r="B3133" s="5" t="s">
        <v>7455</v>
      </c>
      <c r="C3133" s="5" t="s">
        <v>35</v>
      </c>
      <c r="D3133" s="5" t="s">
        <v>36</v>
      </c>
      <c r="E3133" s="5" t="s">
        <v>552</v>
      </c>
      <c r="F3133" s="9">
        <v>94</v>
      </c>
      <c r="G3133" s="9">
        <v>1008</v>
      </c>
      <c r="H3133" s="5" t="s">
        <v>20</v>
      </c>
      <c r="I3133" s="5" t="s">
        <v>7456</v>
      </c>
      <c r="J3133" s="12" t="str">
        <f>HYPERLINK("https://www.boe.es/gazeta/dias/1805/11/22/pdfs/GMD-1805-94.pdf#page=8","Abrir facsímil")</f>
        <v>Abrir facsímil</v>
      </c>
      <c r="K3133" s="15" t="s">
        <v>22</v>
      </c>
    </row>
    <row r="3134" spans="1:11" ht="42" customHeight="1">
      <c r="A3134" s="4" t="s">
        <v>7457</v>
      </c>
      <c r="B3134" s="5" t="s">
        <v>7457</v>
      </c>
      <c r="C3134" s="5" t="s">
        <v>85</v>
      </c>
      <c r="D3134" s="5" t="s">
        <v>86</v>
      </c>
      <c r="E3134" s="5" t="s">
        <v>1292</v>
      </c>
      <c r="F3134" s="9">
        <v>43</v>
      </c>
      <c r="G3134" s="9">
        <v>462</v>
      </c>
      <c r="H3134" s="5" t="s">
        <v>20</v>
      </c>
      <c r="I3134" s="5" t="s">
        <v>7458</v>
      </c>
      <c r="J3134" s="12" t="str">
        <f>HYPERLINK("https://www.boe.es/gazeta/dias/1805/05/28/pdfs/GMD-1805-43.pdf#page=6","Abrir facsímil")</f>
        <v>Abrir facsímil</v>
      </c>
      <c r="K3134" s="15" t="s">
        <v>22</v>
      </c>
    </row>
    <row r="3135" spans="1:11" ht="42" customHeight="1">
      <c r="A3135" s="4" t="s">
        <v>7459</v>
      </c>
      <c r="B3135" s="5" t="s">
        <v>7459</v>
      </c>
      <c r="C3135" s="5" t="s">
        <v>35</v>
      </c>
      <c r="D3135" s="5" t="s">
        <v>36</v>
      </c>
      <c r="E3135" s="5" t="s">
        <v>188</v>
      </c>
      <c r="F3135" s="9">
        <v>68</v>
      </c>
      <c r="G3135" s="9">
        <v>729</v>
      </c>
      <c r="H3135" s="5" t="s">
        <v>20</v>
      </c>
      <c r="I3135" s="5" t="s">
        <v>7460</v>
      </c>
      <c r="J3135" s="12" t="str">
        <f>HYPERLINK("https://www.boe.es/gazeta/dias/1805/08/23/pdfs/GMD-1805-68.pdf#page=9","Abrir facsímil")</f>
        <v>Abrir facsímil</v>
      </c>
      <c r="K3135" s="15" t="s">
        <v>22</v>
      </c>
    </row>
    <row r="3136" spans="1:11" ht="42" customHeight="1">
      <c r="A3136" s="4" t="s">
        <v>7461</v>
      </c>
      <c r="B3136" s="5" t="s">
        <v>7461</v>
      </c>
      <c r="C3136" s="5" t="s">
        <v>35</v>
      </c>
      <c r="D3136" s="5" t="s">
        <v>36</v>
      </c>
      <c r="E3136" s="5" t="s">
        <v>1292</v>
      </c>
      <c r="F3136" s="9">
        <v>43</v>
      </c>
      <c r="G3136" s="9">
        <v>462</v>
      </c>
      <c r="H3136" s="5" t="s">
        <v>20</v>
      </c>
      <c r="I3136" s="5" t="s">
        <v>7462</v>
      </c>
      <c r="J3136" s="12" t="str">
        <f>HYPERLINK("https://www.boe.es/gazeta/dias/1805/05/28/pdfs/GMD-1805-43.pdf#page=6","Abrir facsímil")</f>
        <v>Abrir facsímil</v>
      </c>
      <c r="K3136" s="15" t="s">
        <v>22</v>
      </c>
    </row>
    <row r="3137" spans="1:11" ht="42" customHeight="1">
      <c r="A3137" s="4" t="s">
        <v>7463</v>
      </c>
      <c r="B3137" s="5" t="s">
        <v>7463</v>
      </c>
      <c r="C3137" s="5" t="s">
        <v>85</v>
      </c>
      <c r="D3137" s="5" t="s">
        <v>86</v>
      </c>
      <c r="E3137" s="5" t="s">
        <v>112</v>
      </c>
      <c r="F3137" s="9">
        <v>16</v>
      </c>
      <c r="G3137" s="9">
        <v>166</v>
      </c>
      <c r="H3137" s="5" t="s">
        <v>20</v>
      </c>
      <c r="I3137" s="5" t="s">
        <v>7464</v>
      </c>
      <c r="J3137" s="12" t="str">
        <f>HYPERLINK("https://www.boe.es/gazeta/dias/1805/02/22/pdfs/GMD-1805-16.pdf#page=6","Abrir facsímil")</f>
        <v>Abrir facsímil</v>
      </c>
      <c r="K3137" s="15" t="s">
        <v>22</v>
      </c>
    </row>
    <row r="3138" spans="1:11" ht="42" customHeight="1">
      <c r="A3138" s="4" t="s">
        <v>7463</v>
      </c>
      <c r="B3138" s="5" t="s">
        <v>7463</v>
      </c>
      <c r="C3138" s="5" t="s">
        <v>17</v>
      </c>
      <c r="D3138" s="5" t="s">
        <v>18</v>
      </c>
      <c r="E3138" s="5" t="s">
        <v>393</v>
      </c>
      <c r="F3138" s="9">
        <v>44</v>
      </c>
      <c r="G3138" s="9">
        <v>474</v>
      </c>
      <c r="H3138" s="5" t="s">
        <v>20</v>
      </c>
      <c r="I3138" s="5" t="s">
        <v>7465</v>
      </c>
      <c r="J3138" s="12" t="str">
        <f>HYPERLINK("https://www.boe.es/gazeta/dias/1805/05/31/pdfs/GMD-1805-44.pdf#page=10","Abrir facsímil")</f>
        <v>Abrir facsímil</v>
      </c>
      <c r="K3138" s="15" t="s">
        <v>22</v>
      </c>
    </row>
    <row r="3139" spans="1:11" ht="42" customHeight="1">
      <c r="A3139" s="4" t="s">
        <v>7463</v>
      </c>
      <c r="B3139" s="5" t="s">
        <v>7463</v>
      </c>
      <c r="C3139" s="5" t="s">
        <v>17</v>
      </c>
      <c r="D3139" s="5" t="s">
        <v>18</v>
      </c>
      <c r="E3139" s="5" t="s">
        <v>585</v>
      </c>
      <c r="F3139" s="9">
        <v>64</v>
      </c>
      <c r="G3139" s="9">
        <v>684</v>
      </c>
      <c r="H3139" s="5" t="s">
        <v>20</v>
      </c>
      <c r="I3139" s="5" t="s">
        <v>7466</v>
      </c>
      <c r="J3139" s="12" t="str">
        <f>HYPERLINK("https://www.boe.es/gazeta/dias/1805/08/09/pdfs/GMD-1805-64.pdf#page=8","Abrir facsímil")</f>
        <v>Abrir facsímil</v>
      </c>
      <c r="K3139" s="15" t="s">
        <v>22</v>
      </c>
    </row>
    <row r="3140" spans="1:11" ht="42" customHeight="1">
      <c r="A3140" s="4" t="s">
        <v>7463</v>
      </c>
      <c r="B3140" s="5" t="s">
        <v>7463</v>
      </c>
      <c r="C3140" s="5" t="s">
        <v>17</v>
      </c>
      <c r="D3140" s="5" t="s">
        <v>18</v>
      </c>
      <c r="E3140" s="5" t="s">
        <v>585</v>
      </c>
      <c r="F3140" s="9">
        <v>64</v>
      </c>
      <c r="G3140" s="9">
        <v>685</v>
      </c>
      <c r="H3140" s="5" t="s">
        <v>20</v>
      </c>
      <c r="I3140" s="5" t="s">
        <v>7467</v>
      </c>
      <c r="J3140" s="12" t="str">
        <f>HYPERLINK("https://www.boe.es/gazeta/dias/1805/08/09/pdfs/GMD-1805-64.pdf#page=9","Abrir facsímil")</f>
        <v>Abrir facsímil</v>
      </c>
      <c r="K3140" s="15" t="s">
        <v>22</v>
      </c>
    </row>
    <row r="3141" spans="1:11" ht="42" customHeight="1">
      <c r="A3141" s="4" t="s">
        <v>7468</v>
      </c>
      <c r="B3141" s="5" t="s">
        <v>7468</v>
      </c>
      <c r="C3141" s="5" t="s">
        <v>184</v>
      </c>
      <c r="D3141" s="5" t="s">
        <v>86</v>
      </c>
      <c r="E3141" s="5" t="s">
        <v>512</v>
      </c>
      <c r="F3141" s="9">
        <v>100</v>
      </c>
      <c r="G3141" s="9">
        <v>1081</v>
      </c>
      <c r="H3141" s="5" t="s">
        <v>20</v>
      </c>
      <c r="I3141" s="5" t="s">
        <v>7469</v>
      </c>
      <c r="J3141" s="12" t="str">
        <f>HYPERLINK("https://www.boe.es/gazeta/dias/1805/12/13/pdfs/GMD-1805-100.pdf#page=9","Abrir facsímil")</f>
        <v>Abrir facsímil</v>
      </c>
      <c r="K3141" s="15" t="s">
        <v>22</v>
      </c>
    </row>
    <row r="3142" spans="1:11" ht="42" customHeight="1">
      <c r="A3142" s="4" t="s">
        <v>7470</v>
      </c>
      <c r="B3142" s="5" t="s">
        <v>7470</v>
      </c>
      <c r="C3142" s="5" t="s">
        <v>184</v>
      </c>
      <c r="D3142" s="5" t="s">
        <v>86</v>
      </c>
      <c r="E3142" s="5" t="s">
        <v>733</v>
      </c>
      <c r="F3142" s="9">
        <v>45</v>
      </c>
      <c r="G3142" s="9">
        <v>487</v>
      </c>
      <c r="H3142" s="5" t="s">
        <v>20</v>
      </c>
      <c r="I3142" s="5" t="s">
        <v>7471</v>
      </c>
      <c r="J3142" s="12" t="str">
        <f>HYPERLINK("https://www.boe.es/gazeta/dias/1805/06/04/pdfs/GMD-1805-45.pdf#page=11","Abrir facsímil")</f>
        <v>Abrir facsímil</v>
      </c>
      <c r="K3142" s="15" t="s">
        <v>22</v>
      </c>
    </row>
    <row r="3143" spans="1:11" ht="42" customHeight="1">
      <c r="A3143" s="4" t="s">
        <v>7472</v>
      </c>
      <c r="B3143" s="5" t="s">
        <v>7472</v>
      </c>
      <c r="C3143" s="5" t="s">
        <v>35</v>
      </c>
      <c r="D3143" s="5" t="s">
        <v>36</v>
      </c>
      <c r="E3143" s="5" t="s">
        <v>273</v>
      </c>
      <c r="F3143" s="9">
        <v>8</v>
      </c>
      <c r="G3143" s="9">
        <v>88</v>
      </c>
      <c r="H3143" s="5" t="s">
        <v>20</v>
      </c>
      <c r="I3143" s="5" t="s">
        <v>7473</v>
      </c>
      <c r="J3143" s="12" t="str">
        <f>HYPERLINK("https://www.boe.es/gazeta/dias/1805/01/25/pdfs/GMD-1805-8.pdf#page=8","Abrir facsímil")</f>
        <v>Abrir facsímil</v>
      </c>
      <c r="K3143" s="15" t="s">
        <v>22</v>
      </c>
    </row>
    <row r="3144" spans="1:11" ht="42" customHeight="1">
      <c r="A3144" s="4" t="s">
        <v>7474</v>
      </c>
      <c r="B3144" s="5" t="s">
        <v>7474</v>
      </c>
      <c r="C3144" s="5" t="s">
        <v>85</v>
      </c>
      <c r="D3144" s="5" t="s">
        <v>86</v>
      </c>
      <c r="E3144" s="5" t="s">
        <v>495</v>
      </c>
      <c r="F3144" s="9">
        <v>103</v>
      </c>
      <c r="G3144" s="9">
        <v>1113</v>
      </c>
      <c r="H3144" s="5" t="s">
        <v>20</v>
      </c>
      <c r="I3144" s="5" t="s">
        <v>7475</v>
      </c>
      <c r="J3144" s="12" t="str">
        <f>HYPERLINK("https://www.boe.es/gazeta/dias/1805/12/24/pdfs/GMD-1805-103.pdf#page=5","Abrir facsímil")</f>
        <v>Abrir facsímil</v>
      </c>
      <c r="K3144" s="15" t="s">
        <v>22</v>
      </c>
    </row>
    <row r="3145" spans="1:11" ht="42" customHeight="1">
      <c r="A3145" s="4" t="s">
        <v>7476</v>
      </c>
      <c r="B3145" s="5" t="s">
        <v>7476</v>
      </c>
      <c r="C3145" s="5" t="s">
        <v>35</v>
      </c>
      <c r="D3145" s="5" t="s">
        <v>36</v>
      </c>
      <c r="E3145" s="5" t="s">
        <v>426</v>
      </c>
      <c r="F3145" s="9">
        <v>75</v>
      </c>
      <c r="G3145" s="9">
        <v>799</v>
      </c>
      <c r="H3145" s="5" t="s">
        <v>20</v>
      </c>
      <c r="I3145" s="5" t="s">
        <v>7477</v>
      </c>
      <c r="J3145" s="12" t="str">
        <f>HYPERLINK("https://www.boe.es/gazeta/dias/1805/09/17/pdfs/GMD-1805-75.pdf#page=11","Abrir facsímil")</f>
        <v>Abrir facsímil</v>
      </c>
      <c r="K3145" s="15" t="s">
        <v>22</v>
      </c>
    </row>
    <row r="3146" spans="1:11" ht="42" customHeight="1">
      <c r="A3146" s="4" t="s">
        <v>7478</v>
      </c>
      <c r="B3146" s="5" t="s">
        <v>7478</v>
      </c>
      <c r="C3146" s="5" t="s">
        <v>184</v>
      </c>
      <c r="D3146" s="5" t="s">
        <v>86</v>
      </c>
      <c r="E3146" s="5" t="s">
        <v>886</v>
      </c>
      <c r="F3146" s="9">
        <v>93</v>
      </c>
      <c r="G3146" s="9">
        <v>1000</v>
      </c>
      <c r="H3146" s="5" t="s">
        <v>20</v>
      </c>
      <c r="I3146" s="5" t="s">
        <v>7479</v>
      </c>
      <c r="J3146" s="12" t="str">
        <f>HYPERLINK("https://www.boe.es/gazeta/dias/1805/11/19/pdfs/GMD-1805-93.pdf#page=12","Abrir facsímil")</f>
        <v>Abrir facsímil</v>
      </c>
      <c r="K3146" s="15" t="s">
        <v>22</v>
      </c>
    </row>
    <row r="3147" spans="1:11" ht="42" customHeight="1">
      <c r="A3147" s="4" t="s">
        <v>7480</v>
      </c>
      <c r="B3147" s="5" t="s">
        <v>7480</v>
      </c>
      <c r="C3147" s="5" t="s">
        <v>184</v>
      </c>
      <c r="D3147" s="5" t="s">
        <v>86</v>
      </c>
      <c r="E3147" s="5" t="s">
        <v>958</v>
      </c>
      <c r="F3147" s="9">
        <v>58</v>
      </c>
      <c r="G3147" s="9">
        <v>622</v>
      </c>
      <c r="H3147" s="5" t="s">
        <v>20</v>
      </c>
      <c r="I3147" s="5" t="s">
        <v>7481</v>
      </c>
      <c r="J3147" s="12" t="str">
        <f>HYPERLINK("https://www.boe.es/gazeta/dias/1805/07/19/pdfs/GMD-1805-58.pdf#page=6","Abrir facsímil")</f>
        <v>Abrir facsímil</v>
      </c>
      <c r="K3147" s="15" t="s">
        <v>22</v>
      </c>
    </row>
    <row r="3148" spans="1:11" ht="42" customHeight="1">
      <c r="A3148" s="4" t="s">
        <v>7482</v>
      </c>
      <c r="B3148" s="5" t="s">
        <v>7482</v>
      </c>
      <c r="C3148" s="5" t="s">
        <v>35</v>
      </c>
      <c r="D3148" s="5" t="s">
        <v>36</v>
      </c>
      <c r="E3148" s="5" t="s">
        <v>44</v>
      </c>
      <c r="F3148" s="9">
        <v>29</v>
      </c>
      <c r="G3148" s="9">
        <v>313</v>
      </c>
      <c r="H3148" s="5" t="s">
        <v>20</v>
      </c>
      <c r="I3148" s="5" t="s">
        <v>7483</v>
      </c>
      <c r="J3148" s="12" t="str">
        <f>HYPERLINK("https://www.boe.es/gazeta/dias/1805/04/09/pdfs/GMD-1805-29.pdf#page=9","Abrir facsímil")</f>
        <v>Abrir facsímil</v>
      </c>
      <c r="K3148" s="15" t="s">
        <v>22</v>
      </c>
    </row>
    <row r="3149" spans="1:11" ht="42" customHeight="1">
      <c r="A3149" s="4" t="s">
        <v>7484</v>
      </c>
      <c r="B3149" s="5" t="s">
        <v>7484</v>
      </c>
      <c r="C3149" s="5" t="s">
        <v>52</v>
      </c>
      <c r="D3149" s="5" t="s">
        <v>53</v>
      </c>
      <c r="E3149" s="5" t="s">
        <v>54</v>
      </c>
      <c r="F3149" s="9">
        <v>99</v>
      </c>
      <c r="G3149" s="9" t="s">
        <v>222</v>
      </c>
      <c r="H3149" s="5" t="s">
        <v>20</v>
      </c>
      <c r="I3149" s="5" t="s">
        <v>7485</v>
      </c>
      <c r="J3149" s="12" t="str">
        <f>HYPERLINK("https://www.boe.es/gazeta/dias/1805/12/10/pdfs/GMD-C-1805-99.pdf#page=1","Abrir facsímil")</f>
        <v>Abrir facsímil</v>
      </c>
      <c r="K3149" s="15" t="s">
        <v>22</v>
      </c>
    </row>
    <row r="3150" spans="1:11" ht="42" customHeight="1">
      <c r="A3150" s="4" t="s">
        <v>7486</v>
      </c>
      <c r="B3150" s="5" t="s">
        <v>7486</v>
      </c>
      <c r="C3150" s="5" t="s">
        <v>35</v>
      </c>
      <c r="D3150" s="5" t="s">
        <v>36</v>
      </c>
      <c r="E3150" s="5" t="s">
        <v>303</v>
      </c>
      <c r="F3150" s="9">
        <v>57</v>
      </c>
      <c r="G3150" s="9">
        <v>611</v>
      </c>
      <c r="H3150" s="5" t="s">
        <v>20</v>
      </c>
      <c r="I3150" s="5" t="s">
        <v>7487</v>
      </c>
      <c r="J3150" s="12" t="str">
        <f>HYPERLINK("https://www.boe.es/gazeta/dias/1805/07/16/pdfs/GMD-1805-57.pdf#page=7","Abrir facsímil")</f>
        <v>Abrir facsímil</v>
      </c>
      <c r="K3150" s="15" t="s">
        <v>22</v>
      </c>
    </row>
    <row r="3151" spans="1:11" ht="42" customHeight="1">
      <c r="A3151" s="4" t="s">
        <v>7488</v>
      </c>
      <c r="B3151" s="5" t="s">
        <v>7488</v>
      </c>
      <c r="C3151" s="5" t="s">
        <v>35</v>
      </c>
      <c r="D3151" s="5" t="s">
        <v>36</v>
      </c>
      <c r="E3151" s="5" t="s">
        <v>296</v>
      </c>
      <c r="F3151" s="9">
        <v>26</v>
      </c>
      <c r="G3151" s="9">
        <v>277</v>
      </c>
      <c r="H3151" s="5" t="s">
        <v>20</v>
      </c>
      <c r="I3151" s="5" t="s">
        <v>7489</v>
      </c>
      <c r="J3151" s="12" t="str">
        <f>HYPERLINK("https://www.boe.es/gazeta/dias/1805/03/29/pdfs/GMD-1805-26.pdf#page=9","Abrir facsímil")</f>
        <v>Abrir facsímil</v>
      </c>
      <c r="K3151" s="15" t="s">
        <v>22</v>
      </c>
    </row>
    <row r="3152" spans="1:11" ht="42" customHeight="1">
      <c r="A3152" s="4" t="s">
        <v>7490</v>
      </c>
      <c r="B3152" s="5" t="s">
        <v>7490</v>
      </c>
      <c r="C3152" s="5" t="s">
        <v>35</v>
      </c>
      <c r="D3152" s="5" t="s">
        <v>36</v>
      </c>
      <c r="E3152" s="5" t="s">
        <v>506</v>
      </c>
      <c r="F3152" s="9">
        <v>80</v>
      </c>
      <c r="G3152" s="9">
        <v>850</v>
      </c>
      <c r="H3152" s="5" t="s">
        <v>20</v>
      </c>
      <c r="I3152" s="5" t="s">
        <v>7491</v>
      </c>
      <c r="J3152" s="12" t="str">
        <f>HYPERLINK("https://www.boe.es/gazeta/dias/1805/10/04/pdfs/GMD-1805-80.pdf#page=10","Abrir facsímil")</f>
        <v>Abrir facsímil</v>
      </c>
      <c r="K3152" s="15" t="s">
        <v>22</v>
      </c>
    </row>
    <row r="3153" spans="1:11" ht="42" customHeight="1">
      <c r="A3153" s="4" t="s">
        <v>7492</v>
      </c>
      <c r="B3153" s="5" t="s">
        <v>7492</v>
      </c>
      <c r="C3153" s="5" t="s">
        <v>17</v>
      </c>
      <c r="D3153" s="5" t="s">
        <v>18</v>
      </c>
      <c r="E3153" s="5" t="s">
        <v>281</v>
      </c>
      <c r="F3153" s="9">
        <v>15</v>
      </c>
      <c r="G3153" s="9">
        <v>156</v>
      </c>
      <c r="H3153" s="5" t="s">
        <v>20</v>
      </c>
      <c r="I3153" s="5" t="s">
        <v>7493</v>
      </c>
      <c r="J3153" s="12" t="str">
        <f>HYPERLINK("https://www.boe.es/gazeta/dias/1805/02/19/pdfs/GMD-1805-15.pdf#page=8","Abrir facsímil")</f>
        <v>Abrir facsímil</v>
      </c>
      <c r="K3153" s="15" t="s">
        <v>22</v>
      </c>
    </row>
    <row r="3154" spans="1:11" ht="42" customHeight="1">
      <c r="A3154" s="4" t="s">
        <v>7494</v>
      </c>
      <c r="B3154" s="5" t="s">
        <v>7494</v>
      </c>
      <c r="C3154" s="5" t="s">
        <v>85</v>
      </c>
      <c r="D3154" s="5" t="s">
        <v>86</v>
      </c>
      <c r="E3154" s="5" t="s">
        <v>48</v>
      </c>
      <c r="F3154" s="9">
        <v>35</v>
      </c>
      <c r="G3154" s="9">
        <v>378</v>
      </c>
      <c r="H3154" s="5" t="s">
        <v>20</v>
      </c>
      <c r="I3154" s="5" t="s">
        <v>7495</v>
      </c>
      <c r="J3154" s="12" t="str">
        <f>HYPERLINK("https://www.boe.es/gazeta/dias/1805/04/30/pdfs/GMD-1805-35.pdf#page=10","Abrir facsímil")</f>
        <v>Abrir facsímil</v>
      </c>
      <c r="K3154" s="15" t="s">
        <v>22</v>
      </c>
    </row>
    <row r="3155" spans="1:11" ht="42" customHeight="1">
      <c r="A3155" s="4" t="s">
        <v>7496</v>
      </c>
      <c r="B3155" s="5" t="s">
        <v>7496</v>
      </c>
      <c r="C3155" s="5" t="s">
        <v>85</v>
      </c>
      <c r="D3155" s="5" t="s">
        <v>86</v>
      </c>
      <c r="E3155" s="5" t="s">
        <v>40</v>
      </c>
      <c r="F3155" s="9">
        <v>59</v>
      </c>
      <c r="G3155" s="9">
        <v>630</v>
      </c>
      <c r="H3155" s="5" t="s">
        <v>20</v>
      </c>
      <c r="I3155" s="5" t="s">
        <v>7497</v>
      </c>
      <c r="J3155" s="12" t="str">
        <f>HYPERLINK("https://www.boe.es/gazeta/dias/1805/07/23/pdfs/GMD-1805-59.pdf#page=6","Abrir facsímil")</f>
        <v>Abrir facsímil</v>
      </c>
      <c r="K3155" s="15" t="s">
        <v>22</v>
      </c>
    </row>
    <row r="3156" spans="1:11" ht="42" customHeight="1">
      <c r="A3156" s="4" t="s">
        <v>7498</v>
      </c>
      <c r="B3156" s="5" t="s">
        <v>7498</v>
      </c>
      <c r="C3156" s="5" t="s">
        <v>35</v>
      </c>
      <c r="D3156" s="5" t="s">
        <v>36</v>
      </c>
      <c r="E3156" s="5" t="s">
        <v>95</v>
      </c>
      <c r="F3156" s="9">
        <v>13</v>
      </c>
      <c r="G3156" s="9">
        <v>139</v>
      </c>
      <c r="H3156" s="5" t="s">
        <v>20</v>
      </c>
      <c r="I3156" s="5" t="s">
        <v>7499</v>
      </c>
      <c r="J3156" s="12" t="str">
        <f>HYPERLINK("https://www.boe.es/gazeta/dias/1805/02/12/pdfs/GMD-1805-13.pdf#page=7","Abrir facsímil")</f>
        <v>Abrir facsímil</v>
      </c>
      <c r="K3156" s="15" t="s">
        <v>22</v>
      </c>
    </row>
    <row r="3157" spans="1:11" ht="42" customHeight="1">
      <c r="A3157" s="4" t="s">
        <v>7500</v>
      </c>
      <c r="B3157" s="5" t="s">
        <v>7500</v>
      </c>
      <c r="C3157" s="5" t="s">
        <v>85</v>
      </c>
      <c r="D3157" s="5" t="s">
        <v>86</v>
      </c>
      <c r="E3157" s="5" t="s">
        <v>1445</v>
      </c>
      <c r="F3157" s="9">
        <v>6</v>
      </c>
      <c r="G3157" s="9">
        <v>66</v>
      </c>
      <c r="H3157" s="5" t="s">
        <v>20</v>
      </c>
      <c r="I3157" s="5" t="s">
        <v>7501</v>
      </c>
      <c r="J3157" s="12" t="str">
        <f>HYPERLINK("https://www.boe.es/gazeta/dias/1805/01/18/pdfs/GMD-1805-6.pdf#page=10","Abrir facsímil")</f>
        <v>Abrir facsímil</v>
      </c>
      <c r="K3157" s="15" t="s">
        <v>22</v>
      </c>
    </row>
    <row r="3158" spans="1:11" ht="42" customHeight="1">
      <c r="A3158" s="4" t="s">
        <v>7502</v>
      </c>
      <c r="B3158" s="5" t="s">
        <v>7502</v>
      </c>
      <c r="C3158" s="5" t="s">
        <v>17</v>
      </c>
      <c r="D3158" s="5" t="s">
        <v>18</v>
      </c>
      <c r="E3158" s="5" t="s">
        <v>261</v>
      </c>
      <c r="F3158" s="9">
        <v>18</v>
      </c>
      <c r="G3158" s="9">
        <v>186</v>
      </c>
      <c r="H3158" s="5" t="s">
        <v>20</v>
      </c>
      <c r="I3158" s="5" t="s">
        <v>7503</v>
      </c>
      <c r="J3158" s="12" t="str">
        <f>HYPERLINK("https://www.boe.es/gazeta/dias/1805/03/01/pdfs/GMD-1805-18.pdf#page=6","Abrir facsímil")</f>
        <v>Abrir facsímil</v>
      </c>
      <c r="K3158" s="15" t="s">
        <v>22</v>
      </c>
    </row>
    <row r="3159" spans="1:11" ht="42" customHeight="1">
      <c r="A3159" s="4" t="s">
        <v>7504</v>
      </c>
      <c r="B3159" s="5" t="s">
        <v>7504</v>
      </c>
      <c r="C3159" s="5" t="s">
        <v>17</v>
      </c>
      <c r="D3159" s="5" t="s">
        <v>18</v>
      </c>
      <c r="E3159" s="5" t="s">
        <v>276</v>
      </c>
      <c r="F3159" s="9">
        <v>51</v>
      </c>
      <c r="G3159" s="9">
        <v>551</v>
      </c>
      <c r="H3159" s="5" t="s">
        <v>20</v>
      </c>
      <c r="I3159" s="5" t="s">
        <v>7505</v>
      </c>
      <c r="J3159" s="12" t="str">
        <f>HYPERLINK("https://www.boe.es/gazeta/dias/1805/06/25/pdfs/GMD-1805-51.pdf#page=7","Abrir facsímil")</f>
        <v>Abrir facsímil</v>
      </c>
      <c r="K3159" s="15" t="s">
        <v>22</v>
      </c>
    </row>
    <row r="3160" spans="1:11" ht="42" customHeight="1">
      <c r="A3160" s="4" t="s">
        <v>7506</v>
      </c>
      <c r="B3160" s="5" t="s">
        <v>7506</v>
      </c>
      <c r="C3160" s="5" t="s">
        <v>35</v>
      </c>
      <c r="D3160" s="5" t="s">
        <v>36</v>
      </c>
      <c r="E3160" s="5" t="s">
        <v>170</v>
      </c>
      <c r="F3160" s="9">
        <v>9</v>
      </c>
      <c r="G3160" s="9">
        <v>99</v>
      </c>
      <c r="H3160" s="5" t="s">
        <v>20</v>
      </c>
      <c r="I3160" s="5" t="s">
        <v>7507</v>
      </c>
      <c r="J3160" s="12" t="str">
        <f>HYPERLINK("https://www.boe.es/gazeta/dias/1805/01/29/pdfs/GMD-1805-9.pdf#page=7","Abrir facsímil")</f>
        <v>Abrir facsímil</v>
      </c>
      <c r="K3160" s="15" t="s">
        <v>22</v>
      </c>
    </row>
    <row r="3161" spans="1:11" ht="42" customHeight="1">
      <c r="A3161" s="4" t="s">
        <v>7508</v>
      </c>
      <c r="B3161" s="5" t="s">
        <v>7508</v>
      </c>
      <c r="C3161" s="5" t="s">
        <v>85</v>
      </c>
      <c r="D3161" s="5" t="s">
        <v>86</v>
      </c>
      <c r="E3161" s="5" t="s">
        <v>188</v>
      </c>
      <c r="F3161" s="9">
        <v>68</v>
      </c>
      <c r="G3161" s="9">
        <v>729</v>
      </c>
      <c r="H3161" s="5" t="s">
        <v>20</v>
      </c>
      <c r="I3161" s="5" t="s">
        <v>7509</v>
      </c>
      <c r="J3161" s="12" t="str">
        <f>HYPERLINK("https://www.boe.es/gazeta/dias/1805/08/23/pdfs/GMD-1805-68.pdf#page=9","Abrir facsímil")</f>
        <v>Abrir facsímil</v>
      </c>
      <c r="K3161" s="15" t="s">
        <v>22</v>
      </c>
    </row>
    <row r="3162" spans="1:11" ht="42" customHeight="1">
      <c r="A3162" s="4" t="s">
        <v>7510</v>
      </c>
      <c r="B3162" s="5" t="s">
        <v>7510</v>
      </c>
      <c r="C3162" s="5" t="s">
        <v>85</v>
      </c>
      <c r="D3162" s="5" t="s">
        <v>86</v>
      </c>
      <c r="E3162" s="5" t="s">
        <v>135</v>
      </c>
      <c r="F3162" s="9">
        <v>71</v>
      </c>
      <c r="G3162" s="9">
        <v>757</v>
      </c>
      <c r="H3162" s="5" t="s">
        <v>20</v>
      </c>
      <c r="I3162" s="5" t="s">
        <v>7511</v>
      </c>
      <c r="J3162" s="12" t="str">
        <f>HYPERLINK("https://www.boe.es/gazeta/dias/1805/09/03/pdfs/GMD-1805-71.pdf#page=9","Abrir facsímil")</f>
        <v>Abrir facsímil</v>
      </c>
      <c r="K3162" s="15" t="s">
        <v>22</v>
      </c>
    </row>
    <row r="3163" spans="1:11" ht="42" customHeight="1">
      <c r="A3163" s="4" t="s">
        <v>7512</v>
      </c>
      <c r="B3163" s="5" t="s">
        <v>7512</v>
      </c>
      <c r="C3163" s="5" t="s">
        <v>29</v>
      </c>
      <c r="D3163" s="5" t="s">
        <v>30</v>
      </c>
      <c r="E3163" s="5" t="s">
        <v>399</v>
      </c>
      <c r="F3163" s="9">
        <v>39</v>
      </c>
      <c r="G3163" s="9">
        <v>415</v>
      </c>
      <c r="H3163" s="5" t="s">
        <v>20</v>
      </c>
      <c r="I3163" s="5" t="s">
        <v>7513</v>
      </c>
      <c r="J3163" s="12" t="str">
        <f>HYPERLINK("https://www.boe.es/gazeta/dias/1805/05/14/pdfs/GMD-1805-39.pdf#page=3","Abrir facsímil")</f>
        <v>Abrir facsímil</v>
      </c>
      <c r="K3163" s="15" t="s">
        <v>22</v>
      </c>
    </row>
    <row r="3164" spans="1:11" ht="42" customHeight="1">
      <c r="A3164" s="4" t="s">
        <v>7514</v>
      </c>
      <c r="B3164" s="5" t="s">
        <v>7515</v>
      </c>
      <c r="C3164" s="5" t="s">
        <v>85</v>
      </c>
      <c r="D3164" s="5" t="s">
        <v>86</v>
      </c>
      <c r="E3164" s="5" t="s">
        <v>300</v>
      </c>
      <c r="F3164" s="9">
        <v>81</v>
      </c>
      <c r="G3164" s="9">
        <v>859</v>
      </c>
      <c r="H3164" s="5" t="s">
        <v>20</v>
      </c>
      <c r="I3164" s="5" t="s">
        <v>7516</v>
      </c>
      <c r="J3164" s="12" t="str">
        <f>HYPERLINK("https://www.boe.es/gazeta/dias/1805/10/08/pdfs/GMD-1805-81.pdf#page=7","Abrir facsímil")</f>
        <v>Abrir facsímil</v>
      </c>
      <c r="K3164" s="15" t="s">
        <v>22</v>
      </c>
    </row>
    <row r="3165" spans="1:11" ht="42" customHeight="1">
      <c r="A3165" s="4" t="s">
        <v>7517</v>
      </c>
      <c r="B3165" s="5" t="s">
        <v>7517</v>
      </c>
      <c r="C3165" s="5" t="s">
        <v>35</v>
      </c>
      <c r="D3165" s="5" t="s">
        <v>36</v>
      </c>
      <c r="E3165" s="5" t="s">
        <v>48</v>
      </c>
      <c r="F3165" s="9">
        <v>35</v>
      </c>
      <c r="G3165" s="9">
        <v>378</v>
      </c>
      <c r="H3165" s="5" t="s">
        <v>20</v>
      </c>
      <c r="I3165" s="5" t="s">
        <v>7518</v>
      </c>
      <c r="J3165" s="12" t="str">
        <f>HYPERLINK("https://www.boe.es/gazeta/dias/1805/04/30/pdfs/GMD-1805-35.pdf#page=10","Abrir facsímil")</f>
        <v>Abrir facsímil</v>
      </c>
      <c r="K3165" s="15" t="s">
        <v>22</v>
      </c>
    </row>
    <row r="3166" spans="1:11" ht="42" customHeight="1">
      <c r="A3166" s="4" t="s">
        <v>7519</v>
      </c>
      <c r="B3166" s="5" t="s">
        <v>7519</v>
      </c>
      <c r="C3166" s="5" t="s">
        <v>17</v>
      </c>
      <c r="D3166" s="5" t="s">
        <v>18</v>
      </c>
      <c r="E3166" s="5" t="s">
        <v>76</v>
      </c>
      <c r="F3166" s="9">
        <v>66</v>
      </c>
      <c r="G3166" s="9">
        <v>709</v>
      </c>
      <c r="H3166" s="5" t="s">
        <v>20</v>
      </c>
      <c r="I3166" s="5" t="s">
        <v>7520</v>
      </c>
      <c r="J3166" s="12" t="str">
        <f>HYPERLINK("https://www.boe.es/gazeta/dias/1805/08/16/pdfs/GMD-1805-66.pdf#page=9","Abrir facsímil")</f>
        <v>Abrir facsímil</v>
      </c>
      <c r="K3166" s="15" t="s">
        <v>22</v>
      </c>
    </row>
    <row r="3167" spans="1:11" ht="42" customHeight="1">
      <c r="A3167" s="4" t="s">
        <v>7521</v>
      </c>
      <c r="B3167" s="5" t="s">
        <v>7521</v>
      </c>
      <c r="C3167" s="5" t="s">
        <v>17</v>
      </c>
      <c r="D3167" s="5" t="s">
        <v>18</v>
      </c>
      <c r="E3167" s="5" t="s">
        <v>585</v>
      </c>
      <c r="F3167" s="9">
        <v>64</v>
      </c>
      <c r="G3167" s="9">
        <v>687</v>
      </c>
      <c r="H3167" s="5" t="s">
        <v>20</v>
      </c>
      <c r="I3167" s="5" t="s">
        <v>7522</v>
      </c>
      <c r="J3167" s="12" t="str">
        <f>HYPERLINK("https://www.boe.es/gazeta/dias/1805/08/09/pdfs/GMD-1805-64.pdf#page=11","Abrir facsímil")</f>
        <v>Abrir facsímil</v>
      </c>
      <c r="K3167" s="15" t="s">
        <v>22</v>
      </c>
    </row>
    <row r="3168" spans="1:11" ht="42" customHeight="1">
      <c r="A3168" s="4" t="s">
        <v>7523</v>
      </c>
      <c r="B3168" s="5" t="s">
        <v>7523</v>
      </c>
      <c r="C3168" s="5" t="s">
        <v>35</v>
      </c>
      <c r="D3168" s="5" t="s">
        <v>36</v>
      </c>
      <c r="E3168" s="5" t="s">
        <v>122</v>
      </c>
      <c r="F3168" s="9">
        <v>38</v>
      </c>
      <c r="G3168" s="9">
        <v>411</v>
      </c>
      <c r="H3168" s="5" t="s">
        <v>20</v>
      </c>
      <c r="I3168" s="5" t="s">
        <v>7524</v>
      </c>
      <c r="J3168" s="12" t="str">
        <f>HYPERLINK("https://www.boe.es/gazeta/dias/1805/05/10/pdfs/GMD-1805-38.pdf#page=7","Abrir facsímil")</f>
        <v>Abrir facsímil</v>
      </c>
      <c r="K3168" s="15" t="s">
        <v>22</v>
      </c>
    </row>
    <row r="3169" spans="1:11" ht="42" customHeight="1">
      <c r="A3169" s="4" t="s">
        <v>7525</v>
      </c>
      <c r="B3169" s="5" t="s">
        <v>7525</v>
      </c>
      <c r="C3169" s="5" t="s">
        <v>35</v>
      </c>
      <c r="D3169" s="5" t="s">
        <v>36</v>
      </c>
      <c r="E3169" s="5" t="s">
        <v>300</v>
      </c>
      <c r="F3169" s="9">
        <v>81</v>
      </c>
      <c r="G3169" s="9">
        <v>858</v>
      </c>
      <c r="H3169" s="5" t="s">
        <v>20</v>
      </c>
      <c r="I3169" s="5" t="s">
        <v>7526</v>
      </c>
      <c r="J3169" s="12" t="str">
        <f>HYPERLINK("https://www.boe.es/gazeta/dias/1805/10/08/pdfs/GMD-1805-81.pdf#page=6","Abrir facsímil")</f>
        <v>Abrir facsímil</v>
      </c>
      <c r="K3169" s="15" t="s">
        <v>22</v>
      </c>
    </row>
    <row r="3170" spans="1:11" ht="42" customHeight="1">
      <c r="A3170" s="4" t="s">
        <v>7527</v>
      </c>
      <c r="B3170" s="5" t="s">
        <v>7527</v>
      </c>
      <c r="C3170" s="5" t="s">
        <v>35</v>
      </c>
      <c r="D3170" s="5" t="s">
        <v>36</v>
      </c>
      <c r="E3170" s="5" t="s">
        <v>327</v>
      </c>
      <c r="F3170" s="9">
        <v>10</v>
      </c>
      <c r="G3170" s="9">
        <v>109</v>
      </c>
      <c r="H3170" s="5" t="s">
        <v>20</v>
      </c>
      <c r="I3170" s="5" t="s">
        <v>7528</v>
      </c>
      <c r="J3170" s="12" t="str">
        <f>HYPERLINK("https://www.boe.es/gazeta/dias/1805/02/01/pdfs/GMD-1805-10.pdf#page=5","Abrir facsímil")</f>
        <v>Abrir facsímil</v>
      </c>
      <c r="K3170" s="15" t="s">
        <v>22</v>
      </c>
    </row>
    <row r="3171" spans="1:11" ht="42" customHeight="1">
      <c r="A3171" s="4" t="s">
        <v>7529</v>
      </c>
      <c r="B3171" s="5" t="s">
        <v>7529</v>
      </c>
      <c r="C3171" s="5" t="s">
        <v>17</v>
      </c>
      <c r="D3171" s="5" t="s">
        <v>18</v>
      </c>
      <c r="E3171" s="5" t="s">
        <v>585</v>
      </c>
      <c r="F3171" s="9">
        <v>64</v>
      </c>
      <c r="G3171" s="9">
        <v>687</v>
      </c>
      <c r="H3171" s="5" t="s">
        <v>20</v>
      </c>
      <c r="I3171" s="5" t="s">
        <v>7530</v>
      </c>
      <c r="J3171" s="12" t="str">
        <f>HYPERLINK("https://www.boe.es/gazeta/dias/1805/08/09/pdfs/GMD-1805-64.pdf#page=11","Abrir facsímil")</f>
        <v>Abrir facsímil</v>
      </c>
      <c r="K3171" s="15" t="s">
        <v>22</v>
      </c>
    </row>
    <row r="3172" spans="1:11" ht="42" customHeight="1">
      <c r="A3172" s="4" t="s">
        <v>7531</v>
      </c>
      <c r="B3172" s="5" t="s">
        <v>7531</v>
      </c>
      <c r="C3172" s="5" t="s">
        <v>35</v>
      </c>
      <c r="D3172" s="5" t="s">
        <v>36</v>
      </c>
      <c r="E3172" s="5" t="s">
        <v>63</v>
      </c>
      <c r="F3172" s="9">
        <v>101</v>
      </c>
      <c r="G3172" s="9">
        <v>1093</v>
      </c>
      <c r="H3172" s="5" t="s">
        <v>20</v>
      </c>
      <c r="I3172" s="5" t="s">
        <v>7532</v>
      </c>
      <c r="J3172" s="12" t="str">
        <f>HYPERLINK("https://www.boe.es/gazeta/dias/1805/12/17/pdfs/GMD-1805-101.pdf#page=9","Abrir facsímil")</f>
        <v>Abrir facsímil</v>
      </c>
      <c r="K3172" s="15" t="s">
        <v>22</v>
      </c>
    </row>
    <row r="3173" spans="1:11" ht="42" customHeight="1">
      <c r="A3173" s="4" t="s">
        <v>7533</v>
      </c>
      <c r="B3173" s="5" t="s">
        <v>7534</v>
      </c>
      <c r="C3173" s="5" t="s">
        <v>35</v>
      </c>
      <c r="D3173" s="5" t="s">
        <v>36</v>
      </c>
      <c r="E3173" s="5" t="s">
        <v>19</v>
      </c>
      <c r="F3173" s="9">
        <v>86</v>
      </c>
      <c r="G3173" s="9">
        <v>914</v>
      </c>
      <c r="H3173" s="5" t="s">
        <v>20</v>
      </c>
      <c r="I3173" s="5" t="s">
        <v>7535</v>
      </c>
      <c r="J3173" s="12" t="str">
        <f>HYPERLINK("https://www.boe.es/gazeta/dias/1805/10/25/pdfs/GMD-1805-86.pdf#page=10","Abrir facsímil")</f>
        <v>Abrir facsímil</v>
      </c>
      <c r="K3173" s="15" t="s">
        <v>22</v>
      </c>
    </row>
    <row r="3174" spans="1:11" ht="42" customHeight="1">
      <c r="A3174" s="4" t="s">
        <v>7536</v>
      </c>
      <c r="B3174" s="5" t="s">
        <v>7537</v>
      </c>
      <c r="C3174" s="5" t="s">
        <v>35</v>
      </c>
      <c r="D3174" s="5" t="s">
        <v>36</v>
      </c>
      <c r="E3174" s="5" t="s">
        <v>1432</v>
      </c>
      <c r="F3174" s="9">
        <v>53</v>
      </c>
      <c r="G3174" s="9">
        <v>566</v>
      </c>
      <c r="H3174" s="5" t="s">
        <v>20</v>
      </c>
      <c r="I3174" s="5" t="s">
        <v>7538</v>
      </c>
      <c r="J3174" s="12" t="str">
        <f>HYPERLINK("https://www.boe.es/gazeta/dias/1805/07/02/pdfs/GMD-1805-53.pdf#page=2","Abrir facsímil")</f>
        <v>Abrir facsímil</v>
      </c>
      <c r="K3174" s="15" t="s">
        <v>22</v>
      </c>
    </row>
    <row r="3175" spans="1:11" ht="42" customHeight="1">
      <c r="A3175" s="4" t="s">
        <v>7539</v>
      </c>
      <c r="B3175" s="5" t="s">
        <v>7539</v>
      </c>
      <c r="C3175" s="5" t="s">
        <v>52</v>
      </c>
      <c r="D3175" s="5" t="s">
        <v>53</v>
      </c>
      <c r="E3175" s="5" t="s">
        <v>82</v>
      </c>
      <c r="F3175" s="9">
        <v>25</v>
      </c>
      <c r="G3175" s="9" t="s">
        <v>222</v>
      </c>
      <c r="H3175" s="5" t="s">
        <v>20</v>
      </c>
      <c r="I3175" s="5" t="s">
        <v>7540</v>
      </c>
      <c r="J3175" s="12" t="str">
        <f>HYPERLINK("https://www.boe.es/gazeta/dias/1805/03/26/pdfs/GMD-C-1805-25.pdf#page=1","Abrir facsímil")</f>
        <v>Abrir facsímil</v>
      </c>
      <c r="K3175" s="15" t="s">
        <v>22</v>
      </c>
    </row>
    <row r="3176" spans="1:11" ht="42" customHeight="1">
      <c r="A3176" s="4" t="s">
        <v>7541</v>
      </c>
      <c r="B3176" s="5" t="s">
        <v>7541</v>
      </c>
      <c r="C3176" s="5" t="s">
        <v>52</v>
      </c>
      <c r="D3176" s="5" t="s">
        <v>53</v>
      </c>
      <c r="E3176" s="5" t="s">
        <v>82</v>
      </c>
      <c r="F3176" s="9">
        <v>25</v>
      </c>
      <c r="G3176" s="9" t="s">
        <v>145</v>
      </c>
      <c r="H3176" s="5" t="s">
        <v>20</v>
      </c>
      <c r="I3176" s="5" t="s">
        <v>7542</v>
      </c>
      <c r="J3176" s="12" t="str">
        <f>HYPERLINK("https://www.boe.es/gazeta/dias/1805/03/26/pdfs/GMD-C-1805-25.pdf#page=2","Abrir facsímil")</f>
        <v>Abrir facsímil</v>
      </c>
      <c r="K3176" s="15" t="s">
        <v>22</v>
      </c>
    </row>
    <row r="3177" spans="1:11" ht="42" customHeight="1">
      <c r="A3177" s="4" t="s">
        <v>7543</v>
      </c>
      <c r="B3177" s="5" t="s">
        <v>7543</v>
      </c>
      <c r="C3177" s="5" t="s">
        <v>35</v>
      </c>
      <c r="D3177" s="5" t="s">
        <v>36</v>
      </c>
      <c r="E3177" s="5" t="s">
        <v>95</v>
      </c>
      <c r="F3177" s="9">
        <v>13</v>
      </c>
      <c r="G3177" s="9">
        <v>139</v>
      </c>
      <c r="H3177" s="5" t="s">
        <v>20</v>
      </c>
      <c r="I3177" s="5" t="s">
        <v>7544</v>
      </c>
      <c r="J3177" s="12" t="str">
        <f>HYPERLINK("https://www.boe.es/gazeta/dias/1805/02/12/pdfs/GMD-1805-13.pdf#page=7","Abrir facsímil")</f>
        <v>Abrir facsímil</v>
      </c>
      <c r="K3177" s="15" t="s">
        <v>22</v>
      </c>
    </row>
    <row r="3178" spans="1:11" ht="42" customHeight="1">
      <c r="A3178" s="4" t="s">
        <v>7545</v>
      </c>
      <c r="B3178" s="5" t="s">
        <v>7545</v>
      </c>
      <c r="C3178" s="5" t="s">
        <v>17</v>
      </c>
      <c r="D3178" s="5" t="s">
        <v>18</v>
      </c>
      <c r="E3178" s="5" t="s">
        <v>122</v>
      </c>
      <c r="F3178" s="9">
        <v>38</v>
      </c>
      <c r="G3178" s="9">
        <v>411</v>
      </c>
      <c r="H3178" s="5" t="s">
        <v>20</v>
      </c>
      <c r="I3178" s="5" t="s">
        <v>7546</v>
      </c>
      <c r="J3178" s="12" t="str">
        <f>HYPERLINK("https://www.boe.es/gazeta/dias/1805/05/10/pdfs/GMD-1805-38.pdf#page=7","Abrir facsímil")</f>
        <v>Abrir facsímil</v>
      </c>
      <c r="K3178" s="15" t="s">
        <v>22</v>
      </c>
    </row>
    <row r="3179" spans="1:11" ht="42" customHeight="1">
      <c r="A3179" s="4" t="s">
        <v>7547</v>
      </c>
      <c r="B3179" s="5" t="s">
        <v>7547</v>
      </c>
      <c r="C3179" s="5" t="s">
        <v>35</v>
      </c>
      <c r="D3179" s="5" t="s">
        <v>36</v>
      </c>
      <c r="E3179" s="5" t="s">
        <v>286</v>
      </c>
      <c r="F3179" s="9">
        <v>48</v>
      </c>
      <c r="G3179" s="9">
        <v>521</v>
      </c>
      <c r="H3179" s="5" t="s">
        <v>20</v>
      </c>
      <c r="I3179" s="5" t="s">
        <v>7548</v>
      </c>
      <c r="J3179" s="12" t="str">
        <f>HYPERLINK("https://www.boe.es/gazeta/dias/1805/06/14/pdfs/GMD-1805-48.pdf#page=9","Abrir facsímil")</f>
        <v>Abrir facsímil</v>
      </c>
      <c r="K3179" s="15" t="s">
        <v>22</v>
      </c>
    </row>
    <row r="3180" spans="1:11" ht="42" customHeight="1">
      <c r="A3180" s="4" t="s">
        <v>7549</v>
      </c>
      <c r="B3180" s="5" t="s">
        <v>7549</v>
      </c>
      <c r="C3180" s="5" t="s">
        <v>17</v>
      </c>
      <c r="D3180" s="5" t="s">
        <v>18</v>
      </c>
      <c r="E3180" s="5" t="s">
        <v>200</v>
      </c>
      <c r="F3180" s="9">
        <v>91</v>
      </c>
      <c r="G3180" s="9">
        <v>977</v>
      </c>
      <c r="H3180" s="5" t="s">
        <v>20</v>
      </c>
      <c r="I3180" s="5" t="s">
        <v>7550</v>
      </c>
      <c r="J3180" s="12" t="str">
        <f>HYPERLINK("https://www.boe.es/gazeta/dias/1805/11/12/pdfs/GMD-1805-91.pdf#page=9","Abrir facsímil")</f>
        <v>Abrir facsímil</v>
      </c>
      <c r="K3180" s="15" t="s">
        <v>22</v>
      </c>
    </row>
    <row r="3181" spans="1:11" ht="42" customHeight="1">
      <c r="A3181" s="4" t="s">
        <v>7551</v>
      </c>
      <c r="B3181" s="5" t="s">
        <v>7551</v>
      </c>
      <c r="C3181" s="5" t="s">
        <v>35</v>
      </c>
      <c r="D3181" s="5" t="s">
        <v>36</v>
      </c>
      <c r="E3181" s="5" t="s">
        <v>226</v>
      </c>
      <c r="F3181" s="9">
        <v>73</v>
      </c>
      <c r="G3181" s="9">
        <v>773</v>
      </c>
      <c r="H3181" s="5" t="s">
        <v>20</v>
      </c>
      <c r="I3181" s="5" t="s">
        <v>7552</v>
      </c>
      <c r="J3181" s="12" t="str">
        <f>HYPERLINK("https://www.boe.es/gazeta/dias/1805/09/10/pdfs/GMD-1805-73.pdf#page=5","Abrir facsímil")</f>
        <v>Abrir facsímil</v>
      </c>
      <c r="K3181" s="15" t="s">
        <v>22</v>
      </c>
    </row>
    <row r="3182" spans="1:11" ht="42" customHeight="1">
      <c r="A3182" s="4" t="s">
        <v>7553</v>
      </c>
      <c r="B3182" s="5" t="s">
        <v>7553</v>
      </c>
      <c r="C3182" s="5" t="s">
        <v>35</v>
      </c>
      <c r="D3182" s="5" t="s">
        <v>36</v>
      </c>
      <c r="E3182" s="5" t="s">
        <v>59</v>
      </c>
      <c r="F3182" s="9">
        <v>21</v>
      </c>
      <c r="G3182" s="9">
        <v>221</v>
      </c>
      <c r="H3182" s="5" t="s">
        <v>20</v>
      </c>
      <c r="I3182" s="5" t="s">
        <v>7554</v>
      </c>
      <c r="J3182" s="12" t="str">
        <f>HYPERLINK("https://www.boe.es/gazeta/dias/1805/03/12/pdfs/GMD-1805-21.pdf#page=9","Abrir facsímil")</f>
        <v>Abrir facsímil</v>
      </c>
      <c r="K3182" s="15" t="s">
        <v>22</v>
      </c>
    </row>
    <row r="3183" spans="1:11" ht="42" customHeight="1">
      <c r="A3183" s="4" t="s">
        <v>7555</v>
      </c>
      <c r="B3183" s="5" t="s">
        <v>7555</v>
      </c>
      <c r="C3183" s="5" t="s">
        <v>35</v>
      </c>
      <c r="D3183" s="5" t="s">
        <v>36</v>
      </c>
      <c r="E3183" s="5" t="s">
        <v>59</v>
      </c>
      <c r="F3183" s="9">
        <v>21</v>
      </c>
      <c r="G3183" s="9">
        <v>221</v>
      </c>
      <c r="H3183" s="5" t="s">
        <v>20</v>
      </c>
      <c r="I3183" s="5" t="s">
        <v>7556</v>
      </c>
      <c r="J3183" s="12" t="str">
        <f>HYPERLINK("https://www.boe.es/gazeta/dias/1805/03/12/pdfs/GMD-1805-21.pdf#page=9","Abrir facsímil")</f>
        <v>Abrir facsímil</v>
      </c>
      <c r="K3183" s="15" t="s">
        <v>22</v>
      </c>
    </row>
    <row r="3184" spans="1:11" ht="42" customHeight="1">
      <c r="A3184" s="4" t="s">
        <v>7557</v>
      </c>
      <c r="B3184" s="5" t="s">
        <v>7557</v>
      </c>
      <c r="C3184" s="5" t="s">
        <v>85</v>
      </c>
      <c r="D3184" s="5" t="s">
        <v>86</v>
      </c>
      <c r="E3184" s="5" t="s">
        <v>296</v>
      </c>
      <c r="F3184" s="9">
        <v>26</v>
      </c>
      <c r="G3184" s="9">
        <v>277</v>
      </c>
      <c r="H3184" s="5" t="s">
        <v>20</v>
      </c>
      <c r="I3184" s="5" t="s">
        <v>7558</v>
      </c>
      <c r="J3184" s="12" t="str">
        <f>HYPERLINK("https://www.boe.es/gazeta/dias/1805/03/29/pdfs/GMD-1805-26.pdf#page=9","Abrir facsímil")</f>
        <v>Abrir facsímil</v>
      </c>
      <c r="K3184" s="15" t="s">
        <v>22</v>
      </c>
    </row>
    <row r="3185" spans="1:11" ht="42" customHeight="1">
      <c r="A3185" s="4" t="s">
        <v>7559</v>
      </c>
      <c r="B3185" s="5" t="s">
        <v>7559</v>
      </c>
      <c r="C3185" s="5" t="s">
        <v>35</v>
      </c>
      <c r="D3185" s="5" t="s">
        <v>36</v>
      </c>
      <c r="E3185" s="5" t="s">
        <v>495</v>
      </c>
      <c r="F3185" s="9">
        <v>103</v>
      </c>
      <c r="G3185" s="9">
        <v>1115</v>
      </c>
      <c r="H3185" s="5" t="s">
        <v>20</v>
      </c>
      <c r="I3185" s="5" t="s">
        <v>7560</v>
      </c>
      <c r="J3185" s="12" t="str">
        <f>HYPERLINK("https://www.boe.es/gazeta/dias/1805/12/24/pdfs/GMD-1805-103.pdf#page=7","Abrir facsímil")</f>
        <v>Abrir facsímil</v>
      </c>
      <c r="K3185" s="15" t="s">
        <v>22</v>
      </c>
    </row>
    <row r="3186" spans="1:11" ht="42" customHeight="1">
      <c r="A3186" s="4" t="s">
        <v>7561</v>
      </c>
      <c r="B3186" s="5" t="s">
        <v>7561</v>
      </c>
      <c r="C3186" s="5" t="s">
        <v>35</v>
      </c>
      <c r="D3186" s="5" t="s">
        <v>36</v>
      </c>
      <c r="E3186" s="5" t="s">
        <v>817</v>
      </c>
      <c r="F3186" s="9">
        <v>92</v>
      </c>
      <c r="G3186" s="9">
        <v>987</v>
      </c>
      <c r="H3186" s="5" t="s">
        <v>20</v>
      </c>
      <c r="I3186" s="5" t="s">
        <v>7562</v>
      </c>
      <c r="J3186" s="12" t="str">
        <f>HYPERLINK("https://www.boe.es/gazeta/dias/1805/11/15/pdfs/GMD-1805-92.pdf#page=7","Abrir facsímil")</f>
        <v>Abrir facsímil</v>
      </c>
      <c r="K3186" s="15" t="s">
        <v>22</v>
      </c>
    </row>
    <row r="3187" spans="1:11" ht="42" customHeight="1">
      <c r="A3187" s="4" t="s">
        <v>7563</v>
      </c>
      <c r="B3187" s="5" t="s">
        <v>7563</v>
      </c>
      <c r="C3187" s="5" t="s">
        <v>85</v>
      </c>
      <c r="D3187" s="5" t="s">
        <v>86</v>
      </c>
      <c r="E3187" s="5" t="s">
        <v>904</v>
      </c>
      <c r="F3187" s="9">
        <v>47</v>
      </c>
      <c r="G3187" s="9">
        <v>509</v>
      </c>
      <c r="H3187" s="5" t="s">
        <v>20</v>
      </c>
      <c r="I3187" s="5" t="s">
        <v>7564</v>
      </c>
      <c r="J3187" s="12" t="str">
        <f>HYPERLINK("https://www.boe.es/gazeta/dias/1805/06/11/pdfs/GMD-1805-47.pdf#page=9","Abrir facsímil")</f>
        <v>Abrir facsímil</v>
      </c>
      <c r="K3187" s="15" t="s">
        <v>22</v>
      </c>
    </row>
    <row r="3188" spans="1:11" ht="42" customHeight="1">
      <c r="A3188" s="4" t="s">
        <v>7565</v>
      </c>
      <c r="B3188" s="5" t="s">
        <v>7565</v>
      </c>
      <c r="C3188" s="5" t="s">
        <v>29</v>
      </c>
      <c r="D3188" s="5" t="s">
        <v>30</v>
      </c>
      <c r="E3188" s="5" t="s">
        <v>787</v>
      </c>
      <c r="F3188" s="9">
        <v>95</v>
      </c>
      <c r="G3188" s="9">
        <v>1022</v>
      </c>
      <c r="H3188" s="5" t="s">
        <v>20</v>
      </c>
      <c r="I3188" s="5" t="s">
        <v>7566</v>
      </c>
      <c r="J3188" s="12" t="str">
        <f>HYPERLINK("https://www.boe.es/gazeta/dias/1805/11/26/pdfs/GMD-1805-95.pdf#page=10","Abrir facsímil")</f>
        <v>Abrir facsímil</v>
      </c>
      <c r="K3188" s="15" t="s">
        <v>22</v>
      </c>
    </row>
    <row r="3189" spans="1:11" ht="42" customHeight="1">
      <c r="A3189" s="4" t="s">
        <v>7567</v>
      </c>
      <c r="B3189" s="5" t="s">
        <v>7567</v>
      </c>
      <c r="C3189" s="5" t="s">
        <v>52</v>
      </c>
      <c r="D3189" s="5" t="s">
        <v>53</v>
      </c>
      <c r="E3189" s="5" t="s">
        <v>144</v>
      </c>
      <c r="F3189" s="9">
        <v>85</v>
      </c>
      <c r="G3189" s="9" t="s">
        <v>1153</v>
      </c>
      <c r="H3189" s="5" t="s">
        <v>20</v>
      </c>
      <c r="I3189" s="5" t="s">
        <v>7568</v>
      </c>
      <c r="J3189" s="12" t="str">
        <f>HYPERLINK("https://www.boe.es/gazeta/dias/1805/10/22/pdfs/GMD-C-1805-85.pdf#page=8","Abrir facsímil")</f>
        <v>Abrir facsímil</v>
      </c>
      <c r="K3189" s="15" t="s">
        <v>22</v>
      </c>
    </row>
    <row r="3190" spans="1:11" ht="42" customHeight="1">
      <c r="A3190" s="4" t="s">
        <v>7569</v>
      </c>
      <c r="B3190" s="5" t="s">
        <v>7569</v>
      </c>
      <c r="C3190" s="5" t="s">
        <v>35</v>
      </c>
      <c r="D3190" s="5" t="s">
        <v>36</v>
      </c>
      <c r="E3190" s="5" t="s">
        <v>95</v>
      </c>
      <c r="F3190" s="9">
        <v>13</v>
      </c>
      <c r="G3190" s="9">
        <v>139</v>
      </c>
      <c r="H3190" s="5" t="s">
        <v>20</v>
      </c>
      <c r="I3190" s="5" t="s">
        <v>7570</v>
      </c>
      <c r="J3190" s="12" t="str">
        <f>HYPERLINK("https://www.boe.es/gazeta/dias/1805/02/12/pdfs/GMD-1805-13.pdf#page=7","Abrir facsímil")</f>
        <v>Abrir facsímil</v>
      </c>
      <c r="K3190" s="15" t="s">
        <v>22</v>
      </c>
    </row>
    <row r="3191" spans="1:11" ht="42" customHeight="1">
      <c r="A3191" s="4" t="s">
        <v>7571</v>
      </c>
      <c r="B3191" s="5" t="s">
        <v>7571</v>
      </c>
      <c r="C3191" s="5" t="s">
        <v>29</v>
      </c>
      <c r="D3191" s="5" t="s">
        <v>30</v>
      </c>
      <c r="E3191" s="5" t="s">
        <v>850</v>
      </c>
      <c r="F3191" s="9">
        <v>42</v>
      </c>
      <c r="G3191" s="9">
        <v>454</v>
      </c>
      <c r="H3191" s="5" t="s">
        <v>20</v>
      </c>
      <c r="I3191" s="5" t="s">
        <v>7572</v>
      </c>
      <c r="J3191" s="12" t="str">
        <f>HYPERLINK("https://www.boe.es/gazeta/dias/1805/05/24/pdfs/GMD-1805-42.pdf#page=10","Abrir facsímil")</f>
        <v>Abrir facsímil</v>
      </c>
      <c r="K3191" s="15" t="s">
        <v>22</v>
      </c>
    </row>
    <row r="3192" spans="1:11" ht="42" customHeight="1">
      <c r="A3192" s="4" t="s">
        <v>7573</v>
      </c>
      <c r="B3192" s="5" t="s">
        <v>7573</v>
      </c>
      <c r="C3192" s="5" t="s">
        <v>85</v>
      </c>
      <c r="D3192" s="5" t="s">
        <v>86</v>
      </c>
      <c r="E3192" s="5" t="s">
        <v>213</v>
      </c>
      <c r="F3192" s="9">
        <v>56</v>
      </c>
      <c r="G3192" s="9">
        <v>600</v>
      </c>
      <c r="H3192" s="5" t="s">
        <v>20</v>
      </c>
      <c r="I3192" s="5" t="s">
        <v>7574</v>
      </c>
      <c r="J3192" s="12" t="str">
        <f>HYPERLINK("https://www.boe.es/gazeta/dias/1805/07/12/pdfs/GMD-1805-56.pdf#page=8","Abrir facsímil")</f>
        <v>Abrir facsímil</v>
      </c>
      <c r="K3192" s="15" t="s">
        <v>22</v>
      </c>
    </row>
    <row r="3193" spans="1:11" ht="42" customHeight="1">
      <c r="A3193" s="4" t="s">
        <v>7575</v>
      </c>
      <c r="B3193" s="5" t="s">
        <v>7575</v>
      </c>
      <c r="C3193" s="5" t="s">
        <v>35</v>
      </c>
      <c r="D3193" s="5" t="s">
        <v>36</v>
      </c>
      <c r="E3193" s="5" t="s">
        <v>63</v>
      </c>
      <c r="F3193" s="9">
        <v>101</v>
      </c>
      <c r="G3193" s="9">
        <v>1092</v>
      </c>
      <c r="H3193" s="5" t="s">
        <v>20</v>
      </c>
      <c r="I3193" s="5" t="s">
        <v>7576</v>
      </c>
      <c r="J3193" s="12" t="str">
        <f>HYPERLINK("https://www.boe.es/gazeta/dias/1805/12/17/pdfs/GMD-1805-101.pdf#page=8","Abrir facsímil")</f>
        <v>Abrir facsímil</v>
      </c>
      <c r="K3193" s="15" t="s">
        <v>22</v>
      </c>
    </row>
    <row r="3194" spans="1:11" ht="42" customHeight="1">
      <c r="A3194" s="4" t="s">
        <v>7577</v>
      </c>
      <c r="B3194" s="5" t="s">
        <v>7578</v>
      </c>
      <c r="C3194" s="5" t="s">
        <v>85</v>
      </c>
      <c r="D3194" s="5" t="s">
        <v>86</v>
      </c>
      <c r="E3194" s="5" t="s">
        <v>273</v>
      </c>
      <c r="F3194" s="9">
        <v>8</v>
      </c>
      <c r="G3194" s="9">
        <v>88</v>
      </c>
      <c r="H3194" s="5" t="s">
        <v>20</v>
      </c>
      <c r="I3194" s="5" t="s">
        <v>7579</v>
      </c>
      <c r="J3194" s="12" t="str">
        <f>HYPERLINK("https://www.boe.es/gazeta/dias/1805/01/25/pdfs/GMD-1805-8.pdf#page=8","Abrir facsímil")</f>
        <v>Abrir facsímil</v>
      </c>
      <c r="K3194" s="15" t="s">
        <v>22</v>
      </c>
    </row>
    <row r="3195" spans="1:11" ht="42" customHeight="1">
      <c r="A3195" s="4" t="s">
        <v>7577</v>
      </c>
      <c r="B3195" s="5" t="s">
        <v>7578</v>
      </c>
      <c r="C3195" s="5" t="s">
        <v>85</v>
      </c>
      <c r="D3195" s="5" t="s">
        <v>86</v>
      </c>
      <c r="E3195" s="5" t="s">
        <v>215</v>
      </c>
      <c r="F3195" s="9">
        <v>87</v>
      </c>
      <c r="G3195" s="9">
        <v>927</v>
      </c>
      <c r="H3195" s="5" t="s">
        <v>20</v>
      </c>
      <c r="I3195" s="5" t="s">
        <v>7580</v>
      </c>
      <c r="J3195" s="12" t="str">
        <f>HYPERLINK("https://www.boe.es/gazeta/dias/1805/10/29/pdfs/GMD-1805-87.pdf#page=11","Abrir facsímil")</f>
        <v>Abrir facsímil</v>
      </c>
      <c r="K3195" s="15" t="s">
        <v>22</v>
      </c>
    </row>
    <row r="3196" spans="1:11" ht="42" customHeight="1">
      <c r="A3196" s="4" t="s">
        <v>7581</v>
      </c>
      <c r="B3196" s="5" t="s">
        <v>7581</v>
      </c>
      <c r="C3196" s="5" t="s">
        <v>17</v>
      </c>
      <c r="D3196" s="5" t="s">
        <v>18</v>
      </c>
      <c r="E3196" s="5" t="s">
        <v>63</v>
      </c>
      <c r="F3196" s="9">
        <v>101</v>
      </c>
      <c r="G3196" s="9">
        <v>1092</v>
      </c>
      <c r="H3196" s="5" t="s">
        <v>20</v>
      </c>
      <c r="I3196" s="5" t="s">
        <v>7582</v>
      </c>
      <c r="J3196" s="12" t="str">
        <f>HYPERLINK("https://www.boe.es/gazeta/dias/1805/12/17/pdfs/GMD-1805-101.pdf#page=8","Abrir facsímil")</f>
        <v>Abrir facsímil</v>
      </c>
      <c r="K3196" s="15" t="s">
        <v>22</v>
      </c>
    </row>
    <row r="3197" spans="1:11" ht="42" customHeight="1">
      <c r="A3197" s="4" t="s">
        <v>7583</v>
      </c>
      <c r="B3197" s="5" t="s">
        <v>7583</v>
      </c>
      <c r="C3197" s="5" t="s">
        <v>17</v>
      </c>
      <c r="D3197" s="5" t="s">
        <v>18</v>
      </c>
      <c r="E3197" s="5" t="s">
        <v>290</v>
      </c>
      <c r="F3197" s="9">
        <v>36</v>
      </c>
      <c r="G3197" s="9">
        <v>388</v>
      </c>
      <c r="H3197" s="5" t="s">
        <v>20</v>
      </c>
      <c r="I3197" s="5" t="s">
        <v>7584</v>
      </c>
      <c r="J3197" s="12" t="str">
        <f>HYPERLINK("https://www.boe.es/gazeta/dias/1805/05/03/pdfs/GMD-1805-36.pdf#page=8","Abrir facsímil")</f>
        <v>Abrir facsímil</v>
      </c>
      <c r="K3197" s="15" t="s">
        <v>22</v>
      </c>
    </row>
    <row r="3198" spans="1:11" ht="42" customHeight="1">
      <c r="A3198" s="4" t="s">
        <v>7585</v>
      </c>
      <c r="B3198" s="5" t="s">
        <v>7585</v>
      </c>
      <c r="C3198" s="5" t="s">
        <v>29</v>
      </c>
      <c r="D3198" s="5" t="s">
        <v>30</v>
      </c>
      <c r="E3198" s="5" t="s">
        <v>393</v>
      </c>
      <c r="F3198" s="9">
        <v>44</v>
      </c>
      <c r="G3198" s="9">
        <v>476</v>
      </c>
      <c r="H3198" s="5" t="s">
        <v>20</v>
      </c>
      <c r="I3198" s="5" t="s">
        <v>7586</v>
      </c>
      <c r="J3198" s="12" t="str">
        <f>HYPERLINK("https://www.boe.es/gazeta/dias/1805/05/31/pdfs/GMD-1805-44.pdf#page=12","Abrir facsímil")</f>
        <v>Abrir facsímil</v>
      </c>
      <c r="K3198" s="15" t="s">
        <v>22</v>
      </c>
    </row>
    <row r="3199" spans="1:11" ht="42" customHeight="1">
      <c r="A3199" s="4" t="s">
        <v>7587</v>
      </c>
      <c r="B3199" s="5" t="s">
        <v>7587</v>
      </c>
      <c r="C3199" s="5" t="s">
        <v>35</v>
      </c>
      <c r="D3199" s="5" t="s">
        <v>36</v>
      </c>
      <c r="E3199" s="5" t="s">
        <v>213</v>
      </c>
      <c r="F3199" s="9">
        <v>56</v>
      </c>
      <c r="G3199" s="9">
        <v>600</v>
      </c>
      <c r="H3199" s="5" t="s">
        <v>20</v>
      </c>
      <c r="I3199" s="5" t="s">
        <v>7588</v>
      </c>
      <c r="J3199" s="12" t="str">
        <f>HYPERLINK("https://www.boe.es/gazeta/dias/1805/07/12/pdfs/GMD-1805-56.pdf#page=8","Abrir facsímil")</f>
        <v>Abrir facsímil</v>
      </c>
      <c r="K3199" s="15" t="s">
        <v>22</v>
      </c>
    </row>
    <row r="3200" spans="1:11" ht="42" customHeight="1">
      <c r="A3200" s="4" t="s">
        <v>7589</v>
      </c>
      <c r="B3200" s="5" t="s">
        <v>7589</v>
      </c>
      <c r="C3200" s="5" t="s">
        <v>85</v>
      </c>
      <c r="D3200" s="5" t="s">
        <v>86</v>
      </c>
      <c r="E3200" s="5" t="s">
        <v>281</v>
      </c>
      <c r="F3200" s="9">
        <v>15</v>
      </c>
      <c r="G3200" s="9">
        <v>156</v>
      </c>
      <c r="H3200" s="5" t="s">
        <v>20</v>
      </c>
      <c r="I3200" s="5" t="s">
        <v>7590</v>
      </c>
      <c r="J3200" s="12" t="str">
        <f>HYPERLINK("https://www.boe.es/gazeta/dias/1805/02/19/pdfs/GMD-1805-15.pdf#page=8","Abrir facsímil")</f>
        <v>Abrir facsímil</v>
      </c>
      <c r="K3200" s="15" t="s">
        <v>22</v>
      </c>
    </row>
    <row r="3201" spans="1:11" ht="42" customHeight="1">
      <c r="A3201" s="4" t="s">
        <v>7591</v>
      </c>
      <c r="B3201" s="5" t="s">
        <v>7591</v>
      </c>
      <c r="C3201" s="5" t="s">
        <v>35</v>
      </c>
      <c r="D3201" s="5" t="s">
        <v>36</v>
      </c>
      <c r="E3201" s="5" t="s">
        <v>144</v>
      </c>
      <c r="F3201" s="9">
        <v>85</v>
      </c>
      <c r="G3201" s="9">
        <v>902</v>
      </c>
      <c r="H3201" s="5" t="s">
        <v>20</v>
      </c>
      <c r="I3201" s="5" t="s">
        <v>7592</v>
      </c>
      <c r="J3201" s="12" t="str">
        <f>HYPERLINK("https://www.boe.es/gazeta/dias/1805/10/22/pdfs/GMD-1805-85.pdf#page=10","Abrir facsímil")</f>
        <v>Abrir facsímil</v>
      </c>
      <c r="K3201" s="15" t="s">
        <v>22</v>
      </c>
    </row>
    <row r="3202" spans="1:11" ht="42" customHeight="1">
      <c r="A3202" s="4" t="s">
        <v>7593</v>
      </c>
      <c r="B3202" s="5" t="s">
        <v>7593</v>
      </c>
      <c r="C3202" s="5" t="s">
        <v>29</v>
      </c>
      <c r="D3202" s="5" t="s">
        <v>30</v>
      </c>
      <c r="E3202" s="5" t="s">
        <v>649</v>
      </c>
      <c r="F3202" s="9">
        <v>7</v>
      </c>
      <c r="G3202" s="9">
        <v>77</v>
      </c>
      <c r="H3202" s="5" t="s">
        <v>20</v>
      </c>
      <c r="I3202" s="5" t="s">
        <v>7594</v>
      </c>
      <c r="J3202" s="12" t="str">
        <f>HYPERLINK("https://www.boe.es/gazeta/dias/1805/01/22/pdfs/GMD-1805-7.pdf#page=9","Abrir facsímil")</f>
        <v>Abrir facsímil</v>
      </c>
      <c r="K3202" s="15" t="s">
        <v>22</v>
      </c>
    </row>
    <row r="3203" spans="1:11" ht="42" customHeight="1">
      <c r="A3203" s="4" t="s">
        <v>7595</v>
      </c>
      <c r="B3203" s="5" t="s">
        <v>7595</v>
      </c>
      <c r="C3203" s="5" t="s">
        <v>35</v>
      </c>
      <c r="D3203" s="5" t="s">
        <v>36</v>
      </c>
      <c r="E3203" s="5" t="s">
        <v>67</v>
      </c>
      <c r="F3203" s="9">
        <v>98</v>
      </c>
      <c r="G3203" s="9">
        <v>1059</v>
      </c>
      <c r="H3203" s="5" t="s">
        <v>20</v>
      </c>
      <c r="I3203" s="5" t="s">
        <v>7596</v>
      </c>
      <c r="J3203" s="12" t="str">
        <f>HYPERLINK("https://www.boe.es/gazeta/dias/1805/12/06/pdfs/GMD-1805-98.pdf#page=11","Abrir facsímil")</f>
        <v>Abrir facsímil</v>
      </c>
      <c r="K3203" s="15" t="s">
        <v>22</v>
      </c>
    </row>
    <row r="3204" spans="1:11" ht="42" customHeight="1">
      <c r="A3204" s="4" t="s">
        <v>7597</v>
      </c>
      <c r="B3204" s="5" t="s">
        <v>7597</v>
      </c>
      <c r="C3204" s="5" t="s">
        <v>35</v>
      </c>
      <c r="D3204" s="5" t="s">
        <v>36</v>
      </c>
      <c r="E3204" s="5" t="s">
        <v>163</v>
      </c>
      <c r="F3204" s="9">
        <v>77</v>
      </c>
      <c r="G3204" s="9">
        <v>817</v>
      </c>
      <c r="H3204" s="5" t="s">
        <v>20</v>
      </c>
      <c r="I3204" s="5" t="s">
        <v>7598</v>
      </c>
      <c r="J3204" s="12" t="str">
        <f>HYPERLINK("https://www.boe.es/gazeta/dias/1805/09/24/pdfs/GMD-1805-77.pdf#page=9","Abrir facsímil")</f>
        <v>Abrir facsímil</v>
      </c>
      <c r="K3204" s="15" t="s">
        <v>22</v>
      </c>
    </row>
    <row r="3205" spans="1:11" ht="42" customHeight="1">
      <c r="A3205" s="4" t="s">
        <v>7599</v>
      </c>
      <c r="B3205" s="5" t="s">
        <v>7599</v>
      </c>
      <c r="C3205" s="5" t="s">
        <v>35</v>
      </c>
      <c r="D3205" s="5" t="s">
        <v>36</v>
      </c>
      <c r="E3205" s="5" t="s">
        <v>669</v>
      </c>
      <c r="F3205" s="9">
        <v>84</v>
      </c>
      <c r="G3205" s="9">
        <v>890</v>
      </c>
      <c r="H3205" s="5" t="s">
        <v>20</v>
      </c>
      <c r="I3205" s="5" t="s">
        <v>7600</v>
      </c>
      <c r="J3205" s="12" t="str">
        <f>HYPERLINK("https://www.boe.es/gazeta/dias/1805/10/18/pdfs/GMD-1805-84.pdf#page=6","Abrir facsímil")</f>
        <v>Abrir facsímil</v>
      </c>
      <c r="K3205" s="15" t="s">
        <v>22</v>
      </c>
    </row>
    <row r="3206" spans="1:11" ht="42" customHeight="1">
      <c r="A3206" s="4" t="s">
        <v>7601</v>
      </c>
      <c r="B3206" s="5" t="s">
        <v>7601</v>
      </c>
      <c r="C3206" s="5" t="s">
        <v>35</v>
      </c>
      <c r="D3206" s="5" t="s">
        <v>36</v>
      </c>
      <c r="E3206" s="5" t="s">
        <v>850</v>
      </c>
      <c r="F3206" s="9">
        <v>42</v>
      </c>
      <c r="G3206" s="9">
        <v>453</v>
      </c>
      <c r="H3206" s="5" t="s">
        <v>20</v>
      </c>
      <c r="I3206" s="5" t="s">
        <v>7602</v>
      </c>
      <c r="J3206" s="12" t="str">
        <f>HYPERLINK("https://www.boe.es/gazeta/dias/1805/05/24/pdfs/GMD-1805-42.pdf#page=9","Abrir facsímil")</f>
        <v>Abrir facsímil</v>
      </c>
      <c r="K3206" s="15" t="s">
        <v>22</v>
      </c>
    </row>
    <row r="3207" spans="1:11" ht="42" customHeight="1">
      <c r="A3207" s="4" t="s">
        <v>7603</v>
      </c>
      <c r="B3207" s="5" t="s">
        <v>7603</v>
      </c>
      <c r="C3207" s="5" t="s">
        <v>35</v>
      </c>
      <c r="D3207" s="5" t="s">
        <v>36</v>
      </c>
      <c r="E3207" s="5" t="s">
        <v>117</v>
      </c>
      <c r="F3207" s="9">
        <v>20</v>
      </c>
      <c r="G3207" s="9">
        <v>209</v>
      </c>
      <c r="H3207" s="5" t="s">
        <v>20</v>
      </c>
      <c r="I3207" s="5" t="s">
        <v>7604</v>
      </c>
      <c r="J3207" s="12" t="str">
        <f>HYPERLINK("https://www.boe.es/gazeta/dias/1805/03/08/pdfs/GMD-1805-20.pdf#page=9","Abrir facsímil")</f>
        <v>Abrir facsímil</v>
      </c>
      <c r="K3207" s="15" t="s">
        <v>22</v>
      </c>
    </row>
    <row r="3208" spans="1:11" ht="42" customHeight="1">
      <c r="A3208" s="4" t="s">
        <v>7603</v>
      </c>
      <c r="B3208" s="5" t="s">
        <v>7603</v>
      </c>
      <c r="C3208" s="5" t="s">
        <v>17</v>
      </c>
      <c r="D3208" s="5" t="s">
        <v>18</v>
      </c>
      <c r="E3208" s="5" t="s">
        <v>122</v>
      </c>
      <c r="F3208" s="9">
        <v>38</v>
      </c>
      <c r="G3208" s="9">
        <v>411</v>
      </c>
      <c r="H3208" s="5" t="s">
        <v>20</v>
      </c>
      <c r="I3208" s="5" t="s">
        <v>7605</v>
      </c>
      <c r="J3208" s="12" t="str">
        <f>HYPERLINK("https://www.boe.es/gazeta/dias/1805/05/10/pdfs/GMD-1805-38.pdf#page=7","Abrir facsímil")</f>
        <v>Abrir facsímil</v>
      </c>
      <c r="K3208" s="15" t="s">
        <v>22</v>
      </c>
    </row>
    <row r="3209" spans="1:11" ht="42" customHeight="1">
      <c r="A3209" s="4" t="s">
        <v>7606</v>
      </c>
      <c r="B3209" s="5" t="s">
        <v>7606</v>
      </c>
      <c r="C3209" s="5" t="s">
        <v>17</v>
      </c>
      <c r="D3209" s="5" t="s">
        <v>18</v>
      </c>
      <c r="E3209" s="5" t="s">
        <v>27</v>
      </c>
      <c r="F3209" s="9">
        <v>37</v>
      </c>
      <c r="G3209" s="9">
        <v>403</v>
      </c>
      <c r="H3209" s="5" t="s">
        <v>20</v>
      </c>
      <c r="I3209" s="5" t="s">
        <v>7607</v>
      </c>
      <c r="J3209" s="12" t="str">
        <f>HYPERLINK("https://www.boe.es/gazeta/dias/1805/05/07/pdfs/GMD-1805-37.pdf#page=11","Abrir facsímil")</f>
        <v>Abrir facsímil</v>
      </c>
      <c r="K3209" s="15" t="s">
        <v>22</v>
      </c>
    </row>
    <row r="3210" spans="1:11" ht="42" customHeight="1">
      <c r="A3210" s="4" t="s">
        <v>7608</v>
      </c>
      <c r="B3210" s="5" t="s">
        <v>7608</v>
      </c>
      <c r="C3210" s="5" t="s">
        <v>85</v>
      </c>
      <c r="D3210" s="5" t="s">
        <v>86</v>
      </c>
      <c r="E3210" s="5" t="s">
        <v>117</v>
      </c>
      <c r="F3210" s="9">
        <v>20</v>
      </c>
      <c r="G3210" s="9">
        <v>211</v>
      </c>
      <c r="H3210" s="5" t="s">
        <v>20</v>
      </c>
      <c r="I3210" s="5" t="s">
        <v>7609</v>
      </c>
      <c r="J3210" s="12" t="str">
        <f>HYPERLINK("https://www.boe.es/gazeta/dias/1805/03/08/pdfs/GMD-1805-20.pdf#page=11","Abrir facsímil")</f>
        <v>Abrir facsímil</v>
      </c>
      <c r="K3210" s="15" t="s">
        <v>22</v>
      </c>
    </row>
    <row r="3211" spans="1:11" ht="42" customHeight="1">
      <c r="A3211" s="4" t="s">
        <v>7610</v>
      </c>
      <c r="B3211" s="5" t="s">
        <v>7611</v>
      </c>
      <c r="C3211" s="5" t="s">
        <v>35</v>
      </c>
      <c r="D3211" s="5" t="s">
        <v>36</v>
      </c>
      <c r="E3211" s="5" t="s">
        <v>192</v>
      </c>
      <c r="F3211" s="9">
        <v>105</v>
      </c>
      <c r="G3211" s="9">
        <v>1137</v>
      </c>
      <c r="H3211" s="5" t="s">
        <v>20</v>
      </c>
      <c r="I3211" s="5" t="s">
        <v>7612</v>
      </c>
      <c r="J3211" s="12" t="str">
        <f>HYPERLINK("https://www.boe.es/gazeta/dias/1805/12/31/pdfs/GMD-1805-105.pdf#page=9","Abrir facsímil")</f>
        <v>Abrir facsímil</v>
      </c>
      <c r="K3211" s="15" t="s">
        <v>22</v>
      </c>
    </row>
    <row r="3212" spans="1:11" ht="42" customHeight="1">
      <c r="A3212" s="4" t="s">
        <v>7613</v>
      </c>
      <c r="B3212" s="5" t="s">
        <v>7613</v>
      </c>
      <c r="C3212" s="5" t="s">
        <v>35</v>
      </c>
      <c r="D3212" s="5" t="s">
        <v>36</v>
      </c>
      <c r="E3212" s="5" t="s">
        <v>91</v>
      </c>
      <c r="F3212" s="9">
        <v>28</v>
      </c>
      <c r="G3212" s="9">
        <v>300</v>
      </c>
      <c r="H3212" s="5" t="s">
        <v>20</v>
      </c>
      <c r="I3212" s="5" t="s">
        <v>7614</v>
      </c>
      <c r="J3212" s="12" t="str">
        <f>HYPERLINK("https://www.boe.es/gazeta/dias/1805/04/05/pdfs/GMD-1805-28.pdf#page=8","Abrir facsímil")</f>
        <v>Abrir facsímil</v>
      </c>
      <c r="K3212" s="15" t="s">
        <v>22</v>
      </c>
    </row>
    <row r="3213" spans="1:11" ht="42" customHeight="1">
      <c r="A3213" s="4" t="s">
        <v>7615</v>
      </c>
      <c r="B3213" s="5" t="s">
        <v>7615</v>
      </c>
      <c r="C3213" s="5" t="s">
        <v>35</v>
      </c>
      <c r="D3213" s="5" t="s">
        <v>36</v>
      </c>
      <c r="E3213" s="5" t="s">
        <v>163</v>
      </c>
      <c r="F3213" s="9">
        <v>77</v>
      </c>
      <c r="G3213" s="9">
        <v>817</v>
      </c>
      <c r="H3213" s="5" t="s">
        <v>20</v>
      </c>
      <c r="I3213" s="5" t="s">
        <v>7616</v>
      </c>
      <c r="J3213" s="12" t="str">
        <f>HYPERLINK("https://www.boe.es/gazeta/dias/1805/09/24/pdfs/GMD-1805-77.pdf#page=9","Abrir facsímil")</f>
        <v>Abrir facsímil</v>
      </c>
      <c r="K3213" s="15" t="s">
        <v>22</v>
      </c>
    </row>
    <row r="3214" spans="1:11" ht="42" customHeight="1">
      <c r="A3214" s="4" t="s">
        <v>7617</v>
      </c>
      <c r="B3214" s="5" t="s">
        <v>7617</v>
      </c>
      <c r="C3214" s="5" t="s">
        <v>17</v>
      </c>
      <c r="D3214" s="5" t="s">
        <v>18</v>
      </c>
      <c r="E3214" s="5" t="s">
        <v>40</v>
      </c>
      <c r="F3214" s="9">
        <v>59</v>
      </c>
      <c r="G3214" s="9">
        <v>635</v>
      </c>
      <c r="H3214" s="5" t="s">
        <v>20</v>
      </c>
      <c r="I3214" s="5" t="s">
        <v>7618</v>
      </c>
      <c r="J3214" s="12" t="str">
        <f>HYPERLINK("https://www.boe.es/gazeta/dias/1805/07/23/pdfs/GMD-1805-59.pdf#page=11","Abrir facsímil")</f>
        <v>Abrir facsímil</v>
      </c>
      <c r="K3214" s="15" t="s">
        <v>22</v>
      </c>
    </row>
    <row r="3215" spans="1:11" ht="42" customHeight="1">
      <c r="A3215" s="4" t="s">
        <v>7619</v>
      </c>
      <c r="B3215" s="5" t="s">
        <v>7619</v>
      </c>
      <c r="C3215" s="5" t="s">
        <v>17</v>
      </c>
      <c r="D3215" s="5" t="s">
        <v>18</v>
      </c>
      <c r="E3215" s="5" t="s">
        <v>649</v>
      </c>
      <c r="F3215" s="9">
        <v>7</v>
      </c>
      <c r="G3215" s="9">
        <v>80</v>
      </c>
      <c r="H3215" s="5" t="s">
        <v>20</v>
      </c>
      <c r="I3215" s="5" t="s">
        <v>7620</v>
      </c>
      <c r="J3215" s="12" t="str">
        <f>HYPERLINK("https://www.boe.es/gazeta/dias/1805/01/22/pdfs/GMD-1805-7.pdf#page=12","Abrir facsímil")</f>
        <v>Abrir facsímil</v>
      </c>
      <c r="K3215" s="15" t="s">
        <v>22</v>
      </c>
    </row>
    <row r="3216" spans="1:11" ht="42" customHeight="1">
      <c r="A3216" s="4" t="s">
        <v>7621</v>
      </c>
      <c r="B3216" s="5" t="s">
        <v>7621</v>
      </c>
      <c r="C3216" s="5" t="s">
        <v>85</v>
      </c>
      <c r="D3216" s="5" t="s">
        <v>86</v>
      </c>
      <c r="E3216" s="5" t="s">
        <v>76</v>
      </c>
      <c r="F3216" s="9">
        <v>66</v>
      </c>
      <c r="G3216" s="9">
        <v>708</v>
      </c>
      <c r="H3216" s="5" t="s">
        <v>20</v>
      </c>
      <c r="I3216" s="5" t="s">
        <v>7622</v>
      </c>
      <c r="J3216" s="12" t="str">
        <f>HYPERLINK("https://www.boe.es/gazeta/dias/1805/08/16/pdfs/GMD-1805-66.pdf#page=8","Abrir facsímil")</f>
        <v>Abrir facsímil</v>
      </c>
      <c r="K3216" s="15" t="s">
        <v>22</v>
      </c>
    </row>
    <row r="3217" spans="1:11" ht="42" customHeight="1">
      <c r="A3217" s="4" t="s">
        <v>7623</v>
      </c>
      <c r="B3217" s="5" t="s">
        <v>7623</v>
      </c>
      <c r="C3217" s="5" t="s">
        <v>85</v>
      </c>
      <c r="D3217" s="5" t="s">
        <v>86</v>
      </c>
      <c r="E3217" s="5" t="s">
        <v>276</v>
      </c>
      <c r="F3217" s="9">
        <v>51</v>
      </c>
      <c r="G3217" s="9">
        <v>550</v>
      </c>
      <c r="H3217" s="5" t="s">
        <v>20</v>
      </c>
      <c r="I3217" s="5" t="s">
        <v>7624</v>
      </c>
      <c r="J3217" s="12" t="str">
        <f>HYPERLINK("https://www.boe.es/gazeta/dias/1805/06/25/pdfs/GMD-1805-51.pdf#page=6","Abrir facsímil")</f>
        <v>Abrir facsímil</v>
      </c>
      <c r="K3217" s="15" t="s">
        <v>22</v>
      </c>
    </row>
    <row r="3218" spans="1:11" ht="42" customHeight="1">
      <c r="A3218" s="4" t="s">
        <v>7625</v>
      </c>
      <c r="B3218" s="5" t="s">
        <v>7625</v>
      </c>
      <c r="C3218" s="5" t="s">
        <v>85</v>
      </c>
      <c r="D3218" s="5" t="s">
        <v>86</v>
      </c>
      <c r="E3218" s="5" t="s">
        <v>300</v>
      </c>
      <c r="F3218" s="9">
        <v>81</v>
      </c>
      <c r="G3218" s="9">
        <v>858</v>
      </c>
      <c r="H3218" s="5" t="s">
        <v>20</v>
      </c>
      <c r="I3218" s="5" t="s">
        <v>7626</v>
      </c>
      <c r="J3218" s="12" t="str">
        <f>HYPERLINK("https://www.boe.es/gazeta/dias/1805/10/08/pdfs/GMD-1805-81.pdf#page=6","Abrir facsímil")</f>
        <v>Abrir facsímil</v>
      </c>
      <c r="K3218" s="15" t="s">
        <v>22</v>
      </c>
    </row>
    <row r="3219" spans="1:11" ht="42" customHeight="1">
      <c r="A3219" s="4" t="s">
        <v>7627</v>
      </c>
      <c r="B3219" s="5" t="s">
        <v>7627</v>
      </c>
      <c r="C3219" s="5" t="s">
        <v>52</v>
      </c>
      <c r="D3219" s="5" t="s">
        <v>53</v>
      </c>
      <c r="E3219" s="5" t="s">
        <v>82</v>
      </c>
      <c r="F3219" s="9">
        <v>25</v>
      </c>
      <c r="G3219" s="9" t="s">
        <v>222</v>
      </c>
      <c r="H3219" s="5" t="s">
        <v>20</v>
      </c>
      <c r="I3219" s="5" t="s">
        <v>7628</v>
      </c>
      <c r="J3219" s="12" t="str">
        <f>HYPERLINK("https://www.boe.es/gazeta/dias/1805/03/26/pdfs/GMD-C-1805-25.pdf#page=1","Abrir facsímil")</f>
        <v>Abrir facsímil</v>
      </c>
      <c r="K3219" s="15" t="s">
        <v>22</v>
      </c>
    </row>
    <row r="3220" spans="1:11" ht="42" customHeight="1">
      <c r="A3220" s="4" t="s">
        <v>7629</v>
      </c>
      <c r="B3220" s="5" t="s">
        <v>7629</v>
      </c>
      <c r="C3220" s="5" t="s">
        <v>17</v>
      </c>
      <c r="D3220" s="5" t="s">
        <v>18</v>
      </c>
      <c r="E3220" s="5" t="s">
        <v>63</v>
      </c>
      <c r="F3220" s="9">
        <v>101</v>
      </c>
      <c r="G3220" s="9">
        <v>1092</v>
      </c>
      <c r="H3220" s="5" t="s">
        <v>20</v>
      </c>
      <c r="I3220" s="5" t="s">
        <v>7630</v>
      </c>
      <c r="J3220" s="12" t="str">
        <f>HYPERLINK("https://www.boe.es/gazeta/dias/1805/12/17/pdfs/GMD-1805-101.pdf#page=8","Abrir facsímil")</f>
        <v>Abrir facsímil</v>
      </c>
      <c r="K3220" s="15" t="s">
        <v>22</v>
      </c>
    </row>
    <row r="3221" spans="1:11" ht="42" customHeight="1">
      <c r="A3221" s="4" t="s">
        <v>7631</v>
      </c>
      <c r="B3221" s="5" t="s">
        <v>7631</v>
      </c>
      <c r="C3221" s="5" t="s">
        <v>17</v>
      </c>
      <c r="D3221" s="5" t="s">
        <v>18</v>
      </c>
      <c r="E3221" s="5" t="s">
        <v>63</v>
      </c>
      <c r="F3221" s="9">
        <v>101</v>
      </c>
      <c r="G3221" s="9">
        <v>1092</v>
      </c>
      <c r="H3221" s="5" t="s">
        <v>20</v>
      </c>
      <c r="I3221" s="5" t="s">
        <v>7632</v>
      </c>
      <c r="J3221" s="12" t="str">
        <f>HYPERLINK("https://www.boe.es/gazeta/dias/1805/12/17/pdfs/GMD-1805-101.pdf#page=8","Abrir facsímil")</f>
        <v>Abrir facsímil</v>
      </c>
      <c r="K3221" s="15" t="s">
        <v>22</v>
      </c>
    </row>
    <row r="3222" spans="1:11" ht="42" customHeight="1">
      <c r="A3222" s="4" t="s">
        <v>7633</v>
      </c>
      <c r="B3222" s="5" t="s">
        <v>7633</v>
      </c>
      <c r="C3222" s="5" t="s">
        <v>29</v>
      </c>
      <c r="D3222" s="5" t="s">
        <v>30</v>
      </c>
      <c r="E3222" s="5" t="s">
        <v>87</v>
      </c>
      <c r="F3222" s="9">
        <v>14</v>
      </c>
      <c r="G3222" s="9">
        <v>148</v>
      </c>
      <c r="H3222" s="5" t="s">
        <v>20</v>
      </c>
      <c r="I3222" s="5" t="s">
        <v>7634</v>
      </c>
      <c r="J3222" s="12" t="str">
        <f>HYPERLINK("https://www.boe.es/gazeta/dias/1805/02/15/pdfs/GMD-1805-14.pdf#page=8","Abrir facsímil")</f>
        <v>Abrir facsímil</v>
      </c>
      <c r="K3222" s="15" t="s">
        <v>22</v>
      </c>
    </row>
    <row r="3223" spans="1:11" ht="42" customHeight="1">
      <c r="A3223" s="4" t="s">
        <v>7635</v>
      </c>
      <c r="B3223" s="5" t="s">
        <v>7635</v>
      </c>
      <c r="C3223" s="5" t="s">
        <v>35</v>
      </c>
      <c r="D3223" s="5" t="s">
        <v>36</v>
      </c>
      <c r="E3223" s="5" t="s">
        <v>711</v>
      </c>
      <c r="F3223" s="9">
        <v>63</v>
      </c>
      <c r="G3223" s="9">
        <v>673</v>
      </c>
      <c r="H3223" s="5" t="s">
        <v>20</v>
      </c>
      <c r="I3223" s="5" t="s">
        <v>7636</v>
      </c>
      <c r="J3223" s="12" t="str">
        <f>HYPERLINK("https://www.boe.es/gazeta/dias/1805/08/06/pdfs/GMD-1805-63.pdf#page=9","Abrir facsímil")</f>
        <v>Abrir facsímil</v>
      </c>
      <c r="K3223" s="15" t="s">
        <v>22</v>
      </c>
    </row>
    <row r="3224" spans="1:11" ht="42" customHeight="1">
      <c r="A3224" s="4" t="s">
        <v>7635</v>
      </c>
      <c r="B3224" s="5" t="s">
        <v>7635</v>
      </c>
      <c r="C3224" s="5" t="s">
        <v>35</v>
      </c>
      <c r="D3224" s="5" t="s">
        <v>36</v>
      </c>
      <c r="E3224" s="5" t="s">
        <v>217</v>
      </c>
      <c r="F3224" s="9">
        <v>96</v>
      </c>
      <c r="G3224" s="9">
        <v>1030</v>
      </c>
      <c r="H3224" s="5" t="s">
        <v>20</v>
      </c>
      <c r="I3224" s="5" t="s">
        <v>7637</v>
      </c>
      <c r="J3224" s="12" t="str">
        <f>HYPERLINK("https://www.boe.es/gazeta/dias/1805/11/29/pdfs/GMD-1805-96.pdf#page=6","Abrir facsímil")</f>
        <v>Abrir facsímil</v>
      </c>
      <c r="K3224" s="15" t="s">
        <v>22</v>
      </c>
    </row>
    <row r="3225" spans="1:11" ht="42" customHeight="1">
      <c r="A3225" s="4" t="s">
        <v>7638</v>
      </c>
      <c r="B3225" s="5" t="s">
        <v>7638</v>
      </c>
      <c r="C3225" s="5" t="s">
        <v>35</v>
      </c>
      <c r="D3225" s="5" t="s">
        <v>36</v>
      </c>
      <c r="E3225" s="5" t="s">
        <v>456</v>
      </c>
      <c r="F3225" s="9">
        <v>70</v>
      </c>
      <c r="G3225" s="9">
        <v>746</v>
      </c>
      <c r="H3225" s="5" t="s">
        <v>20</v>
      </c>
      <c r="I3225" s="5" t="s">
        <v>7639</v>
      </c>
      <c r="J3225" s="12" t="str">
        <f>HYPERLINK("https://www.boe.es/gazeta/dias/1805/08/30/pdfs/GMD-1805-70.pdf#page=6","Abrir facsímil")</f>
        <v>Abrir facsímil</v>
      </c>
      <c r="K3225" s="15" t="s">
        <v>22</v>
      </c>
    </row>
    <row r="3226" spans="1:11" ht="42" customHeight="1">
      <c r="A3226" s="4" t="s">
        <v>7640</v>
      </c>
      <c r="B3226" s="5" t="s">
        <v>7640</v>
      </c>
      <c r="C3226" s="5" t="s">
        <v>17</v>
      </c>
      <c r="D3226" s="5" t="s">
        <v>18</v>
      </c>
      <c r="E3226" s="5" t="s">
        <v>711</v>
      </c>
      <c r="F3226" s="9">
        <v>63</v>
      </c>
      <c r="G3226" s="9">
        <v>673</v>
      </c>
      <c r="H3226" s="5" t="s">
        <v>20</v>
      </c>
      <c r="I3226" s="5" t="s">
        <v>7641</v>
      </c>
      <c r="J3226" s="12" t="str">
        <f>HYPERLINK("https://www.boe.es/gazeta/dias/1805/08/06/pdfs/GMD-1805-63.pdf#page=9","Abrir facsímil")</f>
        <v>Abrir facsímil</v>
      </c>
      <c r="K3226" s="15" t="s">
        <v>22</v>
      </c>
    </row>
    <row r="3227" spans="1:11" ht="42" customHeight="1">
      <c r="A3227" s="4" t="s">
        <v>7642</v>
      </c>
      <c r="B3227" s="5" t="s">
        <v>7643</v>
      </c>
      <c r="C3227" s="5" t="s">
        <v>17</v>
      </c>
      <c r="D3227" s="5" t="s">
        <v>18</v>
      </c>
      <c r="E3227" s="5" t="s">
        <v>904</v>
      </c>
      <c r="F3227" s="9">
        <v>47</v>
      </c>
      <c r="G3227" s="9">
        <v>510</v>
      </c>
      <c r="H3227" s="5" t="s">
        <v>20</v>
      </c>
      <c r="I3227" s="5" t="s">
        <v>7644</v>
      </c>
      <c r="J3227" s="12" t="str">
        <f>HYPERLINK("https://www.boe.es/gazeta/dias/1805/06/11/pdfs/GMD-1805-47.pdf#page=10","Abrir facsímil")</f>
        <v>Abrir facsímil</v>
      </c>
      <c r="K3227" s="15" t="s">
        <v>22</v>
      </c>
    </row>
    <row r="3228" spans="1:11" ht="42" customHeight="1">
      <c r="A3228" s="4" t="s">
        <v>7645</v>
      </c>
      <c r="B3228" s="5" t="s">
        <v>7646</v>
      </c>
      <c r="C3228" s="5" t="s">
        <v>17</v>
      </c>
      <c r="D3228" s="5" t="s">
        <v>18</v>
      </c>
      <c r="E3228" s="5" t="s">
        <v>393</v>
      </c>
      <c r="F3228" s="9">
        <v>44</v>
      </c>
      <c r="G3228" s="9">
        <v>475</v>
      </c>
      <c r="H3228" s="5" t="s">
        <v>20</v>
      </c>
      <c r="I3228" s="5" t="s">
        <v>7647</v>
      </c>
      <c r="J3228" s="12" t="str">
        <f>HYPERLINK("https://www.boe.es/gazeta/dias/1805/05/31/pdfs/GMD-1805-44.pdf#page=11","Abrir facsímil")</f>
        <v>Abrir facsímil</v>
      </c>
      <c r="K3228" s="15" t="s">
        <v>22</v>
      </c>
    </row>
    <row r="3229" spans="1:11" ht="42" customHeight="1">
      <c r="A3229" s="4" t="s">
        <v>7648</v>
      </c>
      <c r="B3229" s="5" t="s">
        <v>7648</v>
      </c>
      <c r="C3229" s="5" t="s">
        <v>52</v>
      </c>
      <c r="D3229" s="5" t="s">
        <v>53</v>
      </c>
      <c r="E3229" s="5" t="s">
        <v>82</v>
      </c>
      <c r="F3229" s="9">
        <v>25</v>
      </c>
      <c r="G3229" s="9" t="s">
        <v>145</v>
      </c>
      <c r="H3229" s="5" t="s">
        <v>20</v>
      </c>
      <c r="I3229" s="5" t="s">
        <v>7649</v>
      </c>
      <c r="J3229" s="12" t="str">
        <f>HYPERLINK("https://www.boe.es/gazeta/dias/1805/03/26/pdfs/GMD-C-1805-25.pdf#page=2","Abrir facsímil")</f>
        <v>Abrir facsímil</v>
      </c>
      <c r="K3229" s="15" t="s">
        <v>22</v>
      </c>
    </row>
    <row r="3230" spans="1:11" ht="42" customHeight="1">
      <c r="A3230" s="4" t="s">
        <v>7650</v>
      </c>
      <c r="B3230" s="5" t="s">
        <v>7650</v>
      </c>
      <c r="C3230" s="5" t="s">
        <v>35</v>
      </c>
      <c r="D3230" s="5" t="s">
        <v>36</v>
      </c>
      <c r="E3230" s="5" t="s">
        <v>192</v>
      </c>
      <c r="F3230" s="9">
        <v>105</v>
      </c>
      <c r="G3230" s="9">
        <v>1137</v>
      </c>
      <c r="H3230" s="5" t="s">
        <v>20</v>
      </c>
      <c r="I3230" s="5" t="s">
        <v>7651</v>
      </c>
      <c r="J3230" s="12" t="str">
        <f>HYPERLINK("https://www.boe.es/gazeta/dias/1805/12/31/pdfs/GMD-1805-105.pdf#page=9","Abrir facsímil")</f>
        <v>Abrir facsímil</v>
      </c>
      <c r="K3230" s="15" t="s">
        <v>22</v>
      </c>
    </row>
    <row r="3231" spans="1:11" ht="42" customHeight="1">
      <c r="A3231" s="4" t="s">
        <v>7652</v>
      </c>
      <c r="B3231" s="5" t="s">
        <v>7653</v>
      </c>
      <c r="C3231" s="5" t="s">
        <v>85</v>
      </c>
      <c r="D3231" s="5" t="s">
        <v>86</v>
      </c>
      <c r="E3231" s="5" t="s">
        <v>303</v>
      </c>
      <c r="F3231" s="9">
        <v>57</v>
      </c>
      <c r="G3231" s="9">
        <v>614</v>
      </c>
      <c r="H3231" s="5" t="s">
        <v>20</v>
      </c>
      <c r="I3231" s="5" t="s">
        <v>7654</v>
      </c>
      <c r="J3231" s="12" t="str">
        <f>HYPERLINK("https://www.boe.es/gazeta/dias/1805/07/16/pdfs/GMD-1805-57.pdf#page=10","Abrir facsímil")</f>
        <v>Abrir facsímil</v>
      </c>
      <c r="K3231" s="15" t="s">
        <v>22</v>
      </c>
    </row>
    <row r="3232" spans="1:11" ht="42" customHeight="1">
      <c r="A3232" s="4" t="s">
        <v>7655</v>
      </c>
      <c r="B3232" s="5" t="s">
        <v>7655</v>
      </c>
      <c r="C3232" s="5" t="s">
        <v>35</v>
      </c>
      <c r="D3232" s="5" t="s">
        <v>36</v>
      </c>
      <c r="E3232" s="5" t="s">
        <v>296</v>
      </c>
      <c r="F3232" s="9">
        <v>26</v>
      </c>
      <c r="G3232" s="9">
        <v>280</v>
      </c>
      <c r="H3232" s="5" t="s">
        <v>20</v>
      </c>
      <c r="I3232" s="5" t="s">
        <v>7656</v>
      </c>
      <c r="J3232" s="12" t="str">
        <f>HYPERLINK("https://www.boe.es/gazeta/dias/1805/03/29/pdfs/GMD-1805-26.pdf#page=12","Abrir facsímil")</f>
        <v>Abrir facsímil</v>
      </c>
      <c r="K3232" s="15" t="s">
        <v>22</v>
      </c>
    </row>
    <row r="3233" spans="1:11" ht="42" customHeight="1">
      <c r="A3233" s="4" t="s">
        <v>7657</v>
      </c>
      <c r="B3233" s="5" t="s">
        <v>7657</v>
      </c>
      <c r="C3233" s="5" t="s">
        <v>85</v>
      </c>
      <c r="D3233" s="5" t="s">
        <v>86</v>
      </c>
      <c r="E3233" s="5" t="s">
        <v>512</v>
      </c>
      <c r="F3233" s="9">
        <v>100</v>
      </c>
      <c r="G3233" s="9">
        <v>1081</v>
      </c>
      <c r="H3233" s="5" t="s">
        <v>20</v>
      </c>
      <c r="I3233" s="5" t="s">
        <v>7658</v>
      </c>
      <c r="J3233" s="12" t="str">
        <f>HYPERLINK("https://www.boe.es/gazeta/dias/1805/12/13/pdfs/GMD-1805-100.pdf#page=9","Abrir facsímil")</f>
        <v>Abrir facsímil</v>
      </c>
      <c r="K3233" s="15" t="s">
        <v>22</v>
      </c>
    </row>
    <row r="3234" spans="1:11" ht="42" customHeight="1">
      <c r="A3234" s="4" t="s">
        <v>7657</v>
      </c>
      <c r="B3234" s="5" t="s">
        <v>7657</v>
      </c>
      <c r="C3234" s="5" t="s">
        <v>35</v>
      </c>
      <c r="D3234" s="5" t="s">
        <v>36</v>
      </c>
      <c r="E3234" s="5" t="s">
        <v>138</v>
      </c>
      <c r="F3234" s="9">
        <v>102</v>
      </c>
      <c r="G3234" s="9">
        <v>1102</v>
      </c>
      <c r="H3234" s="5" t="s">
        <v>20</v>
      </c>
      <c r="I3234" s="5" t="s">
        <v>7659</v>
      </c>
      <c r="J3234" s="12" t="str">
        <f>HYPERLINK("https://www.boe.es/gazeta/dias/1805/12/20/pdfs/GMD-1805-102.pdf#page=6","Abrir facsímil")</f>
        <v>Abrir facsímil</v>
      </c>
      <c r="K3234" s="15" t="s">
        <v>22</v>
      </c>
    </row>
    <row r="3235" spans="1:11" ht="42" customHeight="1">
      <c r="A3235" s="4" t="s">
        <v>7660</v>
      </c>
      <c r="B3235" s="5" t="s">
        <v>7660</v>
      </c>
      <c r="C3235" s="5" t="s">
        <v>35</v>
      </c>
      <c r="D3235" s="5" t="s">
        <v>36</v>
      </c>
      <c r="E3235" s="5" t="s">
        <v>1445</v>
      </c>
      <c r="F3235" s="9">
        <v>6</v>
      </c>
      <c r="G3235" s="9">
        <v>66</v>
      </c>
      <c r="H3235" s="5" t="s">
        <v>20</v>
      </c>
      <c r="I3235" s="5" t="s">
        <v>7661</v>
      </c>
      <c r="J3235" s="12" t="str">
        <f>HYPERLINK("https://www.boe.es/gazeta/dias/1805/01/18/pdfs/GMD-1805-6.pdf#page=10","Abrir facsímil")</f>
        <v>Abrir facsímil</v>
      </c>
      <c r="K3235" s="15" t="s">
        <v>22</v>
      </c>
    </row>
    <row r="3236" spans="1:11" ht="42" customHeight="1">
      <c r="A3236" s="4" t="s">
        <v>7662</v>
      </c>
      <c r="B3236" s="5" t="s">
        <v>7662</v>
      </c>
      <c r="C3236" s="5" t="s">
        <v>29</v>
      </c>
      <c r="D3236" s="5" t="s">
        <v>30</v>
      </c>
      <c r="E3236" s="5" t="s">
        <v>128</v>
      </c>
      <c r="F3236" s="9">
        <v>23</v>
      </c>
      <c r="G3236" s="9">
        <v>247</v>
      </c>
      <c r="H3236" s="5" t="s">
        <v>20</v>
      </c>
      <c r="I3236" s="5" t="s">
        <v>7663</v>
      </c>
      <c r="J3236" s="12" t="str">
        <f>HYPERLINK("https://www.boe.es/gazeta/dias/1805/03/19/pdfs/GMD-1805-23.pdf#page=11","Abrir facsímil")</f>
        <v>Abrir facsímil</v>
      </c>
      <c r="K3236" s="15" t="s">
        <v>22</v>
      </c>
    </row>
    <row r="3237" spans="1:11" ht="42" customHeight="1">
      <c r="A3237" s="4" t="s">
        <v>7662</v>
      </c>
      <c r="B3237" s="5" t="s">
        <v>7662</v>
      </c>
      <c r="C3237" s="5" t="s">
        <v>85</v>
      </c>
      <c r="D3237" s="5" t="s">
        <v>86</v>
      </c>
      <c r="E3237" s="5" t="s">
        <v>76</v>
      </c>
      <c r="F3237" s="9">
        <v>66</v>
      </c>
      <c r="G3237" s="9">
        <v>705</v>
      </c>
      <c r="H3237" s="5" t="s">
        <v>20</v>
      </c>
      <c r="I3237" s="5" t="s">
        <v>7664</v>
      </c>
      <c r="J3237" s="12" t="str">
        <f>HYPERLINK("https://www.boe.es/gazeta/dias/1805/08/16/pdfs/GMD-1805-66.pdf#page=5","Abrir facsímil")</f>
        <v>Abrir facsímil</v>
      </c>
      <c r="K3237" s="15" t="s">
        <v>22</v>
      </c>
    </row>
    <row r="3238" spans="1:11" ht="42" customHeight="1">
      <c r="A3238" s="4" t="s">
        <v>7665</v>
      </c>
      <c r="B3238" s="5" t="s">
        <v>7665</v>
      </c>
      <c r="C3238" s="5" t="s">
        <v>35</v>
      </c>
      <c r="D3238" s="5" t="s">
        <v>36</v>
      </c>
      <c r="E3238" s="5" t="s">
        <v>91</v>
      </c>
      <c r="F3238" s="9">
        <v>28</v>
      </c>
      <c r="G3238" s="9">
        <v>301</v>
      </c>
      <c r="H3238" s="5" t="s">
        <v>20</v>
      </c>
      <c r="I3238" s="5" t="s">
        <v>7666</v>
      </c>
      <c r="J3238" s="12" t="str">
        <f>HYPERLINK("https://www.boe.es/gazeta/dias/1805/04/05/pdfs/GMD-1805-28.pdf#page=9","Abrir facsímil")</f>
        <v>Abrir facsímil</v>
      </c>
      <c r="K3238" s="15" t="s">
        <v>22</v>
      </c>
    </row>
    <row r="3239" spans="1:11" ht="42" customHeight="1">
      <c r="A3239" s="4" t="s">
        <v>7667</v>
      </c>
      <c r="B3239" s="5" t="s">
        <v>7667</v>
      </c>
      <c r="C3239" s="5" t="s">
        <v>35</v>
      </c>
      <c r="D3239" s="5" t="s">
        <v>36</v>
      </c>
      <c r="E3239" s="5" t="s">
        <v>63</v>
      </c>
      <c r="F3239" s="9">
        <v>101</v>
      </c>
      <c r="G3239" s="9">
        <v>1092</v>
      </c>
      <c r="H3239" s="5" t="s">
        <v>20</v>
      </c>
      <c r="I3239" s="5" t="s">
        <v>7668</v>
      </c>
      <c r="J3239" s="12" t="str">
        <f>HYPERLINK("https://www.boe.es/gazeta/dias/1805/12/17/pdfs/GMD-1805-101.pdf#page=8","Abrir facsímil")</f>
        <v>Abrir facsímil</v>
      </c>
      <c r="K3239" s="15" t="s">
        <v>22</v>
      </c>
    </row>
    <row r="3240" spans="1:11" ht="42" customHeight="1">
      <c r="A3240" s="4" t="s">
        <v>7669</v>
      </c>
      <c r="B3240" s="5" t="s">
        <v>7670</v>
      </c>
      <c r="C3240" s="5" t="s">
        <v>85</v>
      </c>
      <c r="D3240" s="5" t="s">
        <v>86</v>
      </c>
      <c r="E3240" s="5" t="s">
        <v>128</v>
      </c>
      <c r="F3240" s="9">
        <v>23</v>
      </c>
      <c r="G3240" s="9">
        <v>246</v>
      </c>
      <c r="H3240" s="5" t="s">
        <v>20</v>
      </c>
      <c r="I3240" s="5" t="s">
        <v>7671</v>
      </c>
      <c r="J3240" s="12" t="str">
        <f>HYPERLINK("https://www.boe.es/gazeta/dias/1805/03/19/pdfs/GMD-1805-23.pdf#page=10","Abrir facsímil")</f>
        <v>Abrir facsímil</v>
      </c>
      <c r="K3240" s="15" t="s">
        <v>22</v>
      </c>
    </row>
    <row r="3241" spans="1:11" ht="42" customHeight="1">
      <c r="A3241" s="4" t="s">
        <v>7672</v>
      </c>
      <c r="B3241" s="5" t="s">
        <v>7672</v>
      </c>
      <c r="C3241" s="5" t="s">
        <v>29</v>
      </c>
      <c r="D3241" s="5" t="s">
        <v>30</v>
      </c>
      <c r="E3241" s="5" t="s">
        <v>148</v>
      </c>
      <c r="F3241" s="9">
        <v>50</v>
      </c>
      <c r="G3241" s="9">
        <v>543</v>
      </c>
      <c r="H3241" s="5" t="s">
        <v>20</v>
      </c>
      <c r="I3241" s="5" t="s">
        <v>7673</v>
      </c>
      <c r="J3241" s="12" t="str">
        <f>HYPERLINK("https://www.boe.es/gazeta/dias/1805/06/21/pdfs/GMD-1805-50.pdf#page=11","Abrir facsímil")</f>
        <v>Abrir facsímil</v>
      </c>
      <c r="K3241" s="15" t="s">
        <v>22</v>
      </c>
    </row>
    <row r="3242" spans="1:11" ht="42" customHeight="1">
      <c r="A3242" s="4" t="s">
        <v>7674</v>
      </c>
      <c r="B3242" s="5" t="s">
        <v>7674</v>
      </c>
      <c r="C3242" s="5" t="s">
        <v>35</v>
      </c>
      <c r="D3242" s="5" t="s">
        <v>36</v>
      </c>
      <c r="E3242" s="5" t="s">
        <v>87</v>
      </c>
      <c r="F3242" s="9">
        <v>14</v>
      </c>
      <c r="G3242" s="9">
        <v>147</v>
      </c>
      <c r="H3242" s="5" t="s">
        <v>20</v>
      </c>
      <c r="I3242" s="5" t="s">
        <v>7675</v>
      </c>
      <c r="J3242" s="12" t="str">
        <f>HYPERLINK("https://www.boe.es/gazeta/dias/1805/02/15/pdfs/GMD-1805-14.pdf#page=7","Abrir facsímil")</f>
        <v>Abrir facsímil</v>
      </c>
      <c r="K3242" s="15" t="s">
        <v>22</v>
      </c>
    </row>
    <row r="3243" spans="1:11" ht="42" customHeight="1">
      <c r="A3243" s="4" t="s">
        <v>7676</v>
      </c>
      <c r="B3243" s="5" t="s">
        <v>7676</v>
      </c>
      <c r="C3243" s="5" t="s">
        <v>85</v>
      </c>
      <c r="D3243" s="5" t="s">
        <v>86</v>
      </c>
      <c r="E3243" s="5" t="s">
        <v>138</v>
      </c>
      <c r="F3243" s="9">
        <v>102</v>
      </c>
      <c r="G3243" s="9">
        <v>1105</v>
      </c>
      <c r="H3243" s="5" t="s">
        <v>20</v>
      </c>
      <c r="I3243" s="5" t="s">
        <v>7677</v>
      </c>
      <c r="J3243" s="12" t="str">
        <f>HYPERLINK("https://www.boe.es/gazeta/dias/1805/12/20/pdfs/GMD-1805-102.pdf#page=9","Abrir facsímil")</f>
        <v>Abrir facsímil</v>
      </c>
      <c r="K3243" s="15" t="s">
        <v>22</v>
      </c>
    </row>
    <row r="3244" spans="1:11" ht="42" customHeight="1">
      <c r="A3244" s="4" t="s">
        <v>7678</v>
      </c>
      <c r="B3244" s="5" t="s">
        <v>7678</v>
      </c>
      <c r="C3244" s="5" t="s">
        <v>35</v>
      </c>
      <c r="D3244" s="5" t="s">
        <v>36</v>
      </c>
      <c r="E3244" s="5" t="s">
        <v>290</v>
      </c>
      <c r="F3244" s="9">
        <v>36</v>
      </c>
      <c r="G3244" s="9">
        <v>389</v>
      </c>
      <c r="H3244" s="5" t="s">
        <v>20</v>
      </c>
      <c r="I3244" s="5" t="s">
        <v>7679</v>
      </c>
      <c r="J3244" s="12" t="str">
        <f>HYPERLINK("https://www.boe.es/gazeta/dias/1805/05/03/pdfs/GMD-1805-36.pdf#page=9","Abrir facsímil")</f>
        <v>Abrir facsímil</v>
      </c>
      <c r="K3244" s="15" t="s">
        <v>22</v>
      </c>
    </row>
    <row r="3245" spans="1:11" ht="42" customHeight="1">
      <c r="A3245" s="4" t="s">
        <v>7680</v>
      </c>
      <c r="B3245" s="5" t="s">
        <v>7680</v>
      </c>
      <c r="C3245" s="5" t="s">
        <v>35</v>
      </c>
      <c r="D3245" s="5" t="s">
        <v>36</v>
      </c>
      <c r="E3245" s="5" t="s">
        <v>352</v>
      </c>
      <c r="F3245" s="9">
        <v>60</v>
      </c>
      <c r="G3245" s="9">
        <v>648</v>
      </c>
      <c r="H3245" s="5" t="s">
        <v>20</v>
      </c>
      <c r="I3245" s="5" t="s">
        <v>7681</v>
      </c>
      <c r="J3245" s="12" t="str">
        <f>HYPERLINK("https://www.boe.es/gazeta/dias/1805/07/26/pdfs/GMD-1805-60.pdf#page=12","Abrir facsímil")</f>
        <v>Abrir facsímil</v>
      </c>
      <c r="K3245" s="15" t="s">
        <v>22</v>
      </c>
    </row>
    <row r="3246" spans="1:11" ht="42" customHeight="1">
      <c r="A3246" s="4" t="s">
        <v>7682</v>
      </c>
      <c r="B3246" s="5" t="s">
        <v>7682</v>
      </c>
      <c r="C3246" s="5" t="s">
        <v>17</v>
      </c>
      <c r="D3246" s="5" t="s">
        <v>18</v>
      </c>
      <c r="E3246" s="5" t="s">
        <v>59</v>
      </c>
      <c r="F3246" s="9">
        <v>21</v>
      </c>
      <c r="G3246" s="9">
        <v>220</v>
      </c>
      <c r="H3246" s="5" t="s">
        <v>20</v>
      </c>
      <c r="I3246" s="5" t="s">
        <v>7683</v>
      </c>
      <c r="J3246" s="12" t="str">
        <f>HYPERLINK("https://www.boe.es/gazeta/dias/1805/03/12/pdfs/GMD-1805-21.pdf#page=8","Abrir facsímil")</f>
        <v>Abrir facsímil</v>
      </c>
      <c r="K3246" s="15" t="s">
        <v>22</v>
      </c>
    </row>
    <row r="3247" spans="1:11" ht="42" customHeight="1">
      <c r="A3247" s="4" t="s">
        <v>7682</v>
      </c>
      <c r="B3247" s="5" t="s">
        <v>7682</v>
      </c>
      <c r="C3247" s="5" t="s">
        <v>35</v>
      </c>
      <c r="D3247" s="5" t="s">
        <v>36</v>
      </c>
      <c r="E3247" s="5" t="s">
        <v>148</v>
      </c>
      <c r="F3247" s="9">
        <v>50</v>
      </c>
      <c r="G3247" s="9">
        <v>541</v>
      </c>
      <c r="H3247" s="5" t="s">
        <v>20</v>
      </c>
      <c r="I3247" s="5" t="s">
        <v>7684</v>
      </c>
      <c r="J3247" s="12" t="str">
        <f>HYPERLINK("https://www.boe.es/gazeta/dias/1805/06/21/pdfs/GMD-1805-50.pdf#page=9","Abrir facsímil")</f>
        <v>Abrir facsímil</v>
      </c>
      <c r="K3247" s="15" t="s">
        <v>22</v>
      </c>
    </row>
    <row r="3248" spans="1:11" ht="42" customHeight="1">
      <c r="A3248" s="4" t="s">
        <v>7685</v>
      </c>
      <c r="B3248" s="5" t="s">
        <v>7685</v>
      </c>
      <c r="C3248" s="5" t="s">
        <v>35</v>
      </c>
      <c r="D3248" s="5" t="s">
        <v>36</v>
      </c>
      <c r="E3248" s="5" t="s">
        <v>886</v>
      </c>
      <c r="F3248" s="9">
        <v>93</v>
      </c>
      <c r="G3248" s="9">
        <v>997</v>
      </c>
      <c r="H3248" s="5" t="s">
        <v>20</v>
      </c>
      <c r="I3248" s="5" t="s">
        <v>7686</v>
      </c>
      <c r="J3248" s="12" t="str">
        <f>HYPERLINK("https://www.boe.es/gazeta/dias/1805/11/19/pdfs/GMD-1805-93.pdf#page=9","Abrir facsímil")</f>
        <v>Abrir facsímil</v>
      </c>
      <c r="K3248" s="15" t="s">
        <v>22</v>
      </c>
    </row>
    <row r="3249" spans="1:11" ht="42" customHeight="1">
      <c r="A3249" s="4" t="s">
        <v>7687</v>
      </c>
      <c r="B3249" s="5" t="s">
        <v>7688</v>
      </c>
      <c r="C3249" s="5" t="s">
        <v>35</v>
      </c>
      <c r="D3249" s="5" t="s">
        <v>36</v>
      </c>
      <c r="E3249" s="5" t="s">
        <v>163</v>
      </c>
      <c r="F3249" s="9">
        <v>77</v>
      </c>
      <c r="G3249" s="9">
        <v>817</v>
      </c>
      <c r="H3249" s="5" t="s">
        <v>20</v>
      </c>
      <c r="I3249" s="5" t="s">
        <v>7689</v>
      </c>
      <c r="J3249" s="12" t="str">
        <f>HYPERLINK("https://www.boe.es/gazeta/dias/1805/09/24/pdfs/GMD-1805-77.pdf#page=9","Abrir facsímil")</f>
        <v>Abrir facsímil</v>
      </c>
      <c r="K3249" s="15" t="s">
        <v>22</v>
      </c>
    </row>
    <row r="3250" spans="1:11" ht="42" customHeight="1">
      <c r="A3250" s="4" t="s">
        <v>7690</v>
      </c>
      <c r="B3250" s="5" t="s">
        <v>7690</v>
      </c>
      <c r="C3250" s="5" t="s">
        <v>35</v>
      </c>
      <c r="D3250" s="5" t="s">
        <v>36</v>
      </c>
      <c r="E3250" s="5" t="s">
        <v>226</v>
      </c>
      <c r="F3250" s="9">
        <v>73</v>
      </c>
      <c r="G3250" s="9">
        <v>774</v>
      </c>
      <c r="H3250" s="5" t="s">
        <v>20</v>
      </c>
      <c r="I3250" s="5" t="s">
        <v>7691</v>
      </c>
      <c r="J3250" s="12" t="str">
        <f>HYPERLINK("https://www.boe.es/gazeta/dias/1805/09/10/pdfs/GMD-1805-73.pdf#page=6","Abrir facsímil")</f>
        <v>Abrir facsímil</v>
      </c>
      <c r="K3250" s="15" t="s">
        <v>22</v>
      </c>
    </row>
    <row r="3251" spans="1:11" ht="42" customHeight="1">
      <c r="A3251" s="4" t="s">
        <v>7692</v>
      </c>
      <c r="B3251" s="5" t="s">
        <v>7692</v>
      </c>
      <c r="C3251" s="5" t="s">
        <v>35</v>
      </c>
      <c r="D3251" s="5" t="s">
        <v>36</v>
      </c>
      <c r="E3251" s="5" t="s">
        <v>226</v>
      </c>
      <c r="F3251" s="9">
        <v>73</v>
      </c>
      <c r="G3251" s="9">
        <v>774</v>
      </c>
      <c r="H3251" s="5" t="s">
        <v>20</v>
      </c>
      <c r="I3251" s="5" t="s">
        <v>7693</v>
      </c>
      <c r="J3251" s="12" t="str">
        <f>HYPERLINK("https://www.boe.es/gazeta/dias/1805/09/10/pdfs/GMD-1805-73.pdf#page=6","Abrir facsímil")</f>
        <v>Abrir facsímil</v>
      </c>
      <c r="K3251" s="15" t="s">
        <v>22</v>
      </c>
    </row>
    <row r="3252" spans="1:11" ht="42" customHeight="1">
      <c r="A3252" s="4" t="s">
        <v>7694</v>
      </c>
      <c r="B3252" s="5" t="s">
        <v>7694</v>
      </c>
      <c r="C3252" s="5" t="s">
        <v>35</v>
      </c>
      <c r="D3252" s="5" t="s">
        <v>36</v>
      </c>
      <c r="E3252" s="5" t="s">
        <v>163</v>
      </c>
      <c r="F3252" s="9">
        <v>77</v>
      </c>
      <c r="G3252" s="9">
        <v>817</v>
      </c>
      <c r="H3252" s="5" t="s">
        <v>20</v>
      </c>
      <c r="I3252" s="5" t="s">
        <v>7695</v>
      </c>
      <c r="J3252" s="12" t="str">
        <f>HYPERLINK("https://www.boe.es/gazeta/dias/1805/09/24/pdfs/GMD-1805-77.pdf#page=9","Abrir facsímil")</f>
        <v>Abrir facsímil</v>
      </c>
      <c r="K3252" s="15" t="s">
        <v>22</v>
      </c>
    </row>
    <row r="3253" spans="1:11" ht="42" customHeight="1">
      <c r="A3253" s="4" t="s">
        <v>7696</v>
      </c>
      <c r="B3253" s="5" t="s">
        <v>7697</v>
      </c>
      <c r="C3253" s="5" t="s">
        <v>35</v>
      </c>
      <c r="D3253" s="5" t="s">
        <v>36</v>
      </c>
      <c r="E3253" s="5" t="s">
        <v>387</v>
      </c>
      <c r="F3253" s="9">
        <v>4</v>
      </c>
      <c r="G3253" s="9">
        <v>42</v>
      </c>
      <c r="H3253" s="5" t="s">
        <v>20</v>
      </c>
      <c r="I3253" s="5" t="s">
        <v>7698</v>
      </c>
      <c r="J3253" s="12" t="str">
        <f>HYPERLINK("https://www.boe.es/gazeta/dias/1805/01/11/pdfs/GMD-1805-4.pdf#page=10","Abrir facsímil")</f>
        <v>Abrir facsímil</v>
      </c>
      <c r="K3253" s="15" t="s">
        <v>22</v>
      </c>
    </row>
    <row r="3254" spans="1:11" ht="42" customHeight="1">
      <c r="A3254" s="4" t="s">
        <v>7699</v>
      </c>
      <c r="B3254" s="5" t="s">
        <v>7699</v>
      </c>
      <c r="C3254" s="5" t="s">
        <v>85</v>
      </c>
      <c r="D3254" s="5" t="s">
        <v>86</v>
      </c>
      <c r="E3254" s="5" t="s">
        <v>539</v>
      </c>
      <c r="F3254" s="9">
        <v>97</v>
      </c>
      <c r="G3254" s="9">
        <v>1043</v>
      </c>
      <c r="H3254" s="5" t="s">
        <v>20</v>
      </c>
      <c r="I3254" s="5" t="s">
        <v>7700</v>
      </c>
      <c r="J3254" s="12" t="str">
        <f>HYPERLINK("https://www.boe.es/gazeta/dias/1805/12/03/pdfs/GMD-1805-97.pdf#page=7","Abrir facsímil")</f>
        <v>Abrir facsímil</v>
      </c>
      <c r="K3254" s="15" t="s">
        <v>22</v>
      </c>
    </row>
    <row r="3255" spans="1:11" ht="42" customHeight="1">
      <c r="A3255" s="4" t="s">
        <v>7701</v>
      </c>
      <c r="B3255" s="5" t="s">
        <v>7701</v>
      </c>
      <c r="C3255" s="5" t="s">
        <v>35</v>
      </c>
      <c r="D3255" s="5" t="s">
        <v>36</v>
      </c>
      <c r="E3255" s="5" t="s">
        <v>63</v>
      </c>
      <c r="F3255" s="9">
        <v>101</v>
      </c>
      <c r="G3255" s="9">
        <v>1091</v>
      </c>
      <c r="H3255" s="5" t="s">
        <v>20</v>
      </c>
      <c r="I3255" s="5" t="s">
        <v>7702</v>
      </c>
      <c r="J3255" s="12" t="str">
        <f>HYPERLINK("https://www.boe.es/gazeta/dias/1805/12/17/pdfs/GMD-1805-101.pdf#page=7","Abrir facsímil")</f>
        <v>Abrir facsímil</v>
      </c>
      <c r="K3255" s="15" t="s">
        <v>22</v>
      </c>
    </row>
    <row r="3256" spans="1:11" ht="42" customHeight="1">
      <c r="A3256" s="4" t="s">
        <v>7703</v>
      </c>
      <c r="B3256" s="5" t="s">
        <v>7703</v>
      </c>
      <c r="C3256" s="5" t="s">
        <v>184</v>
      </c>
      <c r="D3256" s="5" t="s">
        <v>86</v>
      </c>
      <c r="E3256" s="5" t="s">
        <v>95</v>
      </c>
      <c r="F3256" s="9">
        <v>13</v>
      </c>
      <c r="G3256" s="9">
        <v>139</v>
      </c>
      <c r="H3256" s="5" t="s">
        <v>20</v>
      </c>
      <c r="I3256" s="5" t="s">
        <v>7704</v>
      </c>
      <c r="J3256" s="12" t="str">
        <f>HYPERLINK("https://www.boe.es/gazeta/dias/1805/02/12/pdfs/GMD-1805-13.pdf#page=7","Abrir facsímil")</f>
        <v>Abrir facsímil</v>
      </c>
      <c r="K3256" s="15" t="s">
        <v>22</v>
      </c>
    </row>
    <row r="3257" spans="1:11" ht="42" customHeight="1">
      <c r="A3257" s="4" t="s">
        <v>7705</v>
      </c>
      <c r="B3257" s="5" t="s">
        <v>7705</v>
      </c>
      <c r="C3257" s="5" t="s">
        <v>29</v>
      </c>
      <c r="D3257" s="5" t="s">
        <v>30</v>
      </c>
      <c r="E3257" s="5" t="s">
        <v>567</v>
      </c>
      <c r="F3257" s="9">
        <v>49</v>
      </c>
      <c r="G3257" s="9">
        <v>531</v>
      </c>
      <c r="H3257" s="5" t="s">
        <v>20</v>
      </c>
      <c r="I3257" s="5" t="s">
        <v>7706</v>
      </c>
      <c r="J3257" s="12" t="str">
        <f>HYPERLINK("https://www.boe.es/gazeta/dias/1805/06/18/pdfs/GMD-1805-49.pdf#page=7","Abrir facsímil")</f>
        <v>Abrir facsímil</v>
      </c>
      <c r="K3257" s="15" t="s">
        <v>22</v>
      </c>
    </row>
    <row r="3258" spans="1:11" ht="42" customHeight="1">
      <c r="A3258" s="4" t="s">
        <v>7707</v>
      </c>
      <c r="B3258" s="5" t="s">
        <v>7707</v>
      </c>
      <c r="C3258" s="5" t="s">
        <v>35</v>
      </c>
      <c r="D3258" s="5" t="s">
        <v>36</v>
      </c>
      <c r="E3258" s="5" t="s">
        <v>506</v>
      </c>
      <c r="F3258" s="9">
        <v>80</v>
      </c>
      <c r="G3258" s="9">
        <v>850</v>
      </c>
      <c r="H3258" s="5" t="s">
        <v>20</v>
      </c>
      <c r="I3258" s="5" t="s">
        <v>7708</v>
      </c>
      <c r="J3258" s="12" t="str">
        <f>HYPERLINK("https://www.boe.es/gazeta/dias/1805/10/04/pdfs/GMD-1805-80.pdf#page=10","Abrir facsímil")</f>
        <v>Abrir facsímil</v>
      </c>
      <c r="K3258" s="15" t="s">
        <v>22</v>
      </c>
    </row>
    <row r="3259" spans="1:11" ht="42" customHeight="1">
      <c r="A3259" s="4" t="s">
        <v>7709</v>
      </c>
      <c r="B3259" s="5" t="s">
        <v>7709</v>
      </c>
      <c r="C3259" s="5" t="s">
        <v>17</v>
      </c>
      <c r="D3259" s="5" t="s">
        <v>18</v>
      </c>
      <c r="E3259" s="5" t="s">
        <v>363</v>
      </c>
      <c r="F3259" s="9">
        <v>1</v>
      </c>
      <c r="G3259" s="9">
        <v>10</v>
      </c>
      <c r="H3259" s="5" t="s">
        <v>20</v>
      </c>
      <c r="I3259" s="5" t="s">
        <v>7710</v>
      </c>
      <c r="J3259" s="12" t="str">
        <f>HYPERLINK("https://www.boe.es/gazeta/dias/1805/01/01/pdfs/GMD-1805-1.pdf#page=10","Abrir facsímil")</f>
        <v>Abrir facsímil</v>
      </c>
      <c r="K3259" s="15" t="s">
        <v>22</v>
      </c>
    </row>
    <row r="3260" spans="1:11" ht="42" customHeight="1">
      <c r="A3260" s="4" t="s">
        <v>7711</v>
      </c>
      <c r="B3260" s="5" t="s">
        <v>7711</v>
      </c>
      <c r="C3260" s="5" t="s">
        <v>35</v>
      </c>
      <c r="D3260" s="5" t="s">
        <v>36</v>
      </c>
      <c r="E3260" s="5" t="s">
        <v>207</v>
      </c>
      <c r="F3260" s="9">
        <v>76</v>
      </c>
      <c r="G3260" s="9">
        <v>806</v>
      </c>
      <c r="H3260" s="5" t="s">
        <v>20</v>
      </c>
      <c r="I3260" s="5" t="s">
        <v>7712</v>
      </c>
      <c r="J3260" s="12" t="str">
        <f>HYPERLINK("https://www.boe.es/gazeta/dias/1805/09/20/pdfs/GMD-1805-76.pdf#page=6","Abrir facsímil")</f>
        <v>Abrir facsímil</v>
      </c>
      <c r="K3260" s="15" t="s">
        <v>22</v>
      </c>
    </row>
    <row r="3261" spans="1:11" ht="42" customHeight="1">
      <c r="A3261" s="4" t="s">
        <v>7711</v>
      </c>
      <c r="B3261" s="5" t="s">
        <v>7711</v>
      </c>
      <c r="C3261" s="5" t="s">
        <v>35</v>
      </c>
      <c r="D3261" s="5" t="s">
        <v>36</v>
      </c>
      <c r="E3261" s="5" t="s">
        <v>539</v>
      </c>
      <c r="F3261" s="9">
        <v>97</v>
      </c>
      <c r="G3261" s="9">
        <v>1043</v>
      </c>
      <c r="H3261" s="5" t="s">
        <v>20</v>
      </c>
      <c r="I3261" s="5" t="s">
        <v>7713</v>
      </c>
      <c r="J3261" s="12" t="str">
        <f>HYPERLINK("https://www.boe.es/gazeta/dias/1805/12/03/pdfs/GMD-1805-97.pdf#page=7","Abrir facsímil")</f>
        <v>Abrir facsímil</v>
      </c>
      <c r="K3261" s="15" t="s">
        <v>22</v>
      </c>
    </row>
    <row r="3262" spans="1:11" ht="42" customHeight="1">
      <c r="A3262" s="4" t="s">
        <v>7714</v>
      </c>
      <c r="B3262" s="5" t="s">
        <v>7715</v>
      </c>
      <c r="C3262" s="5" t="s">
        <v>35</v>
      </c>
      <c r="D3262" s="5" t="s">
        <v>36</v>
      </c>
      <c r="E3262" s="5" t="s">
        <v>138</v>
      </c>
      <c r="F3262" s="9">
        <v>102</v>
      </c>
      <c r="G3262" s="9">
        <v>1104</v>
      </c>
      <c r="H3262" s="5" t="s">
        <v>20</v>
      </c>
      <c r="I3262" s="5" t="s">
        <v>7716</v>
      </c>
      <c r="J3262" s="12" t="str">
        <f>HYPERLINK("https://www.boe.es/gazeta/dias/1805/12/20/pdfs/GMD-1805-102.pdf#page=8","Abrir facsímil")</f>
        <v>Abrir facsímil</v>
      </c>
      <c r="K3262" s="15" t="s">
        <v>22</v>
      </c>
    </row>
    <row r="3263" spans="1:11" ht="42" customHeight="1">
      <c r="A3263" s="4" t="s">
        <v>7717</v>
      </c>
      <c r="B3263" s="5" t="s">
        <v>7717</v>
      </c>
      <c r="C3263" s="5" t="s">
        <v>35</v>
      </c>
      <c r="D3263" s="5" t="s">
        <v>36</v>
      </c>
      <c r="E3263" s="5" t="s">
        <v>200</v>
      </c>
      <c r="F3263" s="9">
        <v>91</v>
      </c>
      <c r="G3263" s="9">
        <v>977</v>
      </c>
      <c r="H3263" s="5" t="s">
        <v>20</v>
      </c>
      <c r="I3263" s="5" t="s">
        <v>7718</v>
      </c>
      <c r="J3263" s="12" t="str">
        <f>HYPERLINK("https://www.boe.es/gazeta/dias/1805/11/12/pdfs/GMD-1805-91.pdf#page=9","Abrir facsímil")</f>
        <v>Abrir facsímil</v>
      </c>
      <c r="K3263" s="15" t="s">
        <v>22</v>
      </c>
    </row>
    <row r="3264" spans="1:11" ht="42" customHeight="1">
      <c r="A3264" s="4" t="s">
        <v>7717</v>
      </c>
      <c r="B3264" s="5" t="s">
        <v>7717</v>
      </c>
      <c r="C3264" s="5" t="s">
        <v>35</v>
      </c>
      <c r="D3264" s="5" t="s">
        <v>36</v>
      </c>
      <c r="E3264" s="5" t="s">
        <v>67</v>
      </c>
      <c r="F3264" s="9">
        <v>98</v>
      </c>
      <c r="G3264" s="9">
        <v>1059</v>
      </c>
      <c r="H3264" s="5" t="s">
        <v>20</v>
      </c>
      <c r="I3264" s="5" t="s">
        <v>7719</v>
      </c>
      <c r="J3264" s="12" t="str">
        <f>HYPERLINK("https://www.boe.es/gazeta/dias/1805/12/06/pdfs/GMD-1805-98.pdf#page=11","Abrir facsímil")</f>
        <v>Abrir facsímil</v>
      </c>
      <c r="K3264" s="15" t="s">
        <v>22</v>
      </c>
    </row>
    <row r="3265" spans="1:11" ht="42" customHeight="1">
      <c r="A3265" s="4" t="s">
        <v>7720</v>
      </c>
      <c r="B3265" s="5" t="s">
        <v>7720</v>
      </c>
      <c r="C3265" s="5" t="s">
        <v>17</v>
      </c>
      <c r="D3265" s="5" t="s">
        <v>18</v>
      </c>
      <c r="E3265" s="5" t="s">
        <v>91</v>
      </c>
      <c r="F3265" s="9">
        <v>28</v>
      </c>
      <c r="G3265" s="9">
        <v>303</v>
      </c>
      <c r="H3265" s="5" t="s">
        <v>20</v>
      </c>
      <c r="I3265" s="5" t="s">
        <v>7721</v>
      </c>
      <c r="J3265" s="12" t="str">
        <f>HYPERLINK("https://www.boe.es/gazeta/dias/1805/04/05/pdfs/GMD-1805-28.pdf#page=11","Abrir facsímil")</f>
        <v>Abrir facsímil</v>
      </c>
      <c r="K3265" s="15" t="s">
        <v>22</v>
      </c>
    </row>
    <row r="3266" spans="1:11" ht="42" customHeight="1">
      <c r="A3266" s="4" t="s">
        <v>7722</v>
      </c>
      <c r="B3266" s="5" t="s">
        <v>7722</v>
      </c>
      <c r="C3266" s="5" t="s">
        <v>35</v>
      </c>
      <c r="D3266" s="5" t="s">
        <v>36</v>
      </c>
      <c r="E3266" s="5" t="s">
        <v>300</v>
      </c>
      <c r="F3266" s="9">
        <v>81</v>
      </c>
      <c r="G3266" s="9">
        <v>858</v>
      </c>
      <c r="H3266" s="5" t="s">
        <v>20</v>
      </c>
      <c r="I3266" s="5" t="s">
        <v>7723</v>
      </c>
      <c r="J3266" s="12" t="str">
        <f>HYPERLINK("https://www.boe.es/gazeta/dias/1805/10/08/pdfs/GMD-1805-81.pdf#page=6","Abrir facsímil")</f>
        <v>Abrir facsímil</v>
      </c>
      <c r="K3266" s="15" t="s">
        <v>22</v>
      </c>
    </row>
    <row r="3267" spans="1:11" ht="42" customHeight="1">
      <c r="A3267" s="4" t="s">
        <v>7724</v>
      </c>
      <c r="B3267" s="5" t="s">
        <v>7725</v>
      </c>
      <c r="C3267" s="5" t="s">
        <v>35</v>
      </c>
      <c r="D3267" s="5" t="s">
        <v>36</v>
      </c>
      <c r="E3267" s="5" t="s">
        <v>181</v>
      </c>
      <c r="F3267" s="9">
        <v>90</v>
      </c>
      <c r="G3267" s="9">
        <v>965</v>
      </c>
      <c r="H3267" s="5" t="s">
        <v>20</v>
      </c>
      <c r="I3267" s="5" t="s">
        <v>7726</v>
      </c>
      <c r="J3267" s="12" t="str">
        <f>HYPERLINK("https://www.boe.es/gazeta/dias/1805/11/08/pdfs/GMD-1805-90.pdf#page=9","Abrir facsímil")</f>
        <v>Abrir facsímil</v>
      </c>
      <c r="K3267" s="15" t="s">
        <v>22</v>
      </c>
    </row>
    <row r="3268" spans="1:11" ht="42" customHeight="1">
      <c r="A3268" s="4" t="s">
        <v>7727</v>
      </c>
      <c r="B3268" s="5" t="s">
        <v>7728</v>
      </c>
      <c r="C3268" s="5" t="s">
        <v>35</v>
      </c>
      <c r="D3268" s="5" t="s">
        <v>36</v>
      </c>
      <c r="E3268" s="5" t="s">
        <v>67</v>
      </c>
      <c r="F3268" s="9">
        <v>98</v>
      </c>
      <c r="G3268" s="9">
        <v>1059</v>
      </c>
      <c r="H3268" s="5" t="s">
        <v>20</v>
      </c>
      <c r="I3268" s="5" t="s">
        <v>7729</v>
      </c>
      <c r="J3268" s="12" t="str">
        <f>HYPERLINK("https://www.boe.es/gazeta/dias/1805/12/06/pdfs/GMD-1805-98.pdf#page=11","Abrir facsímil")</f>
        <v>Abrir facsímil</v>
      </c>
      <c r="K3268" s="15" t="s">
        <v>22</v>
      </c>
    </row>
    <row r="3269" spans="1:11" ht="42" customHeight="1">
      <c r="A3269" s="4" t="s">
        <v>7730</v>
      </c>
      <c r="B3269" s="5" t="s">
        <v>7730</v>
      </c>
      <c r="C3269" s="5" t="s">
        <v>35</v>
      </c>
      <c r="D3269" s="5" t="s">
        <v>36</v>
      </c>
      <c r="E3269" s="5" t="s">
        <v>456</v>
      </c>
      <c r="F3269" s="9">
        <v>70</v>
      </c>
      <c r="G3269" s="9">
        <v>746</v>
      </c>
      <c r="H3269" s="5" t="s">
        <v>20</v>
      </c>
      <c r="I3269" s="5" t="s">
        <v>7731</v>
      </c>
      <c r="J3269" s="12" t="str">
        <f>HYPERLINK("https://www.boe.es/gazeta/dias/1805/08/30/pdfs/GMD-1805-70.pdf#page=6","Abrir facsímil")</f>
        <v>Abrir facsímil</v>
      </c>
      <c r="K3269" s="15" t="s">
        <v>22</v>
      </c>
    </row>
    <row r="3270" spans="1:11" ht="42" customHeight="1">
      <c r="A3270" s="4" t="s">
        <v>7732</v>
      </c>
      <c r="B3270" s="5" t="s">
        <v>7732</v>
      </c>
      <c r="C3270" s="5" t="s">
        <v>29</v>
      </c>
      <c r="D3270" s="5" t="s">
        <v>30</v>
      </c>
      <c r="E3270" s="5" t="s">
        <v>387</v>
      </c>
      <c r="F3270" s="9">
        <v>4</v>
      </c>
      <c r="G3270" s="9">
        <v>43</v>
      </c>
      <c r="H3270" s="5" t="s">
        <v>20</v>
      </c>
      <c r="I3270" s="5" t="s">
        <v>7733</v>
      </c>
      <c r="J3270" s="12" t="str">
        <f>HYPERLINK("https://www.boe.es/gazeta/dias/1805/01/11/pdfs/GMD-1805-4.pdf#page=11","Abrir facsímil")</f>
        <v>Abrir facsímil</v>
      </c>
      <c r="K3270" s="15" t="s">
        <v>22</v>
      </c>
    </row>
    <row r="3271" spans="1:11" ht="42" customHeight="1">
      <c r="A3271" s="4" t="s">
        <v>7734</v>
      </c>
      <c r="B3271" s="5" t="s">
        <v>7734</v>
      </c>
      <c r="C3271" s="5" t="s">
        <v>17</v>
      </c>
      <c r="D3271" s="5" t="s">
        <v>18</v>
      </c>
      <c r="E3271" s="5" t="s">
        <v>122</v>
      </c>
      <c r="F3271" s="9">
        <v>38</v>
      </c>
      <c r="G3271" s="9">
        <v>411</v>
      </c>
      <c r="H3271" s="5" t="s">
        <v>20</v>
      </c>
      <c r="I3271" s="5" t="s">
        <v>7735</v>
      </c>
      <c r="J3271" s="12" t="str">
        <f>HYPERLINK("https://www.boe.es/gazeta/dias/1805/05/10/pdfs/GMD-1805-38.pdf#page=7","Abrir facsímil")</f>
        <v>Abrir facsímil</v>
      </c>
      <c r="K3271" s="15" t="s">
        <v>22</v>
      </c>
    </row>
    <row r="3272" spans="1:11" ht="42" customHeight="1">
      <c r="A3272" s="4" t="s">
        <v>7736</v>
      </c>
      <c r="B3272" s="5" t="s">
        <v>7736</v>
      </c>
      <c r="C3272" s="5" t="s">
        <v>35</v>
      </c>
      <c r="D3272" s="5" t="s">
        <v>36</v>
      </c>
      <c r="E3272" s="5" t="s">
        <v>426</v>
      </c>
      <c r="F3272" s="9">
        <v>75</v>
      </c>
      <c r="G3272" s="9">
        <v>799</v>
      </c>
      <c r="H3272" s="5" t="s">
        <v>20</v>
      </c>
      <c r="I3272" s="5" t="s">
        <v>7737</v>
      </c>
      <c r="J3272" s="12" t="str">
        <f>HYPERLINK("https://www.boe.es/gazeta/dias/1805/09/17/pdfs/GMD-1805-75.pdf#page=11","Abrir facsímil")</f>
        <v>Abrir facsímil</v>
      </c>
      <c r="K3272" s="15" t="s">
        <v>22</v>
      </c>
    </row>
    <row r="3273" spans="1:11" ht="42" customHeight="1">
      <c r="A3273" s="4" t="s">
        <v>7738</v>
      </c>
      <c r="B3273" s="5" t="s">
        <v>7738</v>
      </c>
      <c r="C3273" s="5" t="s">
        <v>35</v>
      </c>
      <c r="D3273" s="5" t="s">
        <v>36</v>
      </c>
      <c r="E3273" s="5" t="s">
        <v>296</v>
      </c>
      <c r="F3273" s="9">
        <v>26</v>
      </c>
      <c r="G3273" s="9">
        <v>277</v>
      </c>
      <c r="H3273" s="5" t="s">
        <v>20</v>
      </c>
      <c r="I3273" s="5" t="s">
        <v>7739</v>
      </c>
      <c r="J3273" s="12" t="str">
        <f>HYPERLINK("https://www.boe.es/gazeta/dias/1805/03/29/pdfs/GMD-1805-26.pdf#page=9","Abrir facsímil")</f>
        <v>Abrir facsímil</v>
      </c>
      <c r="K3273" s="15" t="s">
        <v>22</v>
      </c>
    </row>
    <row r="3274" spans="1:11" ht="42" customHeight="1">
      <c r="A3274" s="4" t="s">
        <v>7740</v>
      </c>
      <c r="B3274" s="5" t="s">
        <v>7740</v>
      </c>
      <c r="C3274" s="5" t="s">
        <v>17</v>
      </c>
      <c r="D3274" s="5" t="s">
        <v>18</v>
      </c>
      <c r="E3274" s="5" t="s">
        <v>729</v>
      </c>
      <c r="F3274" s="9">
        <v>61</v>
      </c>
      <c r="G3274" s="9">
        <v>655</v>
      </c>
      <c r="H3274" s="5" t="s">
        <v>20</v>
      </c>
      <c r="I3274" s="5" t="s">
        <v>7741</v>
      </c>
      <c r="J3274" s="12" t="str">
        <f>HYPERLINK("https://www.boe.es/gazeta/dias/1805/07/30/pdfs/GMD-1805-61.pdf#page=7","Abrir facsímil")</f>
        <v>Abrir facsímil</v>
      </c>
      <c r="K3274" s="15" t="s">
        <v>22</v>
      </c>
    </row>
    <row r="3275" spans="1:11" ht="42" customHeight="1">
      <c r="A3275" s="4" t="s">
        <v>7742</v>
      </c>
      <c r="B3275" s="5" t="s">
        <v>7742</v>
      </c>
      <c r="C3275" s="5" t="s">
        <v>35</v>
      </c>
      <c r="D3275" s="5" t="s">
        <v>36</v>
      </c>
      <c r="E3275" s="5" t="s">
        <v>141</v>
      </c>
      <c r="F3275" s="9">
        <v>82</v>
      </c>
      <c r="G3275" s="9">
        <v>870</v>
      </c>
      <c r="H3275" s="5" t="s">
        <v>20</v>
      </c>
      <c r="I3275" s="5" t="s">
        <v>7743</v>
      </c>
      <c r="J3275" s="12" t="str">
        <f>HYPERLINK("https://www.boe.es/gazeta/dias/1805/10/11/pdfs/GMD-1805-82.pdf#page=10","Abrir facsímil")</f>
        <v>Abrir facsímil</v>
      </c>
      <c r="K3275" s="15" t="s">
        <v>22</v>
      </c>
    </row>
    <row r="3276" spans="1:11" ht="42" customHeight="1">
      <c r="A3276" s="4" t="s">
        <v>7744</v>
      </c>
      <c r="B3276" s="5" t="s">
        <v>7744</v>
      </c>
      <c r="C3276" s="5" t="s">
        <v>35</v>
      </c>
      <c r="D3276" s="5" t="s">
        <v>36</v>
      </c>
      <c r="E3276" s="5" t="s">
        <v>48</v>
      </c>
      <c r="F3276" s="9">
        <v>35</v>
      </c>
      <c r="G3276" s="9">
        <v>378</v>
      </c>
      <c r="H3276" s="5" t="s">
        <v>20</v>
      </c>
      <c r="I3276" s="5" t="s">
        <v>7745</v>
      </c>
      <c r="J3276" s="12" t="str">
        <f>HYPERLINK("https://www.boe.es/gazeta/dias/1805/04/30/pdfs/GMD-1805-35.pdf#page=10","Abrir facsímil")</f>
        <v>Abrir facsímil</v>
      </c>
      <c r="K3276" s="15" t="s">
        <v>22</v>
      </c>
    </row>
    <row r="3277" spans="1:11" ht="42" customHeight="1">
      <c r="A3277" s="4" t="s">
        <v>7746</v>
      </c>
      <c r="B3277" s="5" t="s">
        <v>7747</v>
      </c>
      <c r="C3277" s="5" t="s">
        <v>184</v>
      </c>
      <c r="D3277" s="5" t="s">
        <v>86</v>
      </c>
      <c r="E3277" s="5" t="s">
        <v>512</v>
      </c>
      <c r="F3277" s="9">
        <v>100</v>
      </c>
      <c r="G3277" s="9">
        <v>1083</v>
      </c>
      <c r="H3277" s="5" t="s">
        <v>20</v>
      </c>
      <c r="I3277" s="5" t="s">
        <v>7748</v>
      </c>
      <c r="J3277" s="12" t="str">
        <f>HYPERLINK("https://www.boe.es/gazeta/dias/1805/12/13/pdfs/GMD-1805-100.pdf#page=11","Abrir facsímil")</f>
        <v>Abrir facsímil</v>
      </c>
      <c r="K3277" s="15" t="s">
        <v>22</v>
      </c>
    </row>
    <row r="3278" spans="1:11" ht="42" customHeight="1">
      <c r="A3278" s="4" t="s">
        <v>7749</v>
      </c>
      <c r="B3278" s="5" t="s">
        <v>7749</v>
      </c>
      <c r="C3278" s="5" t="s">
        <v>17</v>
      </c>
      <c r="D3278" s="5" t="s">
        <v>18</v>
      </c>
      <c r="E3278" s="5" t="s">
        <v>27</v>
      </c>
      <c r="F3278" s="9">
        <v>37</v>
      </c>
      <c r="G3278" s="9">
        <v>402</v>
      </c>
      <c r="H3278" s="5" t="s">
        <v>20</v>
      </c>
      <c r="I3278" s="5" t="s">
        <v>7750</v>
      </c>
      <c r="J3278" s="12" t="str">
        <f>HYPERLINK("https://www.boe.es/gazeta/dias/1805/05/07/pdfs/GMD-1805-37.pdf#page=10","Abrir facsímil")</f>
        <v>Abrir facsímil</v>
      </c>
      <c r="K3278" s="15" t="s">
        <v>22</v>
      </c>
    </row>
    <row r="3279" spans="1:11" ht="42" customHeight="1">
      <c r="A3279" s="4" t="s">
        <v>7751</v>
      </c>
      <c r="B3279" s="5" t="s">
        <v>7752</v>
      </c>
      <c r="C3279" s="5" t="s">
        <v>85</v>
      </c>
      <c r="D3279" s="5" t="s">
        <v>86</v>
      </c>
      <c r="E3279" s="5" t="s">
        <v>71</v>
      </c>
      <c r="F3279" s="9">
        <v>33</v>
      </c>
      <c r="G3279" s="9">
        <v>352</v>
      </c>
      <c r="H3279" s="5" t="s">
        <v>20</v>
      </c>
      <c r="I3279" s="5" t="s">
        <v>7753</v>
      </c>
      <c r="J3279" s="12" t="str">
        <f>HYPERLINK("https://www.boe.es/gazeta/dias/1805/04/23/pdfs/GMD-1805-33.pdf#page=8","Abrir facsímil")</f>
        <v>Abrir facsímil</v>
      </c>
      <c r="K3279" s="15" t="s">
        <v>22</v>
      </c>
    </row>
    <row r="3280" spans="1:11" ht="42" customHeight="1">
      <c r="A3280" s="4" t="s">
        <v>7754</v>
      </c>
      <c r="B3280" s="5" t="s">
        <v>7754</v>
      </c>
      <c r="C3280" s="5" t="s">
        <v>85</v>
      </c>
      <c r="D3280" s="5" t="s">
        <v>86</v>
      </c>
      <c r="E3280" s="5" t="s">
        <v>117</v>
      </c>
      <c r="F3280" s="9">
        <v>20</v>
      </c>
      <c r="G3280" s="9">
        <v>211</v>
      </c>
      <c r="H3280" s="5" t="s">
        <v>20</v>
      </c>
      <c r="I3280" s="5" t="s">
        <v>7755</v>
      </c>
      <c r="J3280" s="12" t="str">
        <f>HYPERLINK("https://www.boe.es/gazeta/dias/1805/03/08/pdfs/GMD-1805-20.pdf#page=11","Abrir facsímil")</f>
        <v>Abrir facsímil</v>
      </c>
      <c r="K3280" s="15" t="s">
        <v>22</v>
      </c>
    </row>
    <row r="3281" spans="1:11" ht="42" customHeight="1">
      <c r="A3281" s="4" t="s">
        <v>7756</v>
      </c>
      <c r="B3281" s="5" t="s">
        <v>7756</v>
      </c>
      <c r="C3281" s="5" t="s">
        <v>85</v>
      </c>
      <c r="D3281" s="5" t="s">
        <v>86</v>
      </c>
      <c r="E3281" s="5" t="s">
        <v>711</v>
      </c>
      <c r="F3281" s="9">
        <v>63</v>
      </c>
      <c r="G3281" s="9">
        <v>674</v>
      </c>
      <c r="H3281" s="5" t="s">
        <v>20</v>
      </c>
      <c r="I3281" s="5" t="s">
        <v>7757</v>
      </c>
      <c r="J3281" s="12" t="str">
        <f>HYPERLINK("https://www.boe.es/gazeta/dias/1805/08/06/pdfs/GMD-1805-63.pdf#page=10","Abrir facsímil")</f>
        <v>Abrir facsímil</v>
      </c>
      <c r="K3281" s="15" t="s">
        <v>22</v>
      </c>
    </row>
    <row r="3282" spans="1:11" ht="42" customHeight="1">
      <c r="A3282" s="4" t="s">
        <v>7756</v>
      </c>
      <c r="B3282" s="5" t="s">
        <v>7756</v>
      </c>
      <c r="C3282" s="5" t="s">
        <v>35</v>
      </c>
      <c r="D3282" s="5" t="s">
        <v>36</v>
      </c>
      <c r="E3282" s="5" t="s">
        <v>539</v>
      </c>
      <c r="F3282" s="9">
        <v>97</v>
      </c>
      <c r="G3282" s="9">
        <v>1044</v>
      </c>
      <c r="H3282" s="5" t="s">
        <v>20</v>
      </c>
      <c r="I3282" s="5" t="s">
        <v>7758</v>
      </c>
      <c r="J3282" s="12" t="str">
        <f>HYPERLINK("https://www.boe.es/gazeta/dias/1805/12/03/pdfs/GMD-1805-97.pdf#page=8","Abrir facsímil")</f>
        <v>Abrir facsímil</v>
      </c>
      <c r="K3282" s="15" t="s">
        <v>22</v>
      </c>
    </row>
    <row r="3283" spans="1:11" ht="42" customHeight="1">
      <c r="A3283" s="4" t="s">
        <v>7759</v>
      </c>
      <c r="B3283" s="5" t="s">
        <v>7759</v>
      </c>
      <c r="C3283" s="5" t="s">
        <v>35</v>
      </c>
      <c r="D3283" s="5" t="s">
        <v>36</v>
      </c>
      <c r="E3283" s="5" t="s">
        <v>567</v>
      </c>
      <c r="F3283" s="9">
        <v>49</v>
      </c>
      <c r="G3283" s="9">
        <v>531</v>
      </c>
      <c r="H3283" s="5" t="s">
        <v>20</v>
      </c>
      <c r="I3283" s="5" t="s">
        <v>7760</v>
      </c>
      <c r="J3283" s="12" t="str">
        <f>HYPERLINK("https://www.boe.es/gazeta/dias/1805/06/18/pdfs/GMD-1805-49.pdf#page=7","Abrir facsímil")</f>
        <v>Abrir facsímil</v>
      </c>
      <c r="K3283" s="15" t="s">
        <v>22</v>
      </c>
    </row>
    <row r="3284" spans="1:11" ht="42" customHeight="1">
      <c r="A3284" s="4" t="s">
        <v>7761</v>
      </c>
      <c r="B3284" s="5" t="s">
        <v>7761</v>
      </c>
      <c r="C3284" s="5" t="s">
        <v>35</v>
      </c>
      <c r="D3284" s="5" t="s">
        <v>36</v>
      </c>
      <c r="E3284" s="5" t="s">
        <v>59</v>
      </c>
      <c r="F3284" s="9">
        <v>21</v>
      </c>
      <c r="G3284" s="9">
        <v>221</v>
      </c>
      <c r="H3284" s="5" t="s">
        <v>20</v>
      </c>
      <c r="I3284" s="5" t="s">
        <v>7762</v>
      </c>
      <c r="J3284" s="12" t="str">
        <f>HYPERLINK("https://www.boe.es/gazeta/dias/1805/03/12/pdfs/GMD-1805-21.pdf#page=9","Abrir facsímil")</f>
        <v>Abrir facsímil</v>
      </c>
      <c r="K3284" s="15" t="s">
        <v>22</v>
      </c>
    </row>
    <row r="3285" spans="1:11" ht="42" customHeight="1">
      <c r="A3285" s="4" t="s">
        <v>7763</v>
      </c>
      <c r="B3285" s="5" t="s">
        <v>7763</v>
      </c>
      <c r="C3285" s="5" t="s">
        <v>35</v>
      </c>
      <c r="D3285" s="5" t="s">
        <v>36</v>
      </c>
      <c r="E3285" s="5" t="s">
        <v>1259</v>
      </c>
      <c r="F3285" s="9">
        <v>78</v>
      </c>
      <c r="G3285" s="9">
        <v>827</v>
      </c>
      <c r="H3285" s="5" t="s">
        <v>20</v>
      </c>
      <c r="I3285" s="5" t="s">
        <v>7764</v>
      </c>
      <c r="J3285" s="12" t="str">
        <f>HYPERLINK("https://www.boe.es/gazeta/dias/1805/09/27/pdfs/GMD-1805-78.pdf#page=7","Abrir facsímil")</f>
        <v>Abrir facsímil</v>
      </c>
      <c r="K3285" s="15" t="s">
        <v>22</v>
      </c>
    </row>
    <row r="3286" spans="1:11" ht="42" customHeight="1">
      <c r="A3286" s="4" t="s">
        <v>7765</v>
      </c>
      <c r="B3286" s="5" t="s">
        <v>7765</v>
      </c>
      <c r="C3286" s="5" t="s">
        <v>17</v>
      </c>
      <c r="D3286" s="5" t="s">
        <v>18</v>
      </c>
      <c r="E3286" s="5" t="s">
        <v>200</v>
      </c>
      <c r="F3286" s="9">
        <v>91</v>
      </c>
      <c r="G3286" s="9">
        <v>977</v>
      </c>
      <c r="H3286" s="5" t="s">
        <v>20</v>
      </c>
      <c r="I3286" s="5" t="s">
        <v>7766</v>
      </c>
      <c r="J3286" s="12" t="str">
        <f>HYPERLINK("https://www.boe.es/gazeta/dias/1805/11/12/pdfs/GMD-1805-91.pdf#page=9","Abrir facsímil")</f>
        <v>Abrir facsímil</v>
      </c>
      <c r="K3286" s="15" t="s">
        <v>22</v>
      </c>
    </row>
    <row r="3287" spans="1:11" ht="42" customHeight="1">
      <c r="A3287" s="4" t="s">
        <v>7767</v>
      </c>
      <c r="B3287" s="5" t="s">
        <v>7767</v>
      </c>
      <c r="C3287" s="5" t="s">
        <v>35</v>
      </c>
      <c r="D3287" s="5" t="s">
        <v>36</v>
      </c>
      <c r="E3287" s="5" t="s">
        <v>281</v>
      </c>
      <c r="F3287" s="9">
        <v>15</v>
      </c>
      <c r="G3287" s="9">
        <v>156</v>
      </c>
      <c r="H3287" s="5" t="s">
        <v>20</v>
      </c>
      <c r="I3287" s="5" t="s">
        <v>7768</v>
      </c>
      <c r="J3287" s="12" t="str">
        <f>HYPERLINK("https://www.boe.es/gazeta/dias/1805/02/19/pdfs/GMD-1805-15.pdf#page=8","Abrir facsímil")</f>
        <v>Abrir facsímil</v>
      </c>
      <c r="K3287" s="15" t="s">
        <v>22</v>
      </c>
    </row>
    <row r="3288" spans="1:11" ht="42" customHeight="1">
      <c r="A3288" s="4" t="s">
        <v>7769</v>
      </c>
      <c r="B3288" s="5" t="s">
        <v>7769</v>
      </c>
      <c r="C3288" s="5" t="s">
        <v>29</v>
      </c>
      <c r="D3288" s="5" t="s">
        <v>30</v>
      </c>
      <c r="E3288" s="5" t="s">
        <v>471</v>
      </c>
      <c r="F3288" s="9">
        <v>22</v>
      </c>
      <c r="G3288" s="9">
        <v>236</v>
      </c>
      <c r="H3288" s="5" t="s">
        <v>20</v>
      </c>
      <c r="I3288" s="5" t="s">
        <v>7770</v>
      </c>
      <c r="J3288" s="12" t="str">
        <f>HYPERLINK("https://www.boe.es/gazeta/dias/1805/03/15/pdfs/GMD-1805-22.pdf#page=12","Abrir facsímil")</f>
        <v>Abrir facsímil</v>
      </c>
      <c r="K3288" s="15" t="s">
        <v>22</v>
      </c>
    </row>
    <row r="3289" spans="1:11" ht="42" customHeight="1">
      <c r="A3289" s="4" t="s">
        <v>7771</v>
      </c>
      <c r="B3289" s="5" t="s">
        <v>7771</v>
      </c>
      <c r="C3289" s="5" t="s">
        <v>29</v>
      </c>
      <c r="D3289" s="5" t="s">
        <v>30</v>
      </c>
      <c r="E3289" s="5" t="s">
        <v>958</v>
      </c>
      <c r="F3289" s="9">
        <v>58</v>
      </c>
      <c r="G3289" s="9">
        <v>623</v>
      </c>
      <c r="H3289" s="5" t="s">
        <v>20</v>
      </c>
      <c r="I3289" s="5" t="s">
        <v>7772</v>
      </c>
      <c r="J3289" s="12" t="str">
        <f>HYPERLINK("https://www.boe.es/gazeta/dias/1805/07/19/pdfs/GMD-1805-58.pdf#page=7","Abrir facsímil")</f>
        <v>Abrir facsímil</v>
      </c>
      <c r="K3289" s="15" t="s">
        <v>22</v>
      </c>
    </row>
    <row r="3290" spans="1:11" ht="42" customHeight="1">
      <c r="A3290" s="4" t="s">
        <v>7773</v>
      </c>
      <c r="B3290" s="5" t="s">
        <v>7773</v>
      </c>
      <c r="C3290" s="5" t="s">
        <v>35</v>
      </c>
      <c r="D3290" s="5" t="s">
        <v>36</v>
      </c>
      <c r="E3290" s="5" t="s">
        <v>387</v>
      </c>
      <c r="F3290" s="9">
        <v>4</v>
      </c>
      <c r="G3290" s="9">
        <v>43</v>
      </c>
      <c r="H3290" s="5" t="s">
        <v>20</v>
      </c>
      <c r="I3290" s="5" t="s">
        <v>7774</v>
      </c>
      <c r="J3290" s="12" t="str">
        <f>HYPERLINK("https://www.boe.es/gazeta/dias/1805/01/11/pdfs/GMD-1805-4.pdf#page=11","Abrir facsímil")</f>
        <v>Abrir facsímil</v>
      </c>
      <c r="K3290" s="15" t="s">
        <v>22</v>
      </c>
    </row>
    <row r="3291" spans="1:11" ht="42" customHeight="1">
      <c r="A3291" s="4" t="s">
        <v>7775</v>
      </c>
      <c r="B3291" s="5" t="s">
        <v>7776</v>
      </c>
      <c r="C3291" s="5" t="s">
        <v>35</v>
      </c>
      <c r="D3291" s="5" t="s">
        <v>36</v>
      </c>
      <c r="E3291" s="5" t="s">
        <v>831</v>
      </c>
      <c r="F3291" s="9">
        <v>62</v>
      </c>
      <c r="G3291" s="9">
        <v>658</v>
      </c>
      <c r="H3291" s="5" t="s">
        <v>20</v>
      </c>
      <c r="I3291" s="5" t="s">
        <v>7777</v>
      </c>
      <c r="J3291" s="12" t="str">
        <f>HYPERLINK("https://www.boe.es/gazeta/dias/1805/08/02/pdfs/GMD-1805-62.pdf#page=2","Abrir facsímil")</f>
        <v>Abrir facsímil</v>
      </c>
      <c r="K3291" s="15" t="s">
        <v>22</v>
      </c>
    </row>
    <row r="3292" spans="1:11" ht="42" customHeight="1">
      <c r="A3292" s="4" t="s">
        <v>7778</v>
      </c>
      <c r="B3292" s="5" t="s">
        <v>7778</v>
      </c>
      <c r="C3292" s="5" t="s">
        <v>35</v>
      </c>
      <c r="D3292" s="5" t="s">
        <v>36</v>
      </c>
      <c r="E3292" s="5" t="s">
        <v>286</v>
      </c>
      <c r="F3292" s="9">
        <v>48</v>
      </c>
      <c r="G3292" s="9">
        <v>521</v>
      </c>
      <c r="H3292" s="5" t="s">
        <v>20</v>
      </c>
      <c r="I3292" s="5" t="s">
        <v>7779</v>
      </c>
      <c r="J3292" s="12" t="str">
        <f>HYPERLINK("https://www.boe.es/gazeta/dias/1805/06/14/pdfs/GMD-1805-48.pdf#page=9","Abrir facsímil")</f>
        <v>Abrir facsímil</v>
      </c>
      <c r="K3292" s="15" t="s">
        <v>22</v>
      </c>
    </row>
    <row r="3293" spans="1:11" ht="42" customHeight="1">
      <c r="A3293" s="4" t="s">
        <v>7780</v>
      </c>
      <c r="B3293" s="5" t="s">
        <v>7780</v>
      </c>
      <c r="C3293" s="5" t="s">
        <v>35</v>
      </c>
      <c r="D3293" s="5" t="s">
        <v>36</v>
      </c>
      <c r="E3293" s="5" t="s">
        <v>19</v>
      </c>
      <c r="F3293" s="9">
        <v>86</v>
      </c>
      <c r="G3293" s="9">
        <v>913</v>
      </c>
      <c r="H3293" s="5" t="s">
        <v>20</v>
      </c>
      <c r="I3293" s="5" t="s">
        <v>7781</v>
      </c>
      <c r="J3293" s="12" t="str">
        <f>HYPERLINK("https://www.boe.es/gazeta/dias/1805/10/25/pdfs/GMD-1805-86.pdf#page=9","Abrir facsímil")</f>
        <v>Abrir facsímil</v>
      </c>
      <c r="K3293" s="15" t="s">
        <v>22</v>
      </c>
    </row>
    <row r="3294" spans="1:11" ht="42" customHeight="1">
      <c r="A3294" s="4" t="s">
        <v>7782</v>
      </c>
      <c r="B3294" s="5" t="s">
        <v>7782</v>
      </c>
      <c r="C3294" s="5" t="s">
        <v>35</v>
      </c>
      <c r="D3294" s="5" t="s">
        <v>36</v>
      </c>
      <c r="E3294" s="5" t="s">
        <v>539</v>
      </c>
      <c r="F3294" s="9">
        <v>97</v>
      </c>
      <c r="G3294" s="9">
        <v>1044</v>
      </c>
      <c r="H3294" s="5" t="s">
        <v>20</v>
      </c>
      <c r="I3294" s="5" t="s">
        <v>7783</v>
      </c>
      <c r="J3294" s="12" t="str">
        <f>HYPERLINK("https://www.boe.es/gazeta/dias/1805/12/03/pdfs/GMD-1805-97.pdf#page=8","Abrir facsímil")</f>
        <v>Abrir facsímil</v>
      </c>
      <c r="K3294" s="15" t="s">
        <v>22</v>
      </c>
    </row>
    <row r="3295" spans="1:11" ht="42" customHeight="1">
      <c r="A3295" s="4" t="s">
        <v>7784</v>
      </c>
      <c r="B3295" s="5" t="s">
        <v>7785</v>
      </c>
      <c r="C3295" s="5" t="s">
        <v>85</v>
      </c>
      <c r="D3295" s="5" t="s">
        <v>86</v>
      </c>
      <c r="E3295" s="5" t="s">
        <v>711</v>
      </c>
      <c r="F3295" s="9">
        <v>63</v>
      </c>
      <c r="G3295" s="9">
        <v>674</v>
      </c>
      <c r="H3295" s="5" t="s">
        <v>20</v>
      </c>
      <c r="I3295" s="5" t="s">
        <v>7786</v>
      </c>
      <c r="J3295" s="12" t="str">
        <f>HYPERLINK("https://www.boe.es/gazeta/dias/1805/08/06/pdfs/GMD-1805-63.pdf#page=10","Abrir facsímil")</f>
        <v>Abrir facsímil</v>
      </c>
      <c r="K3295" s="15" t="s">
        <v>22</v>
      </c>
    </row>
    <row r="3296" spans="1:11" ht="42" customHeight="1">
      <c r="A3296" s="4" t="s">
        <v>7787</v>
      </c>
      <c r="B3296" s="5" t="s">
        <v>7787</v>
      </c>
      <c r="C3296" s="5" t="s">
        <v>29</v>
      </c>
      <c r="D3296" s="5" t="s">
        <v>30</v>
      </c>
      <c r="E3296" s="5" t="s">
        <v>213</v>
      </c>
      <c r="F3296" s="9">
        <v>56</v>
      </c>
      <c r="G3296" s="9">
        <v>603</v>
      </c>
      <c r="H3296" s="5" t="s">
        <v>20</v>
      </c>
      <c r="I3296" s="5" t="s">
        <v>7788</v>
      </c>
      <c r="J3296" s="12" t="str">
        <f>HYPERLINK("https://www.boe.es/gazeta/dias/1805/07/12/pdfs/GMD-1805-56.pdf#page=11","Abrir facsímil")</f>
        <v>Abrir facsímil</v>
      </c>
      <c r="K3296" s="15" t="s">
        <v>22</v>
      </c>
    </row>
    <row r="3297" spans="1:11" ht="42" customHeight="1">
      <c r="A3297" s="4" t="s">
        <v>7789</v>
      </c>
      <c r="B3297" s="5" t="s">
        <v>7789</v>
      </c>
      <c r="C3297" s="5" t="s">
        <v>35</v>
      </c>
      <c r="D3297" s="5" t="s">
        <v>36</v>
      </c>
      <c r="E3297" s="5" t="s">
        <v>67</v>
      </c>
      <c r="F3297" s="9">
        <v>98</v>
      </c>
      <c r="G3297" s="9">
        <v>1059</v>
      </c>
      <c r="H3297" s="5" t="s">
        <v>20</v>
      </c>
      <c r="I3297" s="5" t="s">
        <v>7790</v>
      </c>
      <c r="J3297" s="12" t="str">
        <f>HYPERLINK("https://www.boe.es/gazeta/dias/1805/12/06/pdfs/GMD-1805-98.pdf#page=11","Abrir facsímil")</f>
        <v>Abrir facsímil</v>
      </c>
      <c r="K3297" s="15" t="s">
        <v>22</v>
      </c>
    </row>
    <row r="3298" spans="1:11" ht="42" customHeight="1">
      <c r="A3298" s="4" t="s">
        <v>7791</v>
      </c>
      <c r="B3298" s="5" t="s">
        <v>7791</v>
      </c>
      <c r="C3298" s="5" t="s">
        <v>35</v>
      </c>
      <c r="D3298" s="5" t="s">
        <v>36</v>
      </c>
      <c r="E3298" s="5" t="s">
        <v>352</v>
      </c>
      <c r="F3298" s="9">
        <v>60</v>
      </c>
      <c r="G3298" s="9">
        <v>645</v>
      </c>
      <c r="H3298" s="5" t="s">
        <v>20</v>
      </c>
      <c r="I3298" s="5" t="s">
        <v>7792</v>
      </c>
      <c r="J3298" s="12" t="str">
        <f>HYPERLINK("https://www.boe.es/gazeta/dias/1805/07/26/pdfs/GMD-1805-60.pdf#page=9","Abrir facsímil")</f>
        <v>Abrir facsímil</v>
      </c>
      <c r="K3298" s="15" t="s">
        <v>22</v>
      </c>
    </row>
    <row r="3299" spans="1:11" ht="42" customHeight="1">
      <c r="A3299" s="4" t="s">
        <v>7793</v>
      </c>
      <c r="B3299" s="5" t="s">
        <v>7793</v>
      </c>
      <c r="C3299" s="5" t="s">
        <v>35</v>
      </c>
      <c r="D3299" s="5" t="s">
        <v>36</v>
      </c>
      <c r="E3299" s="5" t="s">
        <v>120</v>
      </c>
      <c r="F3299" s="9">
        <v>24</v>
      </c>
      <c r="G3299" s="9">
        <v>255</v>
      </c>
      <c r="H3299" s="5" t="s">
        <v>20</v>
      </c>
      <c r="I3299" s="5" t="s">
        <v>7794</v>
      </c>
      <c r="J3299" s="12" t="str">
        <f>HYPERLINK("https://www.boe.es/gazeta/dias/1805/03/22/pdfs/GMD-1805-24.pdf#page=7","Abrir facsímil")</f>
        <v>Abrir facsímil</v>
      </c>
      <c r="K3299" s="15" t="s">
        <v>22</v>
      </c>
    </row>
    <row r="3300" spans="1:11" ht="42" customHeight="1">
      <c r="A3300" s="4" t="s">
        <v>7795</v>
      </c>
      <c r="B3300" s="5" t="s">
        <v>7795</v>
      </c>
      <c r="C3300" s="5" t="s">
        <v>17</v>
      </c>
      <c r="D3300" s="5" t="s">
        <v>18</v>
      </c>
      <c r="E3300" s="5" t="s">
        <v>506</v>
      </c>
      <c r="F3300" s="9">
        <v>80</v>
      </c>
      <c r="G3300" s="9">
        <v>848</v>
      </c>
      <c r="H3300" s="5" t="s">
        <v>20</v>
      </c>
      <c r="I3300" s="5" t="s">
        <v>7796</v>
      </c>
      <c r="J3300" s="12" t="str">
        <f>HYPERLINK("https://www.boe.es/gazeta/dias/1805/10/04/pdfs/GMD-1805-80.pdf#page=8","Abrir facsímil")</f>
        <v>Abrir facsímil</v>
      </c>
      <c r="K3300" s="15" t="s">
        <v>22</v>
      </c>
    </row>
    <row r="3301" spans="1:11" ht="42" customHeight="1">
      <c r="A3301" s="4" t="s">
        <v>7797</v>
      </c>
      <c r="B3301" s="5" t="s">
        <v>7797</v>
      </c>
      <c r="C3301" s="5" t="s">
        <v>35</v>
      </c>
      <c r="D3301" s="5" t="s">
        <v>36</v>
      </c>
      <c r="E3301" s="5" t="s">
        <v>91</v>
      </c>
      <c r="F3301" s="9">
        <v>28</v>
      </c>
      <c r="G3301" s="9">
        <v>301</v>
      </c>
      <c r="H3301" s="5" t="s">
        <v>20</v>
      </c>
      <c r="I3301" s="5" t="s">
        <v>7798</v>
      </c>
      <c r="J3301" s="12" t="str">
        <f>HYPERLINK("https://www.boe.es/gazeta/dias/1805/04/05/pdfs/GMD-1805-28.pdf#page=9","Abrir facsímil")</f>
        <v>Abrir facsímil</v>
      </c>
      <c r="K3301" s="15" t="s">
        <v>22</v>
      </c>
    </row>
    <row r="3302" spans="1:11" ht="42" customHeight="1">
      <c r="A3302" s="4" t="s">
        <v>7797</v>
      </c>
      <c r="B3302" s="5" t="s">
        <v>7797</v>
      </c>
      <c r="C3302" s="5" t="s">
        <v>17</v>
      </c>
      <c r="D3302" s="5" t="s">
        <v>18</v>
      </c>
      <c r="E3302" s="5" t="s">
        <v>506</v>
      </c>
      <c r="F3302" s="9">
        <v>80</v>
      </c>
      <c r="G3302" s="9">
        <v>849</v>
      </c>
      <c r="H3302" s="5" t="s">
        <v>20</v>
      </c>
      <c r="I3302" s="5" t="s">
        <v>7799</v>
      </c>
      <c r="J3302" s="12" t="str">
        <f>HYPERLINK("https://www.boe.es/gazeta/dias/1805/10/04/pdfs/GMD-1805-80.pdf#page=9","Abrir facsímil")</f>
        <v>Abrir facsímil</v>
      </c>
      <c r="K3302" s="15" t="s">
        <v>22</v>
      </c>
    </row>
    <row r="3303" spans="1:11" ht="42" customHeight="1">
      <c r="A3303" s="4" t="s">
        <v>7800</v>
      </c>
      <c r="B3303" s="5" t="s">
        <v>7800</v>
      </c>
      <c r="C3303" s="5" t="s">
        <v>35</v>
      </c>
      <c r="D3303" s="5" t="s">
        <v>36</v>
      </c>
      <c r="E3303" s="5" t="s">
        <v>138</v>
      </c>
      <c r="F3303" s="9">
        <v>102</v>
      </c>
      <c r="G3303" s="9">
        <v>1104</v>
      </c>
      <c r="H3303" s="5" t="s">
        <v>20</v>
      </c>
      <c r="I3303" s="5" t="s">
        <v>7801</v>
      </c>
      <c r="J3303" s="12" t="str">
        <f>HYPERLINK("https://www.boe.es/gazeta/dias/1805/12/20/pdfs/GMD-1805-102.pdf#page=8","Abrir facsímil")</f>
        <v>Abrir facsímil</v>
      </c>
      <c r="K3303" s="15" t="s">
        <v>22</v>
      </c>
    </row>
    <row r="3304" spans="1:11" ht="42" customHeight="1">
      <c r="A3304" s="4" t="s">
        <v>7802</v>
      </c>
      <c r="B3304" s="5" t="s">
        <v>7802</v>
      </c>
      <c r="C3304" s="5" t="s">
        <v>85</v>
      </c>
      <c r="D3304" s="5" t="s">
        <v>86</v>
      </c>
      <c r="E3304" s="5" t="s">
        <v>281</v>
      </c>
      <c r="F3304" s="9">
        <v>15</v>
      </c>
      <c r="G3304" s="9">
        <v>156</v>
      </c>
      <c r="H3304" s="5" t="s">
        <v>20</v>
      </c>
      <c r="I3304" s="5" t="s">
        <v>7803</v>
      </c>
      <c r="J3304" s="12" t="str">
        <f>HYPERLINK("https://www.boe.es/gazeta/dias/1805/02/19/pdfs/GMD-1805-15.pdf#page=8","Abrir facsímil")</f>
        <v>Abrir facsímil</v>
      </c>
      <c r="K3304" s="15" t="s">
        <v>22</v>
      </c>
    </row>
    <row r="3305" spans="1:11" ht="42" customHeight="1">
      <c r="A3305" s="4" t="s">
        <v>7804</v>
      </c>
      <c r="B3305" s="5" t="s">
        <v>7805</v>
      </c>
      <c r="C3305" s="5" t="s">
        <v>35</v>
      </c>
      <c r="D3305" s="5" t="s">
        <v>36</v>
      </c>
      <c r="E3305" s="5" t="s">
        <v>567</v>
      </c>
      <c r="F3305" s="9">
        <v>49</v>
      </c>
      <c r="G3305" s="9">
        <v>530</v>
      </c>
      <c r="H3305" s="5" t="s">
        <v>20</v>
      </c>
      <c r="I3305" s="5" t="s">
        <v>7806</v>
      </c>
      <c r="J3305" s="12" t="str">
        <f>HYPERLINK("https://www.boe.es/gazeta/dias/1805/06/18/pdfs/GMD-1805-49.pdf#page=6","Abrir facsímil")</f>
        <v>Abrir facsímil</v>
      </c>
      <c r="K3305" s="15" t="s">
        <v>22</v>
      </c>
    </row>
    <row r="3306" spans="1:11" ht="42" customHeight="1">
      <c r="A3306" s="4" t="s">
        <v>7807</v>
      </c>
      <c r="B3306" s="5" t="s">
        <v>7807</v>
      </c>
      <c r="C3306" s="5" t="s">
        <v>29</v>
      </c>
      <c r="D3306" s="5" t="s">
        <v>30</v>
      </c>
      <c r="E3306" s="5" t="s">
        <v>669</v>
      </c>
      <c r="F3306" s="9">
        <v>84</v>
      </c>
      <c r="G3306" s="9" t="s">
        <v>145</v>
      </c>
      <c r="H3306" s="5" t="s">
        <v>20</v>
      </c>
      <c r="I3306" s="5" t="s">
        <v>7808</v>
      </c>
      <c r="J3306" s="12" t="str">
        <f>HYPERLINK("https://www.boe.es/gazeta/dias/1805/10/18/pdfs/GMD-C-1805-84.pdf#page=2","Abrir facsímil")</f>
        <v>Abrir facsímil</v>
      </c>
      <c r="K3306" s="15" t="s">
        <v>22</v>
      </c>
    </row>
    <row r="3307" spans="1:11" ht="42" customHeight="1">
      <c r="A3307" s="4" t="s">
        <v>7809</v>
      </c>
      <c r="B3307" s="5" t="s">
        <v>7809</v>
      </c>
      <c r="C3307" s="5" t="s">
        <v>35</v>
      </c>
      <c r="D3307" s="5" t="s">
        <v>36</v>
      </c>
      <c r="E3307" s="5" t="s">
        <v>854</v>
      </c>
      <c r="F3307" s="9">
        <v>46</v>
      </c>
      <c r="G3307" s="9">
        <v>499</v>
      </c>
      <c r="H3307" s="5" t="s">
        <v>20</v>
      </c>
      <c r="I3307" s="5" t="s">
        <v>7810</v>
      </c>
      <c r="J3307" s="12" t="str">
        <f>HYPERLINK("https://www.boe.es/gazeta/dias/1805/06/07/pdfs/GMD-1805-46.pdf#page=11","Abrir facsímil")</f>
        <v>Abrir facsímil</v>
      </c>
      <c r="K3307" s="15" t="s">
        <v>22</v>
      </c>
    </row>
    <row r="3308" spans="1:11" ht="42" customHeight="1">
      <c r="A3308" s="4" t="s">
        <v>7811</v>
      </c>
      <c r="B3308" s="5" t="s">
        <v>7811</v>
      </c>
      <c r="C3308" s="5" t="s">
        <v>35</v>
      </c>
      <c r="D3308" s="5" t="s">
        <v>36</v>
      </c>
      <c r="E3308" s="5" t="s">
        <v>213</v>
      </c>
      <c r="F3308" s="9">
        <v>56</v>
      </c>
      <c r="G3308" s="9">
        <v>600</v>
      </c>
      <c r="H3308" s="5" t="s">
        <v>20</v>
      </c>
      <c r="I3308" s="5" t="s">
        <v>7812</v>
      </c>
      <c r="J3308" s="12" t="str">
        <f>HYPERLINK("https://www.boe.es/gazeta/dias/1805/07/12/pdfs/GMD-1805-56.pdf#page=8","Abrir facsímil")</f>
        <v>Abrir facsímil</v>
      </c>
      <c r="K3308" s="15" t="s">
        <v>22</v>
      </c>
    </row>
    <row r="3309" spans="1:11" ht="42" customHeight="1">
      <c r="A3309" s="4" t="s">
        <v>7813</v>
      </c>
      <c r="B3309" s="5" t="s">
        <v>7813</v>
      </c>
      <c r="C3309" s="5" t="s">
        <v>35</v>
      </c>
      <c r="D3309" s="5" t="s">
        <v>36</v>
      </c>
      <c r="E3309" s="5" t="s">
        <v>144</v>
      </c>
      <c r="F3309" s="9">
        <v>85</v>
      </c>
      <c r="G3309" s="9">
        <v>902</v>
      </c>
      <c r="H3309" s="5" t="s">
        <v>20</v>
      </c>
      <c r="I3309" s="5" t="s">
        <v>7814</v>
      </c>
      <c r="J3309" s="12" t="str">
        <f>HYPERLINK("https://www.boe.es/gazeta/dias/1805/10/22/pdfs/GMD-1805-85.pdf#page=10","Abrir facsímil")</f>
        <v>Abrir facsímil</v>
      </c>
      <c r="K3309" s="15" t="s">
        <v>22</v>
      </c>
    </row>
    <row r="3310" spans="1:11" ht="42" customHeight="1">
      <c r="A3310" s="4" t="s">
        <v>7815</v>
      </c>
      <c r="B3310" s="5" t="s">
        <v>7815</v>
      </c>
      <c r="C3310" s="5" t="s">
        <v>35</v>
      </c>
      <c r="D3310" s="5" t="s">
        <v>36</v>
      </c>
      <c r="E3310" s="5" t="s">
        <v>82</v>
      </c>
      <c r="F3310" s="9">
        <v>25</v>
      </c>
      <c r="G3310" s="9">
        <v>267</v>
      </c>
      <c r="H3310" s="5" t="s">
        <v>20</v>
      </c>
      <c r="I3310" s="5" t="s">
        <v>7816</v>
      </c>
      <c r="J3310" s="12" t="str">
        <f>HYPERLINK("https://www.boe.es/gazeta/dias/1805/03/26/pdfs/GMD-1805-25.pdf#page=7","Abrir facsímil")</f>
        <v>Abrir facsímil</v>
      </c>
      <c r="K3310" s="15" t="s">
        <v>22</v>
      </c>
    </row>
    <row r="3311" spans="1:11" ht="42" customHeight="1">
      <c r="A3311" s="4" t="s">
        <v>7817</v>
      </c>
      <c r="B3311" s="5" t="s">
        <v>7817</v>
      </c>
      <c r="C3311" s="5" t="s">
        <v>85</v>
      </c>
      <c r="D3311" s="5" t="s">
        <v>86</v>
      </c>
      <c r="E3311" s="5" t="s">
        <v>217</v>
      </c>
      <c r="F3311" s="9">
        <v>96</v>
      </c>
      <c r="G3311" s="9">
        <v>1030</v>
      </c>
      <c r="H3311" s="5" t="s">
        <v>20</v>
      </c>
      <c r="I3311" s="5" t="s">
        <v>7818</v>
      </c>
      <c r="J3311" s="12" t="str">
        <f>HYPERLINK("https://www.boe.es/gazeta/dias/1805/11/29/pdfs/GMD-1805-96.pdf#page=6","Abrir facsímil")</f>
        <v>Abrir facsímil</v>
      </c>
      <c r="K3311" s="15" t="s">
        <v>22</v>
      </c>
    </row>
    <row r="3312" spans="1:11" ht="42" customHeight="1">
      <c r="A3312" s="4" t="s">
        <v>7819</v>
      </c>
      <c r="B3312" s="5" t="s">
        <v>7819</v>
      </c>
      <c r="C3312" s="5" t="s">
        <v>35</v>
      </c>
      <c r="D3312" s="5" t="s">
        <v>36</v>
      </c>
      <c r="E3312" s="5" t="s">
        <v>426</v>
      </c>
      <c r="F3312" s="9">
        <v>75</v>
      </c>
      <c r="G3312" s="9">
        <v>799</v>
      </c>
      <c r="H3312" s="5" t="s">
        <v>20</v>
      </c>
      <c r="I3312" s="5" t="s">
        <v>7820</v>
      </c>
      <c r="J3312" s="12" t="str">
        <f>HYPERLINK("https://www.boe.es/gazeta/dias/1805/09/17/pdfs/GMD-1805-75.pdf#page=11","Abrir facsímil")</f>
        <v>Abrir facsímil</v>
      </c>
      <c r="K3312" s="15" t="s">
        <v>22</v>
      </c>
    </row>
    <row r="3313" spans="1:11" ht="42" customHeight="1">
      <c r="A3313" s="4" t="s">
        <v>7821</v>
      </c>
      <c r="B3313" s="5" t="s">
        <v>7821</v>
      </c>
      <c r="C3313" s="5" t="s">
        <v>35</v>
      </c>
      <c r="D3313" s="5" t="s">
        <v>36</v>
      </c>
      <c r="E3313" s="5" t="s">
        <v>673</v>
      </c>
      <c r="F3313" s="9">
        <v>32</v>
      </c>
      <c r="G3313" s="9">
        <v>342</v>
      </c>
      <c r="H3313" s="5" t="s">
        <v>20</v>
      </c>
      <c r="I3313" s="5" t="s">
        <v>7822</v>
      </c>
      <c r="J3313" s="12" t="str">
        <f>HYPERLINK("https://www.boe.es/gazeta/dias/1805/04/19/pdfs/GMD-1805-32.pdf#page=6","Abrir facsímil")</f>
        <v>Abrir facsímil</v>
      </c>
      <c r="K3313" s="15" t="s">
        <v>22</v>
      </c>
    </row>
    <row r="3314" spans="1:11" ht="42" customHeight="1">
      <c r="A3314" s="4" t="s">
        <v>7823</v>
      </c>
      <c r="B3314" s="5" t="s">
        <v>7823</v>
      </c>
      <c r="C3314" s="5" t="s">
        <v>35</v>
      </c>
      <c r="D3314" s="5" t="s">
        <v>36</v>
      </c>
      <c r="E3314" s="5" t="s">
        <v>422</v>
      </c>
      <c r="F3314" s="9">
        <v>74</v>
      </c>
      <c r="G3314" s="9">
        <v>786</v>
      </c>
      <c r="H3314" s="5" t="s">
        <v>20</v>
      </c>
      <c r="I3314" s="5" t="s">
        <v>7824</v>
      </c>
      <c r="J3314" s="12" t="str">
        <f>HYPERLINK("https://www.boe.es/gazeta/dias/1805/09/13/pdfs/GMD-1805-74.pdf#page=10","Abrir facsímil")</f>
        <v>Abrir facsímil</v>
      </c>
      <c r="K3314" s="15" t="s">
        <v>22</v>
      </c>
    </row>
    <row r="3315" spans="1:11" ht="42" customHeight="1">
      <c r="A3315" s="4" t="s">
        <v>7825</v>
      </c>
      <c r="B3315" s="5" t="s">
        <v>7825</v>
      </c>
      <c r="C3315" s="5" t="s">
        <v>35</v>
      </c>
      <c r="D3315" s="5" t="s">
        <v>36</v>
      </c>
      <c r="E3315" s="5" t="s">
        <v>426</v>
      </c>
      <c r="F3315" s="9">
        <v>75</v>
      </c>
      <c r="G3315" s="9">
        <v>798</v>
      </c>
      <c r="H3315" s="5" t="s">
        <v>20</v>
      </c>
      <c r="I3315" s="5" t="s">
        <v>7826</v>
      </c>
      <c r="J3315" s="12" t="str">
        <f>HYPERLINK("https://www.boe.es/gazeta/dias/1805/09/17/pdfs/GMD-1805-75.pdf#page=10","Abrir facsímil")</f>
        <v>Abrir facsímil</v>
      </c>
      <c r="K3315" s="15" t="s">
        <v>22</v>
      </c>
    </row>
    <row r="3316" spans="1:11" ht="42" customHeight="1">
      <c r="A3316" s="4" t="s">
        <v>7825</v>
      </c>
      <c r="B3316" s="5" t="s">
        <v>7825</v>
      </c>
      <c r="C3316" s="5" t="s">
        <v>184</v>
      </c>
      <c r="D3316" s="5" t="s">
        <v>86</v>
      </c>
      <c r="E3316" s="5" t="s">
        <v>138</v>
      </c>
      <c r="F3316" s="9">
        <v>102</v>
      </c>
      <c r="G3316" s="9">
        <v>1104</v>
      </c>
      <c r="H3316" s="5" t="s">
        <v>20</v>
      </c>
      <c r="I3316" s="5" t="s">
        <v>7827</v>
      </c>
      <c r="J3316" s="12" t="str">
        <f>HYPERLINK("https://www.boe.es/gazeta/dias/1805/12/20/pdfs/GMD-1805-102.pdf#page=8","Abrir facsímil")</f>
        <v>Abrir facsímil</v>
      </c>
      <c r="K3316" s="15" t="s">
        <v>22</v>
      </c>
    </row>
    <row r="3317" spans="1:11" ht="42" customHeight="1">
      <c r="A3317" s="4" t="s">
        <v>7828</v>
      </c>
      <c r="B3317" s="5" t="s">
        <v>7828</v>
      </c>
      <c r="C3317" s="5" t="s">
        <v>85</v>
      </c>
      <c r="D3317" s="5" t="s">
        <v>86</v>
      </c>
      <c r="E3317" s="5" t="s">
        <v>24</v>
      </c>
      <c r="F3317" s="9">
        <v>11</v>
      </c>
      <c r="G3317" s="9">
        <v>120</v>
      </c>
      <c r="H3317" s="5" t="s">
        <v>20</v>
      </c>
      <c r="I3317" s="5" t="s">
        <v>7829</v>
      </c>
      <c r="J3317" s="12" t="str">
        <f>HYPERLINK("https://www.boe.es/gazeta/dias/1805/02/05/pdfs/GMD-1805-11.pdf#page=8","Abrir facsímil")</f>
        <v>Abrir facsímil</v>
      </c>
      <c r="K3317" s="15" t="s">
        <v>22</v>
      </c>
    </row>
    <row r="3318" spans="1:11" ht="42" customHeight="1">
      <c r="A3318" s="4" t="s">
        <v>7828</v>
      </c>
      <c r="B3318" s="5" t="s">
        <v>7828</v>
      </c>
      <c r="C3318" s="5" t="s">
        <v>17</v>
      </c>
      <c r="D3318" s="5" t="s">
        <v>18</v>
      </c>
      <c r="E3318" s="5" t="s">
        <v>196</v>
      </c>
      <c r="F3318" s="9">
        <v>67</v>
      </c>
      <c r="G3318" s="9">
        <v>717</v>
      </c>
      <c r="H3318" s="5" t="s">
        <v>20</v>
      </c>
      <c r="I3318" s="5" t="s">
        <v>7830</v>
      </c>
      <c r="J3318" s="12" t="str">
        <f>HYPERLINK("https://www.boe.es/gazeta/dias/1805/08/20/pdfs/GMD-1805-67.pdf#page=5","Abrir facsímil")</f>
        <v>Abrir facsímil</v>
      </c>
      <c r="K3318" s="15" t="s">
        <v>22</v>
      </c>
    </row>
    <row r="3319" spans="1:11" ht="42" customHeight="1">
      <c r="A3319" s="4" t="s">
        <v>7828</v>
      </c>
      <c r="B3319" s="5" t="s">
        <v>7828</v>
      </c>
      <c r="C3319" s="5" t="s">
        <v>35</v>
      </c>
      <c r="D3319" s="5" t="s">
        <v>36</v>
      </c>
      <c r="E3319" s="5" t="s">
        <v>426</v>
      </c>
      <c r="F3319" s="9">
        <v>75</v>
      </c>
      <c r="G3319" s="9">
        <v>798</v>
      </c>
      <c r="H3319" s="5" t="s">
        <v>20</v>
      </c>
      <c r="I3319" s="5" t="s">
        <v>7831</v>
      </c>
      <c r="J3319" s="12" t="str">
        <f>HYPERLINK("https://www.boe.es/gazeta/dias/1805/09/17/pdfs/GMD-1805-75.pdf#page=10","Abrir facsímil")</f>
        <v>Abrir facsímil</v>
      </c>
      <c r="K3319" s="15" t="s">
        <v>22</v>
      </c>
    </row>
    <row r="3320" spans="1:11" ht="42" customHeight="1">
      <c r="A3320" s="4" t="s">
        <v>7832</v>
      </c>
      <c r="B3320" s="5" t="s">
        <v>7832</v>
      </c>
      <c r="C3320" s="5" t="s">
        <v>85</v>
      </c>
      <c r="D3320" s="5" t="s">
        <v>86</v>
      </c>
      <c r="E3320" s="5" t="s">
        <v>188</v>
      </c>
      <c r="F3320" s="9">
        <v>68</v>
      </c>
      <c r="G3320" s="9">
        <v>728</v>
      </c>
      <c r="H3320" s="5" t="s">
        <v>20</v>
      </c>
      <c r="I3320" s="5" t="s">
        <v>7833</v>
      </c>
      <c r="J3320" s="12" t="str">
        <f>HYPERLINK("https://www.boe.es/gazeta/dias/1805/08/23/pdfs/GMD-1805-68.pdf#page=8","Abrir facsímil")</f>
        <v>Abrir facsímil</v>
      </c>
      <c r="K3320" s="15" t="s">
        <v>22</v>
      </c>
    </row>
    <row r="3321" spans="1:11" ht="42" customHeight="1">
      <c r="A3321" s="4" t="s">
        <v>7834</v>
      </c>
      <c r="B3321" s="5" t="s">
        <v>7834</v>
      </c>
      <c r="C3321" s="5" t="s">
        <v>35</v>
      </c>
      <c r="D3321" s="5" t="s">
        <v>36</v>
      </c>
      <c r="E3321" s="5" t="s">
        <v>1259</v>
      </c>
      <c r="F3321" s="9">
        <v>78</v>
      </c>
      <c r="G3321" s="9">
        <v>827</v>
      </c>
      <c r="H3321" s="5" t="s">
        <v>20</v>
      </c>
      <c r="I3321" s="5" t="s">
        <v>7835</v>
      </c>
      <c r="J3321" s="12" t="str">
        <f>HYPERLINK("https://www.boe.es/gazeta/dias/1805/09/27/pdfs/GMD-1805-78.pdf#page=7","Abrir facsímil")</f>
        <v>Abrir facsímil</v>
      </c>
      <c r="K3321" s="15" t="s">
        <v>22</v>
      </c>
    </row>
    <row r="3322" spans="1:11" ht="42" customHeight="1">
      <c r="A3322" s="4" t="s">
        <v>7836</v>
      </c>
      <c r="B3322" s="5" t="s">
        <v>7836</v>
      </c>
      <c r="C3322" s="5" t="s">
        <v>35</v>
      </c>
      <c r="D3322" s="5" t="s">
        <v>36</v>
      </c>
      <c r="E3322" s="5" t="s">
        <v>24</v>
      </c>
      <c r="F3322" s="9">
        <v>11</v>
      </c>
      <c r="G3322" s="9">
        <v>121</v>
      </c>
      <c r="H3322" s="5" t="s">
        <v>20</v>
      </c>
      <c r="I3322" s="5" t="s">
        <v>7837</v>
      </c>
      <c r="J3322" s="12" t="str">
        <f>HYPERLINK("https://www.boe.es/gazeta/dias/1805/02/05/pdfs/GMD-1805-11.pdf#page=9","Abrir facsímil")</f>
        <v>Abrir facsímil</v>
      </c>
      <c r="K3322" s="15" t="s">
        <v>22</v>
      </c>
    </row>
    <row r="3323" spans="1:11" ht="42" customHeight="1">
      <c r="A3323" s="4" t="s">
        <v>7838</v>
      </c>
      <c r="B3323" s="5" t="s">
        <v>7838</v>
      </c>
      <c r="C3323" s="5" t="s">
        <v>29</v>
      </c>
      <c r="D3323" s="5" t="s">
        <v>30</v>
      </c>
      <c r="E3323" s="5" t="s">
        <v>261</v>
      </c>
      <c r="F3323" s="9">
        <v>18</v>
      </c>
      <c r="G3323" s="9">
        <v>188</v>
      </c>
      <c r="H3323" s="5" t="s">
        <v>20</v>
      </c>
      <c r="I3323" s="5" t="s">
        <v>7839</v>
      </c>
      <c r="J3323" s="12" t="str">
        <f>HYPERLINK("https://www.boe.es/gazeta/dias/1805/03/01/pdfs/GMD-1805-18.pdf#page=8","Abrir facsímil")</f>
        <v>Abrir facsímil</v>
      </c>
      <c r="K3323" s="15" t="s">
        <v>22</v>
      </c>
    </row>
    <row r="3324" spans="1:11" ht="42" customHeight="1">
      <c r="A3324" s="4" t="s">
        <v>7840</v>
      </c>
      <c r="B3324" s="5" t="s">
        <v>7840</v>
      </c>
      <c r="C3324" s="5" t="s">
        <v>17</v>
      </c>
      <c r="D3324" s="5" t="s">
        <v>18</v>
      </c>
      <c r="E3324" s="5" t="s">
        <v>59</v>
      </c>
      <c r="F3324" s="9">
        <v>21</v>
      </c>
      <c r="G3324" s="9">
        <v>220</v>
      </c>
      <c r="H3324" s="5" t="s">
        <v>20</v>
      </c>
      <c r="I3324" s="5" t="s">
        <v>7841</v>
      </c>
      <c r="J3324" s="12" t="str">
        <f>HYPERLINK("https://www.boe.es/gazeta/dias/1805/03/12/pdfs/GMD-1805-21.pdf#page=8","Abrir facsímil")</f>
        <v>Abrir facsímil</v>
      </c>
      <c r="K3324" s="15" t="s">
        <v>22</v>
      </c>
    </row>
    <row r="3325" spans="1:11" ht="42" customHeight="1">
      <c r="A3325" s="4" t="s">
        <v>7840</v>
      </c>
      <c r="B3325" s="5" t="s">
        <v>7840</v>
      </c>
      <c r="C3325" s="5" t="s">
        <v>52</v>
      </c>
      <c r="D3325" s="5" t="s">
        <v>53</v>
      </c>
      <c r="E3325" s="5" t="s">
        <v>144</v>
      </c>
      <c r="F3325" s="9">
        <v>85</v>
      </c>
      <c r="G3325" s="9" t="s">
        <v>772</v>
      </c>
      <c r="H3325" s="5" t="s">
        <v>20</v>
      </c>
      <c r="I3325" s="5" t="s">
        <v>7842</v>
      </c>
      <c r="J3325" s="12" t="str">
        <f>HYPERLINK("https://www.boe.es/gazeta/dias/1805/10/22/pdfs/GMD-C-1805-85.pdf#page=6","Abrir facsímil")</f>
        <v>Abrir facsímil</v>
      </c>
      <c r="K3325" s="15" t="s">
        <v>22</v>
      </c>
    </row>
    <row r="3326" spans="1:11" ht="42" customHeight="1">
      <c r="A3326" s="4" t="s">
        <v>7840</v>
      </c>
      <c r="B3326" s="5" t="s">
        <v>7840</v>
      </c>
      <c r="C3326" s="5" t="s">
        <v>52</v>
      </c>
      <c r="D3326" s="5" t="s">
        <v>53</v>
      </c>
      <c r="E3326" s="5" t="s">
        <v>144</v>
      </c>
      <c r="F3326" s="9">
        <v>85</v>
      </c>
      <c r="G3326" s="9" t="s">
        <v>1002</v>
      </c>
      <c r="H3326" s="5" t="s">
        <v>20</v>
      </c>
      <c r="I3326" s="5" t="s">
        <v>7843</v>
      </c>
      <c r="J3326" s="12" t="str">
        <f>HYPERLINK("https://www.boe.es/gazeta/dias/1805/10/22/pdfs/GMD-C-1805-85.pdf#page=7","Abrir facsímil")</f>
        <v>Abrir facsímil</v>
      </c>
      <c r="K3326" s="15" t="s">
        <v>22</v>
      </c>
    </row>
    <row r="3327" spans="1:11" ht="42" customHeight="1">
      <c r="A3327" s="4" t="s">
        <v>7840</v>
      </c>
      <c r="B3327" s="5" t="s">
        <v>7840</v>
      </c>
      <c r="C3327" s="5" t="s">
        <v>35</v>
      </c>
      <c r="D3327" s="5" t="s">
        <v>36</v>
      </c>
      <c r="E3327" s="5" t="s">
        <v>512</v>
      </c>
      <c r="F3327" s="9">
        <v>100</v>
      </c>
      <c r="G3327" s="9">
        <v>1083</v>
      </c>
      <c r="H3327" s="5" t="s">
        <v>20</v>
      </c>
      <c r="I3327" s="5" t="s">
        <v>7844</v>
      </c>
      <c r="J3327" s="12" t="str">
        <f>HYPERLINK("https://www.boe.es/gazeta/dias/1805/12/13/pdfs/GMD-1805-100.pdf#page=11","Abrir facsímil")</f>
        <v>Abrir facsímil</v>
      </c>
      <c r="K3327" s="15" t="s">
        <v>22</v>
      </c>
    </row>
    <row r="3328" spans="1:11" ht="42" customHeight="1">
      <c r="A3328" s="4" t="s">
        <v>7845</v>
      </c>
      <c r="B3328" s="5" t="s">
        <v>7845</v>
      </c>
      <c r="C3328" s="5" t="s">
        <v>35</v>
      </c>
      <c r="D3328" s="5" t="s">
        <v>36</v>
      </c>
      <c r="E3328" s="5" t="s">
        <v>24</v>
      </c>
      <c r="F3328" s="9">
        <v>11</v>
      </c>
      <c r="G3328" s="9">
        <v>121</v>
      </c>
      <c r="H3328" s="5" t="s">
        <v>20</v>
      </c>
      <c r="I3328" s="5" t="s">
        <v>7846</v>
      </c>
      <c r="J3328" s="12" t="str">
        <f>HYPERLINK("https://www.boe.es/gazeta/dias/1805/02/05/pdfs/GMD-1805-11.pdf#page=9","Abrir facsímil")</f>
        <v>Abrir facsímil</v>
      </c>
      <c r="K3328" s="15" t="s">
        <v>22</v>
      </c>
    </row>
    <row r="3329" spans="1:11" ht="42" customHeight="1">
      <c r="A3329" s="4" t="s">
        <v>7847</v>
      </c>
      <c r="B3329" s="5" t="s">
        <v>7847</v>
      </c>
      <c r="C3329" s="5" t="s">
        <v>35</v>
      </c>
      <c r="D3329" s="5" t="s">
        <v>36</v>
      </c>
      <c r="E3329" s="5" t="s">
        <v>506</v>
      </c>
      <c r="F3329" s="9">
        <v>80</v>
      </c>
      <c r="G3329" s="9">
        <v>852</v>
      </c>
      <c r="H3329" s="5" t="s">
        <v>20</v>
      </c>
      <c r="I3329" s="5" t="s">
        <v>7848</v>
      </c>
      <c r="J3329" s="12" t="str">
        <f>HYPERLINK("https://www.boe.es/gazeta/dias/1805/10/04/pdfs/GMD-1805-80.pdf#page=12","Abrir facsímil")</f>
        <v>Abrir facsímil</v>
      </c>
      <c r="K3329" s="15" t="s">
        <v>22</v>
      </c>
    </row>
    <row r="3330" spans="1:11" ht="42" customHeight="1">
      <c r="A3330" s="4" t="s">
        <v>7849</v>
      </c>
      <c r="B3330" s="5" t="s">
        <v>7850</v>
      </c>
      <c r="C3330" s="5" t="s">
        <v>52</v>
      </c>
      <c r="D3330" s="5" t="s">
        <v>53</v>
      </c>
      <c r="E3330" s="5" t="s">
        <v>144</v>
      </c>
      <c r="F3330" s="9">
        <v>85</v>
      </c>
      <c r="G3330" s="9" t="s">
        <v>475</v>
      </c>
      <c r="H3330" s="5" t="s">
        <v>20</v>
      </c>
      <c r="I3330" s="5" t="s">
        <v>7851</v>
      </c>
      <c r="J3330" s="12" t="str">
        <f>HYPERLINK("https://www.boe.es/gazeta/dias/1805/10/22/pdfs/GMD-C-1805-85.pdf#page=5","Abrir facsímil")</f>
        <v>Abrir facsímil</v>
      </c>
      <c r="K3330" s="15" t="s">
        <v>22</v>
      </c>
    </row>
    <row r="3331" spans="1:11" ht="42" customHeight="1">
      <c r="A3331" s="4" t="s">
        <v>7852</v>
      </c>
      <c r="B3331" s="5" t="s">
        <v>7852</v>
      </c>
      <c r="C3331" s="5" t="s">
        <v>52</v>
      </c>
      <c r="D3331" s="5" t="s">
        <v>53</v>
      </c>
      <c r="E3331" s="5" t="s">
        <v>82</v>
      </c>
      <c r="F3331" s="9">
        <v>25</v>
      </c>
      <c r="G3331" s="9" t="s">
        <v>222</v>
      </c>
      <c r="H3331" s="5" t="s">
        <v>20</v>
      </c>
      <c r="I3331" s="5" t="s">
        <v>7853</v>
      </c>
      <c r="J3331" s="12" t="str">
        <f>HYPERLINK("https://www.boe.es/gazeta/dias/1805/03/26/pdfs/GMD-C-1805-25.pdf#page=1","Abrir facsímil")</f>
        <v>Abrir facsímil</v>
      </c>
      <c r="K3331" s="15" t="s">
        <v>22</v>
      </c>
    </row>
    <row r="3332" spans="1:11" ht="42" customHeight="1">
      <c r="A3332" s="4" t="s">
        <v>7854</v>
      </c>
      <c r="B3332" s="5" t="s">
        <v>7854</v>
      </c>
      <c r="C3332" s="5" t="s">
        <v>35</v>
      </c>
      <c r="D3332" s="5" t="s">
        <v>36</v>
      </c>
      <c r="E3332" s="5" t="s">
        <v>138</v>
      </c>
      <c r="F3332" s="9">
        <v>102</v>
      </c>
      <c r="G3332" s="9">
        <v>1103</v>
      </c>
      <c r="H3332" s="5" t="s">
        <v>20</v>
      </c>
      <c r="I3332" s="5" t="s">
        <v>7855</v>
      </c>
      <c r="J3332" s="12" t="str">
        <f>HYPERLINK("https://www.boe.es/gazeta/dias/1805/12/20/pdfs/GMD-1805-102.pdf#page=7","Abrir facsímil")</f>
        <v>Abrir facsímil</v>
      </c>
      <c r="K3332" s="15" t="s">
        <v>22</v>
      </c>
    </row>
    <row r="3333" spans="1:11" ht="42" customHeight="1">
      <c r="A3333" s="4" t="s">
        <v>7856</v>
      </c>
      <c r="B3333" s="5" t="s">
        <v>7856</v>
      </c>
      <c r="C3333" s="5" t="s">
        <v>85</v>
      </c>
      <c r="D3333" s="5" t="s">
        <v>86</v>
      </c>
      <c r="E3333" s="5" t="s">
        <v>290</v>
      </c>
      <c r="F3333" s="9">
        <v>36</v>
      </c>
      <c r="G3333" s="9">
        <v>388</v>
      </c>
      <c r="H3333" s="5" t="s">
        <v>20</v>
      </c>
      <c r="I3333" s="5" t="s">
        <v>7857</v>
      </c>
      <c r="J3333" s="12" t="str">
        <f>HYPERLINK("https://www.boe.es/gazeta/dias/1805/05/03/pdfs/GMD-1805-36.pdf#page=8","Abrir facsímil")</f>
        <v>Abrir facsímil</v>
      </c>
      <c r="K3333" s="15" t="s">
        <v>22</v>
      </c>
    </row>
    <row r="3334" spans="1:11" ht="42" customHeight="1">
      <c r="A3334" s="4" t="s">
        <v>7858</v>
      </c>
      <c r="B3334" s="5" t="s">
        <v>7858</v>
      </c>
      <c r="C3334" s="5" t="s">
        <v>35</v>
      </c>
      <c r="D3334" s="5" t="s">
        <v>36</v>
      </c>
      <c r="E3334" s="5" t="s">
        <v>67</v>
      </c>
      <c r="F3334" s="9">
        <v>98</v>
      </c>
      <c r="G3334" s="9">
        <v>1060</v>
      </c>
      <c r="H3334" s="5" t="s">
        <v>20</v>
      </c>
      <c r="I3334" s="5" t="s">
        <v>7859</v>
      </c>
      <c r="J3334" s="12" t="str">
        <f>HYPERLINK("https://www.boe.es/gazeta/dias/1805/12/06/pdfs/GMD-1805-98.pdf#page=12","Abrir facsímil")</f>
        <v>Abrir facsímil</v>
      </c>
      <c r="K3334" s="15" t="s">
        <v>22</v>
      </c>
    </row>
    <row r="3335" spans="1:11" ht="42" customHeight="1">
      <c r="A3335" s="4" t="s">
        <v>7860</v>
      </c>
      <c r="B3335" s="5" t="s">
        <v>7860</v>
      </c>
      <c r="C3335" s="5" t="s">
        <v>85</v>
      </c>
      <c r="D3335" s="5" t="s">
        <v>86</v>
      </c>
      <c r="E3335" s="5" t="s">
        <v>31</v>
      </c>
      <c r="F3335" s="9">
        <v>65</v>
      </c>
      <c r="G3335" s="9">
        <v>697</v>
      </c>
      <c r="H3335" s="5" t="s">
        <v>20</v>
      </c>
      <c r="I3335" s="5" t="s">
        <v>7861</v>
      </c>
      <c r="J3335" s="12" t="str">
        <f>HYPERLINK("https://www.boe.es/gazeta/dias/1805/08/13/pdfs/GMD-1805-65.pdf#page=9","Abrir facsímil")</f>
        <v>Abrir facsímil</v>
      </c>
      <c r="K3335" s="15" t="s">
        <v>22</v>
      </c>
    </row>
    <row r="3336" spans="1:11" ht="42" customHeight="1">
      <c r="A3336" s="4" t="s">
        <v>7862</v>
      </c>
      <c r="B3336" s="5" t="s">
        <v>7862</v>
      </c>
      <c r="C3336" s="5" t="s">
        <v>35</v>
      </c>
      <c r="D3336" s="5" t="s">
        <v>36</v>
      </c>
      <c r="E3336" s="5" t="s">
        <v>506</v>
      </c>
      <c r="F3336" s="9">
        <v>80</v>
      </c>
      <c r="G3336" s="9">
        <v>850</v>
      </c>
      <c r="H3336" s="5" t="s">
        <v>20</v>
      </c>
      <c r="I3336" s="5" t="s">
        <v>7863</v>
      </c>
      <c r="J3336" s="12" t="str">
        <f>HYPERLINK("https://www.boe.es/gazeta/dias/1805/10/04/pdfs/GMD-1805-80.pdf#page=10","Abrir facsímil")</f>
        <v>Abrir facsímil</v>
      </c>
      <c r="K3336" s="15" t="s">
        <v>22</v>
      </c>
    </row>
    <row r="3337" spans="1:11" ht="42" customHeight="1">
      <c r="A3337" s="4" t="s">
        <v>7864</v>
      </c>
      <c r="B3337" s="5" t="s">
        <v>7864</v>
      </c>
      <c r="C3337" s="5" t="s">
        <v>35</v>
      </c>
      <c r="D3337" s="5" t="s">
        <v>36</v>
      </c>
      <c r="E3337" s="5" t="s">
        <v>122</v>
      </c>
      <c r="F3337" s="9">
        <v>38</v>
      </c>
      <c r="G3337" s="9">
        <v>411</v>
      </c>
      <c r="H3337" s="5" t="s">
        <v>20</v>
      </c>
      <c r="I3337" s="5" t="s">
        <v>7865</v>
      </c>
      <c r="J3337" s="12" t="str">
        <f>HYPERLINK("https://www.boe.es/gazeta/dias/1805/05/10/pdfs/GMD-1805-38.pdf#page=7","Abrir facsímil")</f>
        <v>Abrir facsímil</v>
      </c>
      <c r="K3337" s="15" t="s">
        <v>22</v>
      </c>
    </row>
    <row r="3338" spans="1:11" ht="42" customHeight="1">
      <c r="A3338" s="4" t="s">
        <v>7866</v>
      </c>
      <c r="B3338" s="5" t="s">
        <v>7867</v>
      </c>
      <c r="C3338" s="5" t="s">
        <v>85</v>
      </c>
      <c r="D3338" s="5" t="s">
        <v>86</v>
      </c>
      <c r="E3338" s="5" t="s">
        <v>296</v>
      </c>
      <c r="F3338" s="9">
        <v>26</v>
      </c>
      <c r="G3338" s="9">
        <v>277</v>
      </c>
      <c r="H3338" s="5" t="s">
        <v>20</v>
      </c>
      <c r="I3338" s="5" t="s">
        <v>7868</v>
      </c>
      <c r="J3338" s="12" t="str">
        <f>HYPERLINK("https://www.boe.es/gazeta/dias/1805/03/29/pdfs/GMD-1805-26.pdf#page=9","Abrir facsímil")</f>
        <v>Abrir facsímil</v>
      </c>
      <c r="K3338" s="15" t="s">
        <v>22</v>
      </c>
    </row>
    <row r="3339" spans="1:11" ht="42" customHeight="1">
      <c r="A3339" s="4" t="s">
        <v>7869</v>
      </c>
      <c r="B3339" s="5" t="s">
        <v>7869</v>
      </c>
      <c r="C3339" s="5" t="s">
        <v>29</v>
      </c>
      <c r="D3339" s="5" t="s">
        <v>30</v>
      </c>
      <c r="E3339" s="5" t="s">
        <v>120</v>
      </c>
      <c r="F3339" s="9">
        <v>24</v>
      </c>
      <c r="G3339" s="9">
        <v>260</v>
      </c>
      <c r="H3339" s="5" t="s">
        <v>20</v>
      </c>
      <c r="I3339" s="5" t="s">
        <v>7870</v>
      </c>
      <c r="J3339" s="12" t="str">
        <f>HYPERLINK("https://www.boe.es/gazeta/dias/1805/03/22/pdfs/GMD-1805-24.pdf#page=12","Abrir facsímil")</f>
        <v>Abrir facsímil</v>
      </c>
      <c r="K3339" s="15" t="s">
        <v>22</v>
      </c>
    </row>
    <row r="3340" spans="1:11" ht="42" customHeight="1">
      <c r="A3340" s="4" t="s">
        <v>7871</v>
      </c>
      <c r="B3340" s="5" t="s">
        <v>7871</v>
      </c>
      <c r="C3340" s="5" t="s">
        <v>35</v>
      </c>
      <c r="D3340" s="5" t="s">
        <v>36</v>
      </c>
      <c r="E3340" s="5" t="s">
        <v>506</v>
      </c>
      <c r="F3340" s="9">
        <v>80</v>
      </c>
      <c r="G3340" s="9">
        <v>850</v>
      </c>
      <c r="H3340" s="5" t="s">
        <v>20</v>
      </c>
      <c r="I3340" s="5" t="s">
        <v>7872</v>
      </c>
      <c r="J3340" s="12" t="str">
        <f>HYPERLINK("https://www.boe.es/gazeta/dias/1805/10/04/pdfs/GMD-1805-80.pdf#page=10","Abrir facsímil")</f>
        <v>Abrir facsímil</v>
      </c>
      <c r="K3340" s="15" t="s">
        <v>22</v>
      </c>
    </row>
    <row r="3341" spans="1:11" ht="42" customHeight="1">
      <c r="A3341" s="4" t="s">
        <v>7873</v>
      </c>
      <c r="B3341" s="5" t="s">
        <v>7873</v>
      </c>
      <c r="C3341" s="5" t="s">
        <v>35</v>
      </c>
      <c r="D3341" s="5" t="s">
        <v>36</v>
      </c>
      <c r="E3341" s="5" t="s">
        <v>539</v>
      </c>
      <c r="F3341" s="9">
        <v>97</v>
      </c>
      <c r="G3341" s="9">
        <v>1045</v>
      </c>
      <c r="H3341" s="5" t="s">
        <v>20</v>
      </c>
      <c r="I3341" s="5" t="s">
        <v>7874</v>
      </c>
      <c r="J3341" s="12" t="str">
        <f>HYPERLINK("https://www.boe.es/gazeta/dias/1805/12/03/pdfs/GMD-1805-97.pdf#page=9","Abrir facsímil")</f>
        <v>Abrir facsímil</v>
      </c>
      <c r="K3341" s="15" t="s">
        <v>22</v>
      </c>
    </row>
    <row r="3342" spans="1:11" ht="42" customHeight="1">
      <c r="A3342" s="4" t="s">
        <v>7875</v>
      </c>
      <c r="B3342" s="5" t="s">
        <v>7875</v>
      </c>
      <c r="C3342" s="5" t="s">
        <v>35</v>
      </c>
      <c r="D3342" s="5" t="s">
        <v>36</v>
      </c>
      <c r="E3342" s="5" t="s">
        <v>135</v>
      </c>
      <c r="F3342" s="9">
        <v>71</v>
      </c>
      <c r="G3342" s="9">
        <v>757</v>
      </c>
      <c r="H3342" s="5" t="s">
        <v>20</v>
      </c>
      <c r="I3342" s="5" t="s">
        <v>7876</v>
      </c>
      <c r="J3342" s="12" t="str">
        <f>HYPERLINK("https://www.boe.es/gazeta/dias/1805/09/03/pdfs/GMD-1805-71.pdf#page=9","Abrir facsímil")</f>
        <v>Abrir facsímil</v>
      </c>
      <c r="K3342" s="15" t="s">
        <v>22</v>
      </c>
    </row>
    <row r="3343" spans="1:11" ht="42" customHeight="1">
      <c r="A3343" s="4" t="s">
        <v>7877</v>
      </c>
      <c r="B3343" s="5" t="s">
        <v>7877</v>
      </c>
      <c r="C3343" s="5" t="s">
        <v>17</v>
      </c>
      <c r="D3343" s="5" t="s">
        <v>18</v>
      </c>
      <c r="E3343" s="5" t="s">
        <v>365</v>
      </c>
      <c r="F3343" s="9">
        <v>3</v>
      </c>
      <c r="G3343" s="9">
        <v>29</v>
      </c>
      <c r="H3343" s="5" t="s">
        <v>20</v>
      </c>
      <c r="I3343" s="5" t="s">
        <v>7878</v>
      </c>
      <c r="J3343" s="12" t="str">
        <f>HYPERLINK("https://www.boe.es/gazeta/dias/1805/01/08/pdfs/GMD-1805-3.pdf#page=5","Abrir facsímil")</f>
        <v>Abrir facsímil</v>
      </c>
      <c r="K3343" s="15" t="s">
        <v>22</v>
      </c>
    </row>
    <row r="3344" spans="1:11" ht="42" customHeight="1">
      <c r="A3344" s="4" t="s">
        <v>7879</v>
      </c>
      <c r="B3344" s="5" t="s">
        <v>7879</v>
      </c>
      <c r="C3344" s="5" t="s">
        <v>35</v>
      </c>
      <c r="D3344" s="5" t="s">
        <v>36</v>
      </c>
      <c r="E3344" s="5" t="s">
        <v>904</v>
      </c>
      <c r="F3344" s="9">
        <v>47</v>
      </c>
      <c r="G3344" s="9">
        <v>510</v>
      </c>
      <c r="H3344" s="5" t="s">
        <v>20</v>
      </c>
      <c r="I3344" s="5" t="s">
        <v>7880</v>
      </c>
      <c r="J3344" s="12" t="str">
        <f>HYPERLINK("https://www.boe.es/gazeta/dias/1805/06/11/pdfs/GMD-1805-47.pdf#page=10","Abrir facsímil")</f>
        <v>Abrir facsímil</v>
      </c>
      <c r="K3344" s="15" t="s">
        <v>22</v>
      </c>
    </row>
    <row r="3345" spans="1:11" ht="42" customHeight="1">
      <c r="A3345" s="4" t="s">
        <v>7881</v>
      </c>
      <c r="B3345" s="5" t="s">
        <v>7881</v>
      </c>
      <c r="C3345" s="5" t="s">
        <v>35</v>
      </c>
      <c r="D3345" s="5" t="s">
        <v>36</v>
      </c>
      <c r="E3345" s="5" t="s">
        <v>44</v>
      </c>
      <c r="F3345" s="9">
        <v>29</v>
      </c>
      <c r="G3345" s="9">
        <v>313</v>
      </c>
      <c r="H3345" s="5" t="s">
        <v>20</v>
      </c>
      <c r="I3345" s="5" t="s">
        <v>7882</v>
      </c>
      <c r="J3345" s="12" t="str">
        <f>HYPERLINK("https://www.boe.es/gazeta/dias/1805/04/09/pdfs/GMD-1805-29.pdf#page=9","Abrir facsímil")</f>
        <v>Abrir facsímil</v>
      </c>
      <c r="K3345" s="15" t="s">
        <v>22</v>
      </c>
    </row>
    <row r="3346" spans="1:11" ht="42" customHeight="1">
      <c r="A3346" s="4" t="s">
        <v>7881</v>
      </c>
      <c r="B3346" s="5" t="s">
        <v>7881</v>
      </c>
      <c r="C3346" s="5" t="s">
        <v>35</v>
      </c>
      <c r="D3346" s="5" t="s">
        <v>36</v>
      </c>
      <c r="E3346" s="5" t="s">
        <v>276</v>
      </c>
      <c r="F3346" s="9">
        <v>51</v>
      </c>
      <c r="G3346" s="9">
        <v>552</v>
      </c>
      <c r="H3346" s="5" t="s">
        <v>20</v>
      </c>
      <c r="I3346" s="5" t="s">
        <v>7883</v>
      </c>
      <c r="J3346" s="12" t="str">
        <f>HYPERLINK("https://www.boe.es/gazeta/dias/1805/06/25/pdfs/GMD-1805-51.pdf#page=8","Abrir facsímil")</f>
        <v>Abrir facsímil</v>
      </c>
      <c r="K3346" s="15" t="s">
        <v>22</v>
      </c>
    </row>
    <row r="3347" spans="1:11" ht="42" customHeight="1">
      <c r="A3347" s="4" t="s">
        <v>7881</v>
      </c>
      <c r="B3347" s="5" t="s">
        <v>7881</v>
      </c>
      <c r="C3347" s="5" t="s">
        <v>35</v>
      </c>
      <c r="D3347" s="5" t="s">
        <v>36</v>
      </c>
      <c r="E3347" s="5" t="s">
        <v>539</v>
      </c>
      <c r="F3347" s="9">
        <v>97</v>
      </c>
      <c r="G3347" s="9">
        <v>1043</v>
      </c>
      <c r="H3347" s="5" t="s">
        <v>20</v>
      </c>
      <c r="I3347" s="5" t="s">
        <v>7884</v>
      </c>
      <c r="J3347" s="12" t="str">
        <f>HYPERLINK("https://www.boe.es/gazeta/dias/1805/12/03/pdfs/GMD-1805-97.pdf#page=7","Abrir facsímil")</f>
        <v>Abrir facsímil</v>
      </c>
      <c r="K3347" s="15" t="s">
        <v>22</v>
      </c>
    </row>
    <row r="3348" spans="1:11" ht="42" customHeight="1">
      <c r="A3348" s="4" t="s">
        <v>7881</v>
      </c>
      <c r="B3348" s="5" t="s">
        <v>7881</v>
      </c>
      <c r="C3348" s="5" t="s">
        <v>52</v>
      </c>
      <c r="D3348" s="5" t="s">
        <v>53</v>
      </c>
      <c r="E3348" s="5" t="s">
        <v>54</v>
      </c>
      <c r="F3348" s="9">
        <v>99</v>
      </c>
      <c r="G3348" s="9" t="s">
        <v>55</v>
      </c>
      <c r="H3348" s="5" t="s">
        <v>20</v>
      </c>
      <c r="I3348" s="5" t="s">
        <v>7885</v>
      </c>
      <c r="J3348" s="12" t="str">
        <f>HYPERLINK("https://www.boe.es/gazeta/dias/1805/12/10/pdfs/GMD-C-1805-99.pdf#page=4","Abrir facsímil")</f>
        <v>Abrir facsímil</v>
      </c>
      <c r="K3348" s="15" t="s">
        <v>22</v>
      </c>
    </row>
    <row r="3349" spans="1:11" ht="42" customHeight="1">
      <c r="A3349" s="4" t="s">
        <v>7881</v>
      </c>
      <c r="B3349" s="5" t="s">
        <v>7881</v>
      </c>
      <c r="C3349" s="5" t="s">
        <v>17</v>
      </c>
      <c r="D3349" s="5" t="s">
        <v>18</v>
      </c>
      <c r="E3349" s="5" t="s">
        <v>63</v>
      </c>
      <c r="F3349" s="9">
        <v>101</v>
      </c>
      <c r="G3349" s="9">
        <v>1092</v>
      </c>
      <c r="H3349" s="5" t="s">
        <v>20</v>
      </c>
      <c r="I3349" s="5" t="s">
        <v>7886</v>
      </c>
      <c r="J3349" s="12" t="str">
        <f>HYPERLINK("https://www.boe.es/gazeta/dias/1805/12/17/pdfs/GMD-1805-101.pdf#page=8","Abrir facsímil")</f>
        <v>Abrir facsímil</v>
      </c>
      <c r="K3349" s="15" t="s">
        <v>22</v>
      </c>
    </row>
    <row r="3350" spans="1:11" ht="42" customHeight="1">
      <c r="A3350" s="4" t="s">
        <v>7887</v>
      </c>
      <c r="B3350" s="5" t="s">
        <v>7887</v>
      </c>
      <c r="C3350" s="5" t="s">
        <v>184</v>
      </c>
      <c r="D3350" s="5" t="s">
        <v>86</v>
      </c>
      <c r="E3350" s="5" t="s">
        <v>552</v>
      </c>
      <c r="F3350" s="9">
        <v>94</v>
      </c>
      <c r="G3350" s="9">
        <v>1011</v>
      </c>
      <c r="H3350" s="5" t="s">
        <v>20</v>
      </c>
      <c r="I3350" s="5" t="s">
        <v>7888</v>
      </c>
      <c r="J3350" s="12" t="str">
        <f>HYPERLINK("https://www.boe.es/gazeta/dias/1805/11/22/pdfs/GMD-1805-94.pdf#page=11","Abrir facsímil")</f>
        <v>Abrir facsímil</v>
      </c>
      <c r="K3350" s="15" t="s">
        <v>22</v>
      </c>
    </row>
    <row r="3351" spans="1:11" ht="42" customHeight="1">
      <c r="A3351" s="4" t="s">
        <v>7889</v>
      </c>
      <c r="B3351" s="5" t="s">
        <v>7890</v>
      </c>
      <c r="C3351" s="5" t="s">
        <v>29</v>
      </c>
      <c r="D3351" s="5" t="s">
        <v>30</v>
      </c>
      <c r="E3351" s="5" t="s">
        <v>363</v>
      </c>
      <c r="F3351" s="9">
        <v>1</v>
      </c>
      <c r="G3351" s="9">
        <v>12</v>
      </c>
      <c r="H3351" s="5" t="s">
        <v>20</v>
      </c>
      <c r="I3351" s="5" t="s">
        <v>7891</v>
      </c>
      <c r="J3351" s="12" t="str">
        <f>HYPERLINK("https://www.boe.es/gazeta/dias/1805/01/01/pdfs/GMD-1805-1.pdf#page=12","Abrir facsímil")</f>
        <v>Abrir facsímil</v>
      </c>
      <c r="K3351" s="15" t="s">
        <v>22</v>
      </c>
    </row>
    <row r="3352" spans="1:11" ht="42" customHeight="1">
      <c r="A3352" s="4" t="s">
        <v>7889</v>
      </c>
      <c r="B3352" s="5" t="s">
        <v>7890</v>
      </c>
      <c r="C3352" s="5" t="s">
        <v>184</v>
      </c>
      <c r="D3352" s="5" t="s">
        <v>86</v>
      </c>
      <c r="E3352" s="5" t="s">
        <v>1445</v>
      </c>
      <c r="F3352" s="9">
        <v>6</v>
      </c>
      <c r="G3352" s="9">
        <v>67</v>
      </c>
      <c r="H3352" s="5" t="s">
        <v>20</v>
      </c>
      <c r="I3352" s="5" t="s">
        <v>7892</v>
      </c>
      <c r="J3352" s="12" t="str">
        <f>HYPERLINK("https://www.boe.es/gazeta/dias/1805/01/18/pdfs/GMD-1805-6.pdf#page=11","Abrir facsímil")</f>
        <v>Abrir facsímil</v>
      </c>
      <c r="K3352" s="15" t="s">
        <v>22</v>
      </c>
    </row>
    <row r="3353" spans="1:11" ht="42" customHeight="1">
      <c r="A3353" s="4" t="s">
        <v>7889</v>
      </c>
      <c r="B3353" s="5" t="s">
        <v>7890</v>
      </c>
      <c r="C3353" s="5" t="s">
        <v>184</v>
      </c>
      <c r="D3353" s="5" t="s">
        <v>86</v>
      </c>
      <c r="E3353" s="5" t="s">
        <v>273</v>
      </c>
      <c r="F3353" s="9">
        <v>8</v>
      </c>
      <c r="G3353" s="9">
        <v>90</v>
      </c>
      <c r="H3353" s="5" t="s">
        <v>20</v>
      </c>
      <c r="I3353" s="5" t="s">
        <v>7893</v>
      </c>
      <c r="J3353" s="12" t="str">
        <f>HYPERLINK("https://www.boe.es/gazeta/dias/1805/01/25/pdfs/GMD-1805-8.pdf#page=10","Abrir facsímil")</f>
        <v>Abrir facsímil</v>
      </c>
      <c r="K3353" s="15" t="s">
        <v>22</v>
      </c>
    </row>
    <row r="3354" spans="1:11" ht="42" customHeight="1">
      <c r="A3354" s="4" t="s">
        <v>7894</v>
      </c>
      <c r="B3354" s="5" t="s">
        <v>7895</v>
      </c>
      <c r="C3354" s="5" t="s">
        <v>184</v>
      </c>
      <c r="D3354" s="5" t="s">
        <v>86</v>
      </c>
      <c r="E3354" s="5" t="s">
        <v>95</v>
      </c>
      <c r="F3354" s="9">
        <v>13</v>
      </c>
      <c r="G3354" s="9">
        <v>139</v>
      </c>
      <c r="H3354" s="5" t="s">
        <v>20</v>
      </c>
      <c r="I3354" s="5" t="s">
        <v>7896</v>
      </c>
      <c r="J3354" s="12" t="str">
        <f>HYPERLINK("https://www.boe.es/gazeta/dias/1805/02/12/pdfs/GMD-1805-13.pdf#page=7","Abrir facsímil")</f>
        <v>Abrir facsímil</v>
      </c>
      <c r="K3354" s="15" t="s">
        <v>22</v>
      </c>
    </row>
    <row r="3355" spans="1:11" ht="42" customHeight="1">
      <c r="A3355" s="4" t="s">
        <v>7889</v>
      </c>
      <c r="B3355" s="5" t="s">
        <v>7890</v>
      </c>
      <c r="C3355" s="5" t="s">
        <v>184</v>
      </c>
      <c r="D3355" s="5" t="s">
        <v>86</v>
      </c>
      <c r="E3355" s="5" t="s">
        <v>117</v>
      </c>
      <c r="F3355" s="9">
        <v>20</v>
      </c>
      <c r="G3355" s="9">
        <v>212</v>
      </c>
      <c r="H3355" s="5" t="s">
        <v>20</v>
      </c>
      <c r="I3355" s="5" t="s">
        <v>7897</v>
      </c>
      <c r="J3355" s="12" t="str">
        <f>HYPERLINK("https://www.boe.es/gazeta/dias/1805/03/08/pdfs/GMD-1805-20.pdf#page=12","Abrir facsímil")</f>
        <v>Abrir facsímil</v>
      </c>
      <c r="K3355" s="15" t="s">
        <v>22</v>
      </c>
    </row>
    <row r="3356" spans="1:11" ht="42" customHeight="1">
      <c r="A3356" s="4" t="s">
        <v>7889</v>
      </c>
      <c r="B3356" s="5" t="s">
        <v>7890</v>
      </c>
      <c r="C3356" s="5" t="s">
        <v>184</v>
      </c>
      <c r="D3356" s="5" t="s">
        <v>86</v>
      </c>
      <c r="E3356" s="5" t="s">
        <v>120</v>
      </c>
      <c r="F3356" s="9">
        <v>24</v>
      </c>
      <c r="G3356" s="9">
        <v>259</v>
      </c>
      <c r="H3356" s="5" t="s">
        <v>20</v>
      </c>
      <c r="I3356" s="5" t="s">
        <v>7898</v>
      </c>
      <c r="J3356" s="12" t="str">
        <f>HYPERLINK("https://www.boe.es/gazeta/dias/1805/03/22/pdfs/GMD-1805-24.pdf#page=11","Abrir facsímil")</f>
        <v>Abrir facsímil</v>
      </c>
      <c r="K3356" s="15" t="s">
        <v>22</v>
      </c>
    </row>
    <row r="3357" spans="1:11" ht="42" customHeight="1">
      <c r="A3357" s="4" t="s">
        <v>7889</v>
      </c>
      <c r="B3357" s="5" t="s">
        <v>7890</v>
      </c>
      <c r="C3357" s="5" t="s">
        <v>29</v>
      </c>
      <c r="D3357" s="5" t="s">
        <v>30</v>
      </c>
      <c r="E3357" s="5" t="s">
        <v>91</v>
      </c>
      <c r="F3357" s="9">
        <v>28</v>
      </c>
      <c r="G3357" s="9">
        <v>303</v>
      </c>
      <c r="H3357" s="5" t="s">
        <v>20</v>
      </c>
      <c r="I3357" s="5" t="s">
        <v>7899</v>
      </c>
      <c r="J3357" s="12" t="str">
        <f>HYPERLINK("https://www.boe.es/gazeta/dias/1805/04/05/pdfs/GMD-1805-28.pdf#page=11","Abrir facsímil")</f>
        <v>Abrir facsímil</v>
      </c>
      <c r="K3357" s="15" t="s">
        <v>22</v>
      </c>
    </row>
    <row r="3358" spans="1:11" ht="42" customHeight="1">
      <c r="A3358" s="4" t="s">
        <v>7900</v>
      </c>
      <c r="B3358" s="5" t="s">
        <v>7901</v>
      </c>
      <c r="C3358" s="5" t="s">
        <v>184</v>
      </c>
      <c r="D3358" s="5" t="s">
        <v>86</v>
      </c>
      <c r="E3358" s="5" t="s">
        <v>495</v>
      </c>
      <c r="F3358" s="9">
        <v>103</v>
      </c>
      <c r="G3358" s="9">
        <v>1116</v>
      </c>
      <c r="H3358" s="5" t="s">
        <v>20</v>
      </c>
      <c r="I3358" s="5" t="s">
        <v>7902</v>
      </c>
      <c r="J3358" s="12" t="str">
        <f>HYPERLINK("https://www.boe.es/gazeta/dias/1805/12/24/pdfs/GMD-1805-103.pdf#page=8","Abrir facsímil")</f>
        <v>Abrir facsímil</v>
      </c>
      <c r="K3358" s="15" t="s">
        <v>22</v>
      </c>
    </row>
    <row r="3359" spans="1:11" ht="42" customHeight="1">
      <c r="A3359" s="4" t="s">
        <v>7903</v>
      </c>
      <c r="B3359" s="5" t="s">
        <v>7903</v>
      </c>
      <c r="C3359" s="5" t="s">
        <v>35</v>
      </c>
      <c r="D3359" s="5" t="s">
        <v>36</v>
      </c>
      <c r="E3359" s="5" t="s">
        <v>63</v>
      </c>
      <c r="F3359" s="9">
        <v>101</v>
      </c>
      <c r="G3359" s="9">
        <v>1093</v>
      </c>
      <c r="H3359" s="5" t="s">
        <v>20</v>
      </c>
      <c r="I3359" s="5" t="s">
        <v>7904</v>
      </c>
      <c r="J3359" s="12" t="str">
        <f>HYPERLINK("https://www.boe.es/gazeta/dias/1805/12/17/pdfs/GMD-1805-101.pdf#page=9","Abrir facsímil")</f>
        <v>Abrir facsímil</v>
      </c>
      <c r="K3359" s="15" t="s">
        <v>22</v>
      </c>
    </row>
    <row r="3360" spans="1:11" ht="42" customHeight="1">
      <c r="A3360" s="4" t="s">
        <v>7905</v>
      </c>
      <c r="B3360" s="5" t="s">
        <v>7905</v>
      </c>
      <c r="C3360" s="5" t="s">
        <v>35</v>
      </c>
      <c r="D3360" s="5" t="s">
        <v>36</v>
      </c>
      <c r="E3360" s="5" t="s">
        <v>290</v>
      </c>
      <c r="F3360" s="9">
        <v>36</v>
      </c>
      <c r="G3360" s="9">
        <v>389</v>
      </c>
      <c r="H3360" s="5" t="s">
        <v>20</v>
      </c>
      <c r="I3360" s="5" t="s">
        <v>7906</v>
      </c>
      <c r="J3360" s="12" t="str">
        <f>HYPERLINK("https://www.boe.es/gazeta/dias/1805/05/03/pdfs/GMD-1805-36.pdf#page=9","Abrir facsímil")</f>
        <v>Abrir facsímil</v>
      </c>
      <c r="K3360" s="15" t="s">
        <v>22</v>
      </c>
    </row>
    <row r="3361" spans="1:11" ht="42" customHeight="1">
      <c r="A3361" s="4" t="s">
        <v>7907</v>
      </c>
      <c r="B3361" s="5" t="s">
        <v>7907</v>
      </c>
      <c r="C3361" s="5" t="s">
        <v>85</v>
      </c>
      <c r="D3361" s="5" t="s">
        <v>86</v>
      </c>
      <c r="E3361" s="5" t="s">
        <v>181</v>
      </c>
      <c r="F3361" s="9">
        <v>90</v>
      </c>
      <c r="G3361" s="9">
        <v>964</v>
      </c>
      <c r="H3361" s="5" t="s">
        <v>20</v>
      </c>
      <c r="I3361" s="5" t="s">
        <v>7908</v>
      </c>
      <c r="J3361" s="12" t="str">
        <f>HYPERLINK("https://www.boe.es/gazeta/dias/1805/11/08/pdfs/GMD-1805-90.pdf#page=8","Abrir facsímil")</f>
        <v>Abrir facsímil</v>
      </c>
      <c r="K3361" s="15" t="s">
        <v>22</v>
      </c>
    </row>
    <row r="3362" spans="1:11" ht="42" customHeight="1">
      <c r="A3362" s="4" t="s">
        <v>7909</v>
      </c>
      <c r="B3362" s="5" t="s">
        <v>7910</v>
      </c>
      <c r="C3362" s="5" t="s">
        <v>184</v>
      </c>
      <c r="D3362" s="5" t="s">
        <v>86</v>
      </c>
      <c r="E3362" s="5" t="s">
        <v>409</v>
      </c>
      <c r="F3362" s="9">
        <v>69</v>
      </c>
      <c r="G3362" s="9">
        <v>739</v>
      </c>
      <c r="H3362" s="5" t="s">
        <v>20</v>
      </c>
      <c r="I3362" s="5" t="s">
        <v>7911</v>
      </c>
      <c r="J3362" s="12" t="str">
        <f>HYPERLINK("https://www.boe.es/gazeta/dias/1805/08/27/pdfs/GMD-1805-69.pdf#page=7","Abrir facsímil")</f>
        <v>Abrir facsímil</v>
      </c>
      <c r="K3362" s="15" t="s">
        <v>22</v>
      </c>
    </row>
    <row r="3363" spans="1:11" ht="42" customHeight="1">
      <c r="A3363" s="4" t="s">
        <v>7909</v>
      </c>
      <c r="B3363" s="5" t="s">
        <v>7910</v>
      </c>
      <c r="C3363" s="5" t="s">
        <v>29</v>
      </c>
      <c r="D3363" s="5" t="s">
        <v>30</v>
      </c>
      <c r="E3363" s="5" t="s">
        <v>864</v>
      </c>
      <c r="F3363" s="9">
        <v>88</v>
      </c>
      <c r="G3363" s="9">
        <v>939</v>
      </c>
      <c r="H3363" s="5" t="s">
        <v>20</v>
      </c>
      <c r="I3363" s="5" t="s">
        <v>7912</v>
      </c>
      <c r="J3363" s="12" t="str">
        <f>HYPERLINK("https://www.boe.es/gazeta/dias/1805/11/01/pdfs/GMD-1805-88.pdf#page=11","Abrir facsímil")</f>
        <v>Abrir facsímil</v>
      </c>
      <c r="K3363" s="15" t="s">
        <v>22</v>
      </c>
    </row>
    <row r="3364" spans="1:11" ht="42" customHeight="1">
      <c r="A3364" s="4" t="s">
        <v>7913</v>
      </c>
      <c r="B3364" s="5" t="s">
        <v>7913</v>
      </c>
      <c r="C3364" s="5" t="s">
        <v>17</v>
      </c>
      <c r="D3364" s="5" t="s">
        <v>18</v>
      </c>
      <c r="E3364" s="5" t="s">
        <v>200</v>
      </c>
      <c r="F3364" s="9">
        <v>91</v>
      </c>
      <c r="G3364" s="9">
        <v>977</v>
      </c>
      <c r="H3364" s="5" t="s">
        <v>20</v>
      </c>
      <c r="I3364" s="5" t="s">
        <v>7914</v>
      </c>
      <c r="J3364" s="12" t="str">
        <f>HYPERLINK("https://www.boe.es/gazeta/dias/1805/11/12/pdfs/GMD-1805-91.pdf#page=9","Abrir facsímil")</f>
        <v>Abrir facsímil</v>
      </c>
      <c r="K3364" s="15" t="s">
        <v>22</v>
      </c>
    </row>
    <row r="3365" spans="1:11" ht="42" customHeight="1">
      <c r="A3365" s="4" t="s">
        <v>7915</v>
      </c>
      <c r="B3365" s="5" t="s">
        <v>7915</v>
      </c>
      <c r="C3365" s="5" t="s">
        <v>17</v>
      </c>
      <c r="D3365" s="5" t="s">
        <v>18</v>
      </c>
      <c r="E3365" s="5" t="s">
        <v>327</v>
      </c>
      <c r="F3365" s="9">
        <v>10</v>
      </c>
      <c r="G3365" s="9">
        <v>111</v>
      </c>
      <c r="H3365" s="5" t="s">
        <v>20</v>
      </c>
      <c r="I3365" s="5" t="s">
        <v>7916</v>
      </c>
      <c r="J3365" s="12" t="str">
        <f>HYPERLINK("https://www.boe.es/gazeta/dias/1805/02/01/pdfs/GMD-1805-10.pdf#page=7","Abrir facsímil")</f>
        <v>Abrir facsímil</v>
      </c>
      <c r="K3365" s="15" t="s">
        <v>22</v>
      </c>
    </row>
    <row r="3366" spans="1:11" ht="42" customHeight="1">
      <c r="A3366" s="4" t="s">
        <v>7915</v>
      </c>
      <c r="B3366" s="5" t="s">
        <v>7915</v>
      </c>
      <c r="C3366" s="5" t="s">
        <v>29</v>
      </c>
      <c r="D3366" s="5" t="s">
        <v>30</v>
      </c>
      <c r="E3366" s="5" t="s">
        <v>107</v>
      </c>
      <c r="F3366" s="9">
        <v>19</v>
      </c>
      <c r="G3366" s="9">
        <v>199</v>
      </c>
      <c r="H3366" s="5" t="s">
        <v>20</v>
      </c>
      <c r="I3366" s="5" t="s">
        <v>7917</v>
      </c>
      <c r="J3366" s="12" t="str">
        <f>HYPERLINK("https://www.boe.es/gazeta/dias/1805/03/05/pdfs/GMD-1805-19.pdf#page=11","Abrir facsímil")</f>
        <v>Abrir facsímil</v>
      </c>
      <c r="K3366" s="15" t="s">
        <v>22</v>
      </c>
    </row>
    <row r="3367" spans="1:11" ht="42" customHeight="1">
      <c r="A3367" s="4" t="s">
        <v>7915</v>
      </c>
      <c r="B3367" s="5" t="s">
        <v>7915</v>
      </c>
      <c r="C3367" s="5" t="s">
        <v>29</v>
      </c>
      <c r="D3367" s="5" t="s">
        <v>30</v>
      </c>
      <c r="E3367" s="5" t="s">
        <v>117</v>
      </c>
      <c r="F3367" s="9">
        <v>20</v>
      </c>
      <c r="G3367" s="9">
        <v>212</v>
      </c>
      <c r="H3367" s="5" t="s">
        <v>20</v>
      </c>
      <c r="I3367" s="5" t="s">
        <v>7918</v>
      </c>
      <c r="J3367" s="12" t="str">
        <f>HYPERLINK("https://www.boe.es/gazeta/dias/1805/03/08/pdfs/GMD-1805-20.pdf#page=12","Abrir facsímil")</f>
        <v>Abrir facsímil</v>
      </c>
      <c r="K3367" s="15" t="s">
        <v>22</v>
      </c>
    </row>
    <row r="3368" spans="1:11" ht="42" customHeight="1">
      <c r="A3368" s="4" t="s">
        <v>7915</v>
      </c>
      <c r="B3368" s="5" t="s">
        <v>7915</v>
      </c>
      <c r="C3368" s="5" t="s">
        <v>29</v>
      </c>
      <c r="D3368" s="5" t="s">
        <v>30</v>
      </c>
      <c r="E3368" s="5" t="s">
        <v>59</v>
      </c>
      <c r="F3368" s="9">
        <v>21</v>
      </c>
      <c r="G3368" s="9">
        <v>221</v>
      </c>
      <c r="H3368" s="5" t="s">
        <v>20</v>
      </c>
      <c r="I3368" s="5" t="s">
        <v>7919</v>
      </c>
      <c r="J3368" s="12" t="str">
        <f>HYPERLINK("https://www.boe.es/gazeta/dias/1805/03/12/pdfs/GMD-1805-21.pdf#page=9","Abrir facsímil")</f>
        <v>Abrir facsímil</v>
      </c>
      <c r="K3368" s="15" t="s">
        <v>22</v>
      </c>
    </row>
    <row r="3369" spans="1:11" ht="42" customHeight="1">
      <c r="A3369" s="4" t="s">
        <v>7915</v>
      </c>
      <c r="B3369" s="5" t="s">
        <v>7915</v>
      </c>
      <c r="C3369" s="5" t="s">
        <v>29</v>
      </c>
      <c r="D3369" s="5" t="s">
        <v>30</v>
      </c>
      <c r="E3369" s="5" t="s">
        <v>850</v>
      </c>
      <c r="F3369" s="9">
        <v>42</v>
      </c>
      <c r="G3369" s="9">
        <v>455</v>
      </c>
      <c r="H3369" s="5" t="s">
        <v>20</v>
      </c>
      <c r="I3369" s="5" t="s">
        <v>7920</v>
      </c>
      <c r="J3369" s="12" t="str">
        <f>HYPERLINK("https://www.boe.es/gazeta/dias/1805/05/24/pdfs/GMD-1805-42.pdf#page=11","Abrir facsímil")</f>
        <v>Abrir facsímil</v>
      </c>
      <c r="K3369" s="15" t="s">
        <v>22</v>
      </c>
    </row>
    <row r="3370" spans="1:11" ht="42" customHeight="1">
      <c r="A3370" s="4" t="s">
        <v>7921</v>
      </c>
      <c r="B3370" s="5" t="s">
        <v>7921</v>
      </c>
      <c r="C3370" s="5" t="s">
        <v>17</v>
      </c>
      <c r="D3370" s="5" t="s">
        <v>18</v>
      </c>
      <c r="E3370" s="5" t="s">
        <v>71</v>
      </c>
      <c r="F3370" s="9">
        <v>33</v>
      </c>
      <c r="G3370" s="9">
        <v>355</v>
      </c>
      <c r="H3370" s="5" t="s">
        <v>20</v>
      </c>
      <c r="I3370" s="5" t="s">
        <v>7922</v>
      </c>
      <c r="J3370" s="12" t="str">
        <f>HYPERLINK("https://www.boe.es/gazeta/dias/1805/04/23/pdfs/GMD-1805-33.pdf#page=11","Abrir facsímil")</f>
        <v>Abrir facsímil</v>
      </c>
      <c r="K3370" s="15" t="s">
        <v>22</v>
      </c>
    </row>
    <row r="3371" spans="1:11" ht="42" customHeight="1">
      <c r="A3371" s="4" t="s">
        <v>7923</v>
      </c>
      <c r="B3371" s="5" t="s">
        <v>7924</v>
      </c>
      <c r="C3371" s="5" t="s">
        <v>35</v>
      </c>
      <c r="D3371" s="5" t="s">
        <v>36</v>
      </c>
      <c r="E3371" s="5" t="s">
        <v>300</v>
      </c>
      <c r="F3371" s="9">
        <v>81</v>
      </c>
      <c r="G3371" s="9">
        <v>858</v>
      </c>
      <c r="H3371" s="5" t="s">
        <v>20</v>
      </c>
      <c r="I3371" s="5" t="s">
        <v>7925</v>
      </c>
      <c r="J3371" s="12" t="str">
        <f>HYPERLINK("https://www.boe.es/gazeta/dias/1805/10/08/pdfs/GMD-1805-81.pdf#page=6","Abrir facsímil")</f>
        <v>Abrir facsímil</v>
      </c>
      <c r="K3371" s="15" t="s">
        <v>22</v>
      </c>
    </row>
    <row r="3372" spans="1:11" ht="42" customHeight="1">
      <c r="A3372" s="4" t="s">
        <v>7926</v>
      </c>
      <c r="B3372" s="5" t="s">
        <v>7926</v>
      </c>
      <c r="C3372" s="5" t="s">
        <v>35</v>
      </c>
      <c r="D3372" s="5" t="s">
        <v>36</v>
      </c>
      <c r="E3372" s="5" t="s">
        <v>192</v>
      </c>
      <c r="F3372" s="9">
        <v>105</v>
      </c>
      <c r="G3372" s="9">
        <v>1137</v>
      </c>
      <c r="H3372" s="5" t="s">
        <v>20</v>
      </c>
      <c r="I3372" s="5" t="s">
        <v>7927</v>
      </c>
      <c r="J3372" s="12" t="str">
        <f>HYPERLINK("https://www.boe.es/gazeta/dias/1805/12/31/pdfs/GMD-1805-105.pdf#page=9","Abrir facsímil")</f>
        <v>Abrir facsímil</v>
      </c>
      <c r="K3372" s="15" t="s">
        <v>22</v>
      </c>
    </row>
    <row r="3373" spans="1:11" ht="42" customHeight="1">
      <c r="A3373" s="4" t="s">
        <v>7928</v>
      </c>
      <c r="B3373" s="5" t="s">
        <v>7928</v>
      </c>
      <c r="C3373" s="5" t="s">
        <v>35</v>
      </c>
      <c r="D3373" s="5" t="s">
        <v>36</v>
      </c>
      <c r="E3373" s="5" t="s">
        <v>300</v>
      </c>
      <c r="F3373" s="9">
        <v>81</v>
      </c>
      <c r="G3373" s="9">
        <v>858</v>
      </c>
      <c r="H3373" s="5" t="s">
        <v>20</v>
      </c>
      <c r="I3373" s="5" t="s">
        <v>7929</v>
      </c>
      <c r="J3373" s="12" t="str">
        <f>HYPERLINK("https://www.boe.es/gazeta/dias/1805/10/08/pdfs/GMD-1805-81.pdf#page=6","Abrir facsímil")</f>
        <v>Abrir facsímil</v>
      </c>
      <c r="K3373" s="15" t="s">
        <v>22</v>
      </c>
    </row>
    <row r="3374" spans="1:11" ht="42" customHeight="1">
      <c r="A3374" s="4" t="s">
        <v>7930</v>
      </c>
      <c r="B3374" s="5" t="s">
        <v>7930</v>
      </c>
      <c r="C3374" s="5" t="s">
        <v>35</v>
      </c>
      <c r="D3374" s="5" t="s">
        <v>36</v>
      </c>
      <c r="E3374" s="5" t="s">
        <v>107</v>
      </c>
      <c r="F3374" s="9">
        <v>19</v>
      </c>
      <c r="G3374" s="9">
        <v>198</v>
      </c>
      <c r="H3374" s="5" t="s">
        <v>20</v>
      </c>
      <c r="I3374" s="5" t="s">
        <v>7931</v>
      </c>
      <c r="J3374" s="12" t="str">
        <f>HYPERLINK("https://www.boe.es/gazeta/dias/1805/03/05/pdfs/GMD-1805-19.pdf#page=10","Abrir facsímil")</f>
        <v>Abrir facsímil</v>
      </c>
      <c r="K3374" s="15" t="s">
        <v>22</v>
      </c>
    </row>
    <row r="3375" spans="1:11" ht="42" customHeight="1">
      <c r="A3375" s="4" t="s">
        <v>7932</v>
      </c>
      <c r="B3375" s="5" t="s">
        <v>7932</v>
      </c>
      <c r="C3375" s="5" t="s">
        <v>35</v>
      </c>
      <c r="D3375" s="5" t="s">
        <v>36</v>
      </c>
      <c r="E3375" s="5" t="s">
        <v>850</v>
      </c>
      <c r="F3375" s="9">
        <v>42</v>
      </c>
      <c r="G3375" s="9">
        <v>453</v>
      </c>
      <c r="H3375" s="5" t="s">
        <v>20</v>
      </c>
      <c r="I3375" s="5" t="s">
        <v>7933</v>
      </c>
      <c r="J3375" s="12" t="str">
        <f>HYPERLINK("https://www.boe.es/gazeta/dias/1805/05/24/pdfs/GMD-1805-42.pdf#page=9","Abrir facsímil")</f>
        <v>Abrir facsímil</v>
      </c>
      <c r="K3375" s="15" t="s">
        <v>22</v>
      </c>
    </row>
    <row r="3376" spans="1:11" ht="42" customHeight="1">
      <c r="A3376" s="4" t="s">
        <v>7934</v>
      </c>
      <c r="B3376" s="5" t="s">
        <v>7934</v>
      </c>
      <c r="C3376" s="5" t="s">
        <v>85</v>
      </c>
      <c r="D3376" s="5" t="s">
        <v>86</v>
      </c>
      <c r="E3376" s="5" t="s">
        <v>24</v>
      </c>
      <c r="F3376" s="9">
        <v>11</v>
      </c>
      <c r="G3376" s="9">
        <v>123</v>
      </c>
      <c r="H3376" s="5" t="s">
        <v>20</v>
      </c>
      <c r="I3376" s="5" t="s">
        <v>7935</v>
      </c>
      <c r="J3376" s="12" t="str">
        <f>HYPERLINK("https://www.boe.es/gazeta/dias/1805/02/05/pdfs/GMD-1805-11.pdf#page=11","Abrir facsímil")</f>
        <v>Abrir facsímil</v>
      </c>
      <c r="K3376" s="15" t="s">
        <v>22</v>
      </c>
    </row>
    <row r="3377" spans="1:11" ht="42" customHeight="1">
      <c r="A3377" s="4" t="s">
        <v>7936</v>
      </c>
      <c r="B3377" s="5" t="s">
        <v>7936</v>
      </c>
      <c r="C3377" s="5" t="s">
        <v>184</v>
      </c>
      <c r="D3377" s="5" t="s">
        <v>86</v>
      </c>
      <c r="E3377" s="5" t="s">
        <v>114</v>
      </c>
      <c r="F3377" s="9">
        <v>17</v>
      </c>
      <c r="G3377" s="9">
        <v>179</v>
      </c>
      <c r="H3377" s="5" t="s">
        <v>20</v>
      </c>
      <c r="I3377" s="5" t="s">
        <v>7937</v>
      </c>
      <c r="J3377" s="12" t="str">
        <f>HYPERLINK("https://www.boe.es/gazeta/dias/1805/02/26/pdfs/GMD-1805-17.pdf#page=11","Abrir facsímil")</f>
        <v>Abrir facsímil</v>
      </c>
      <c r="K3377" s="15" t="s">
        <v>22</v>
      </c>
    </row>
    <row r="3378" spans="1:11" ht="42" customHeight="1">
      <c r="A3378" s="4" t="s">
        <v>7938</v>
      </c>
      <c r="B3378" s="5" t="s">
        <v>7938</v>
      </c>
      <c r="C3378" s="5" t="s">
        <v>17</v>
      </c>
      <c r="D3378" s="5" t="s">
        <v>18</v>
      </c>
      <c r="E3378" s="5" t="s">
        <v>19</v>
      </c>
      <c r="F3378" s="9">
        <v>86</v>
      </c>
      <c r="G3378" s="9">
        <v>915</v>
      </c>
      <c r="H3378" s="5" t="s">
        <v>20</v>
      </c>
      <c r="I3378" s="5" t="s">
        <v>7939</v>
      </c>
      <c r="J3378" s="12" t="str">
        <f>HYPERLINK("https://www.boe.es/gazeta/dias/1805/10/25/pdfs/GMD-1805-86.pdf#page=11","Abrir facsímil")</f>
        <v>Abrir facsímil</v>
      </c>
      <c r="K3378" s="15" t="s">
        <v>22</v>
      </c>
    </row>
    <row r="3379" spans="1:11" ht="42" customHeight="1">
      <c r="A3379" s="4" t="s">
        <v>7940</v>
      </c>
      <c r="B3379" s="5" t="s">
        <v>7940</v>
      </c>
      <c r="C3379" s="5" t="s">
        <v>35</v>
      </c>
      <c r="D3379" s="5" t="s">
        <v>36</v>
      </c>
      <c r="E3379" s="5" t="s">
        <v>281</v>
      </c>
      <c r="F3379" s="9">
        <v>15</v>
      </c>
      <c r="G3379" s="9">
        <v>156</v>
      </c>
      <c r="H3379" s="5" t="s">
        <v>20</v>
      </c>
      <c r="I3379" s="5" t="s">
        <v>7941</v>
      </c>
      <c r="J3379" s="12" t="str">
        <f>HYPERLINK("https://www.boe.es/gazeta/dias/1805/02/19/pdfs/GMD-1805-15.pdf#page=8","Abrir facsímil")</f>
        <v>Abrir facsímil</v>
      </c>
      <c r="K3379" s="15" t="s">
        <v>22</v>
      </c>
    </row>
    <row r="3380" spans="1:11" ht="42" customHeight="1">
      <c r="A3380" s="4" t="s">
        <v>7942</v>
      </c>
      <c r="B3380" s="5" t="s">
        <v>7943</v>
      </c>
      <c r="C3380" s="5" t="s">
        <v>35</v>
      </c>
      <c r="D3380" s="5" t="s">
        <v>36</v>
      </c>
      <c r="E3380" s="5" t="s">
        <v>71</v>
      </c>
      <c r="F3380" s="9">
        <v>33</v>
      </c>
      <c r="G3380" s="9">
        <v>352</v>
      </c>
      <c r="H3380" s="5" t="s">
        <v>20</v>
      </c>
      <c r="I3380" s="5" t="s">
        <v>7944</v>
      </c>
      <c r="J3380" s="12" t="str">
        <f>HYPERLINK("https://www.boe.es/gazeta/dias/1805/04/23/pdfs/GMD-1805-33.pdf#page=8","Abrir facsímil")</f>
        <v>Abrir facsímil</v>
      </c>
      <c r="K3380" s="15" t="s">
        <v>22</v>
      </c>
    </row>
    <row r="3381" spans="1:11" ht="42" customHeight="1">
      <c r="A3381" s="4" t="s">
        <v>7945</v>
      </c>
      <c r="B3381" s="5" t="s">
        <v>7945</v>
      </c>
      <c r="C3381" s="5" t="s">
        <v>35</v>
      </c>
      <c r="D3381" s="5" t="s">
        <v>36</v>
      </c>
      <c r="E3381" s="5" t="s">
        <v>456</v>
      </c>
      <c r="F3381" s="9">
        <v>70</v>
      </c>
      <c r="G3381" s="9">
        <v>747</v>
      </c>
      <c r="H3381" s="5" t="s">
        <v>20</v>
      </c>
      <c r="I3381" s="5" t="s">
        <v>7946</v>
      </c>
      <c r="J3381" s="12" t="str">
        <f>HYPERLINK("https://www.boe.es/gazeta/dias/1805/08/30/pdfs/GMD-1805-70.pdf#page=7","Abrir facsímil")</f>
        <v>Abrir facsímil</v>
      </c>
      <c r="K3381" s="15" t="s">
        <v>22</v>
      </c>
    </row>
    <row r="3382" spans="1:11" ht="42" customHeight="1">
      <c r="A3382" s="4" t="s">
        <v>7947</v>
      </c>
      <c r="B3382" s="5" t="s">
        <v>7947</v>
      </c>
      <c r="C3382" s="5" t="s">
        <v>85</v>
      </c>
      <c r="D3382" s="5" t="s">
        <v>86</v>
      </c>
      <c r="E3382" s="5" t="s">
        <v>37</v>
      </c>
      <c r="F3382" s="9">
        <v>54</v>
      </c>
      <c r="G3382" s="9">
        <v>579</v>
      </c>
      <c r="H3382" s="5" t="s">
        <v>20</v>
      </c>
      <c r="I3382" s="5" t="s">
        <v>7948</v>
      </c>
      <c r="J3382" s="12" t="str">
        <f>HYPERLINK("https://www.boe.es/gazeta/dias/1805/07/05/pdfs/GMD-1805-54.pdf#page=7","Abrir facsímil")</f>
        <v>Abrir facsímil</v>
      </c>
      <c r="K3382" s="15" t="s">
        <v>22</v>
      </c>
    </row>
    <row r="3383" spans="1:11" ht="42" customHeight="1">
      <c r="A3383" s="4" t="s">
        <v>7949</v>
      </c>
      <c r="B3383" s="5" t="s">
        <v>7950</v>
      </c>
      <c r="C3383" s="5" t="s">
        <v>17</v>
      </c>
      <c r="D3383" s="5" t="s">
        <v>18</v>
      </c>
      <c r="E3383" s="5" t="s">
        <v>63</v>
      </c>
      <c r="F3383" s="9">
        <v>101</v>
      </c>
      <c r="G3383" s="9">
        <v>1091</v>
      </c>
      <c r="H3383" s="5" t="s">
        <v>20</v>
      </c>
      <c r="I3383" s="5" t="s">
        <v>7951</v>
      </c>
      <c r="J3383" s="12" t="str">
        <f>HYPERLINK("https://www.boe.es/gazeta/dias/1805/12/17/pdfs/GMD-1805-101.pdf#page=7","Abrir facsímil")</f>
        <v>Abrir facsímil</v>
      </c>
      <c r="K3383" s="15" t="s">
        <v>22</v>
      </c>
    </row>
    <row r="3384" spans="1:11" ht="42" customHeight="1">
      <c r="A3384" s="4" t="s">
        <v>7952</v>
      </c>
      <c r="B3384" s="5" t="s">
        <v>7952</v>
      </c>
      <c r="C3384" s="5" t="s">
        <v>35</v>
      </c>
      <c r="D3384" s="5" t="s">
        <v>36</v>
      </c>
      <c r="E3384" s="5" t="s">
        <v>669</v>
      </c>
      <c r="F3384" s="9">
        <v>84</v>
      </c>
      <c r="G3384" s="9">
        <v>890</v>
      </c>
      <c r="H3384" s="5" t="s">
        <v>20</v>
      </c>
      <c r="I3384" s="5" t="s">
        <v>7953</v>
      </c>
      <c r="J3384" s="12" t="str">
        <f>HYPERLINK("https://www.boe.es/gazeta/dias/1805/10/18/pdfs/GMD-1805-84.pdf#page=6","Abrir facsímil")</f>
        <v>Abrir facsímil</v>
      </c>
      <c r="K3384" s="15" t="s">
        <v>22</v>
      </c>
    </row>
    <row r="3385" spans="1:11" ht="42" customHeight="1">
      <c r="A3385" s="4" t="s">
        <v>7954</v>
      </c>
      <c r="B3385" s="5" t="s">
        <v>7954</v>
      </c>
      <c r="C3385" s="5" t="s">
        <v>35</v>
      </c>
      <c r="D3385" s="5" t="s">
        <v>36</v>
      </c>
      <c r="E3385" s="5" t="s">
        <v>352</v>
      </c>
      <c r="F3385" s="9">
        <v>60</v>
      </c>
      <c r="G3385" s="9">
        <v>646</v>
      </c>
      <c r="H3385" s="5" t="s">
        <v>20</v>
      </c>
      <c r="I3385" s="5" t="s">
        <v>7955</v>
      </c>
      <c r="J3385" s="12" t="str">
        <f>HYPERLINK("https://www.boe.es/gazeta/dias/1805/07/26/pdfs/GMD-1805-60.pdf#page=10","Abrir facsímil")</f>
        <v>Abrir facsímil</v>
      </c>
      <c r="K3385" s="15" t="s">
        <v>22</v>
      </c>
    </row>
    <row r="3386" spans="1:11" ht="42" customHeight="1">
      <c r="A3386" s="4" t="s">
        <v>7956</v>
      </c>
      <c r="B3386" s="5" t="s">
        <v>7956</v>
      </c>
      <c r="C3386" s="5" t="s">
        <v>35</v>
      </c>
      <c r="D3386" s="5" t="s">
        <v>36</v>
      </c>
      <c r="E3386" s="5" t="s">
        <v>365</v>
      </c>
      <c r="F3386" s="9">
        <v>3</v>
      </c>
      <c r="G3386" s="9">
        <v>29</v>
      </c>
      <c r="H3386" s="5" t="s">
        <v>20</v>
      </c>
      <c r="I3386" s="5" t="s">
        <v>7957</v>
      </c>
      <c r="J3386" s="12" t="str">
        <f>HYPERLINK("https://www.boe.es/gazeta/dias/1805/01/08/pdfs/GMD-1805-3.pdf#page=5","Abrir facsímil")</f>
        <v>Abrir facsímil</v>
      </c>
      <c r="K3386" s="15" t="s">
        <v>22</v>
      </c>
    </row>
    <row r="3387" spans="1:11" ht="42" customHeight="1">
      <c r="A3387" s="4" t="s">
        <v>7956</v>
      </c>
      <c r="B3387" s="5" t="s">
        <v>7956</v>
      </c>
      <c r="C3387" s="5" t="s">
        <v>17</v>
      </c>
      <c r="D3387" s="5" t="s">
        <v>18</v>
      </c>
      <c r="E3387" s="5" t="s">
        <v>107</v>
      </c>
      <c r="F3387" s="9">
        <v>19</v>
      </c>
      <c r="G3387" s="9">
        <v>197</v>
      </c>
      <c r="H3387" s="5" t="s">
        <v>20</v>
      </c>
      <c r="I3387" s="5" t="s">
        <v>7958</v>
      </c>
      <c r="J3387" s="12" t="str">
        <f>HYPERLINK("https://www.boe.es/gazeta/dias/1805/03/05/pdfs/GMD-1805-19.pdf#page=9","Abrir facsímil")</f>
        <v>Abrir facsímil</v>
      </c>
      <c r="K3387" s="15" t="s">
        <v>22</v>
      </c>
    </row>
    <row r="3388" spans="1:11" ht="42" customHeight="1">
      <c r="A3388" s="4" t="s">
        <v>7959</v>
      </c>
      <c r="B3388" s="5" t="s">
        <v>7959</v>
      </c>
      <c r="C3388" s="5" t="s">
        <v>35</v>
      </c>
      <c r="D3388" s="5" t="s">
        <v>36</v>
      </c>
      <c r="E3388" s="5" t="s">
        <v>1187</v>
      </c>
      <c r="F3388" s="9">
        <v>40</v>
      </c>
      <c r="G3388" s="9">
        <v>431</v>
      </c>
      <c r="H3388" s="5" t="s">
        <v>20</v>
      </c>
      <c r="I3388" s="5" t="s">
        <v>7960</v>
      </c>
      <c r="J3388" s="12" t="str">
        <f>HYPERLINK("https://www.boe.es/gazeta/dias/1805/05/17/pdfs/GMD-1805-40.pdf#page=7","Abrir facsímil")</f>
        <v>Abrir facsímil</v>
      </c>
      <c r="K3388" s="15" t="s">
        <v>22</v>
      </c>
    </row>
    <row r="3389" spans="1:11" ht="42" customHeight="1">
      <c r="A3389" s="4" t="s">
        <v>7961</v>
      </c>
      <c r="B3389" s="5" t="s">
        <v>7961</v>
      </c>
      <c r="C3389" s="5" t="s">
        <v>35</v>
      </c>
      <c r="D3389" s="5" t="s">
        <v>36</v>
      </c>
      <c r="E3389" s="5" t="s">
        <v>290</v>
      </c>
      <c r="F3389" s="9">
        <v>36</v>
      </c>
      <c r="G3389" s="9">
        <v>389</v>
      </c>
      <c r="H3389" s="5" t="s">
        <v>20</v>
      </c>
      <c r="I3389" s="5" t="s">
        <v>7962</v>
      </c>
      <c r="J3389" s="12" t="str">
        <f>HYPERLINK("https://www.boe.es/gazeta/dias/1805/05/03/pdfs/GMD-1805-36.pdf#page=9","Abrir facsímil")</f>
        <v>Abrir facsímil</v>
      </c>
      <c r="K3389" s="15" t="s">
        <v>22</v>
      </c>
    </row>
    <row r="3390" spans="1:11" ht="42" customHeight="1">
      <c r="A3390" s="4" t="s">
        <v>7963</v>
      </c>
      <c r="B3390" s="5" t="s">
        <v>7963</v>
      </c>
      <c r="C3390" s="5" t="s">
        <v>17</v>
      </c>
      <c r="D3390" s="5" t="s">
        <v>18</v>
      </c>
      <c r="E3390" s="5" t="s">
        <v>63</v>
      </c>
      <c r="F3390" s="9">
        <v>101</v>
      </c>
      <c r="G3390" s="9">
        <v>1091</v>
      </c>
      <c r="H3390" s="5" t="s">
        <v>20</v>
      </c>
      <c r="I3390" s="5" t="s">
        <v>7964</v>
      </c>
      <c r="J3390" s="12" t="str">
        <f>HYPERLINK("https://www.boe.es/gazeta/dias/1805/12/17/pdfs/GMD-1805-101.pdf#page=7","Abrir facsímil")</f>
        <v>Abrir facsímil</v>
      </c>
      <c r="K3390" s="15" t="s">
        <v>22</v>
      </c>
    </row>
    <row r="3391" spans="1:11" ht="42" customHeight="1">
      <c r="A3391" s="4" t="s">
        <v>7965</v>
      </c>
      <c r="B3391" s="5" t="s">
        <v>7965</v>
      </c>
      <c r="C3391" s="5" t="s">
        <v>17</v>
      </c>
      <c r="D3391" s="5" t="s">
        <v>18</v>
      </c>
      <c r="E3391" s="5" t="s">
        <v>76</v>
      </c>
      <c r="F3391" s="9">
        <v>66</v>
      </c>
      <c r="G3391" s="9">
        <v>709</v>
      </c>
      <c r="H3391" s="5" t="s">
        <v>20</v>
      </c>
      <c r="I3391" s="5" t="s">
        <v>7966</v>
      </c>
      <c r="J3391" s="12" t="str">
        <f>HYPERLINK("https://www.boe.es/gazeta/dias/1805/08/16/pdfs/GMD-1805-66.pdf#page=9","Abrir facsímil")</f>
        <v>Abrir facsímil</v>
      </c>
      <c r="K3391" s="15" t="s">
        <v>22</v>
      </c>
    </row>
    <row r="3392" spans="1:11" ht="42" customHeight="1">
      <c r="A3392" s="4" t="s">
        <v>7967</v>
      </c>
      <c r="B3392" s="5" t="s">
        <v>7967</v>
      </c>
      <c r="C3392" s="5" t="s">
        <v>184</v>
      </c>
      <c r="D3392" s="5" t="s">
        <v>86</v>
      </c>
      <c r="E3392" s="5" t="s">
        <v>293</v>
      </c>
      <c r="F3392" s="9">
        <v>5</v>
      </c>
      <c r="G3392" s="9">
        <v>53</v>
      </c>
      <c r="H3392" s="5" t="s">
        <v>20</v>
      </c>
      <c r="I3392" s="5" t="s">
        <v>7968</v>
      </c>
      <c r="J3392" s="12" t="str">
        <f>HYPERLINK("https://www.boe.es/gazeta/dias/1805/01/15/pdfs/GMD-1805-5.pdf#page=9","Abrir facsímil")</f>
        <v>Abrir facsímil</v>
      </c>
      <c r="K3392" s="15" t="s">
        <v>22</v>
      </c>
    </row>
    <row r="3393" spans="1:11" ht="42" customHeight="1">
      <c r="A3393" s="4" t="s">
        <v>7969</v>
      </c>
      <c r="B3393" s="5" t="s">
        <v>7970</v>
      </c>
      <c r="C3393" s="5" t="s">
        <v>35</v>
      </c>
      <c r="D3393" s="5" t="s">
        <v>36</v>
      </c>
      <c r="E3393" s="5" t="s">
        <v>138</v>
      </c>
      <c r="F3393" s="9">
        <v>102</v>
      </c>
      <c r="G3393" s="9">
        <v>1104</v>
      </c>
      <c r="H3393" s="5" t="s">
        <v>20</v>
      </c>
      <c r="I3393" s="5" t="s">
        <v>7971</v>
      </c>
      <c r="J3393" s="12" t="str">
        <f>HYPERLINK("https://www.boe.es/gazeta/dias/1805/12/20/pdfs/GMD-1805-102.pdf#page=8","Abrir facsímil")</f>
        <v>Abrir facsímil</v>
      </c>
      <c r="K3393" s="15" t="s">
        <v>22</v>
      </c>
    </row>
    <row r="3394" spans="1:11" ht="42" customHeight="1">
      <c r="A3394" s="4" t="s">
        <v>7972</v>
      </c>
      <c r="B3394" s="5" t="s">
        <v>7972</v>
      </c>
      <c r="C3394" s="5" t="s">
        <v>85</v>
      </c>
      <c r="D3394" s="5" t="s">
        <v>86</v>
      </c>
      <c r="E3394" s="5" t="s">
        <v>135</v>
      </c>
      <c r="F3394" s="9">
        <v>71</v>
      </c>
      <c r="G3394" s="9">
        <v>757</v>
      </c>
      <c r="H3394" s="5" t="s">
        <v>20</v>
      </c>
      <c r="I3394" s="5" t="s">
        <v>7973</v>
      </c>
      <c r="J3394" s="12" t="str">
        <f>HYPERLINK("https://www.boe.es/gazeta/dias/1805/09/03/pdfs/GMD-1805-71.pdf#page=9","Abrir facsímil")</f>
        <v>Abrir facsímil</v>
      </c>
      <c r="K3394" s="15" t="s">
        <v>22</v>
      </c>
    </row>
    <row r="3395" spans="1:11" ht="42" customHeight="1">
      <c r="A3395" s="4" t="s">
        <v>7974</v>
      </c>
      <c r="B3395" s="5" t="s">
        <v>7974</v>
      </c>
      <c r="C3395" s="5" t="s">
        <v>29</v>
      </c>
      <c r="D3395" s="5" t="s">
        <v>30</v>
      </c>
      <c r="E3395" s="5" t="s">
        <v>1494</v>
      </c>
      <c r="F3395" s="9">
        <v>31</v>
      </c>
      <c r="G3395" s="9">
        <v>335</v>
      </c>
      <c r="H3395" s="5" t="s">
        <v>20</v>
      </c>
      <c r="I3395" s="5" t="s">
        <v>7975</v>
      </c>
      <c r="J3395" s="12" t="str">
        <f>HYPERLINK("https://www.boe.es/gazeta/dias/1805/04/16/pdfs/GMD-1805-31.pdf#page=11","Abrir facsímil")</f>
        <v>Abrir facsímil</v>
      </c>
      <c r="K3395" s="15" t="s">
        <v>22</v>
      </c>
    </row>
    <row r="3396" spans="1:11" ht="42" customHeight="1">
      <c r="A3396" s="4" t="s">
        <v>7976</v>
      </c>
      <c r="B3396" s="5" t="s">
        <v>7976</v>
      </c>
      <c r="C3396" s="5" t="s">
        <v>35</v>
      </c>
      <c r="D3396" s="5" t="s">
        <v>36</v>
      </c>
      <c r="E3396" s="5" t="s">
        <v>213</v>
      </c>
      <c r="F3396" s="9">
        <v>56</v>
      </c>
      <c r="G3396" s="9">
        <v>600</v>
      </c>
      <c r="H3396" s="5" t="s">
        <v>20</v>
      </c>
      <c r="I3396" s="5" t="s">
        <v>7977</v>
      </c>
      <c r="J3396" s="12" t="str">
        <f>HYPERLINK("https://www.boe.es/gazeta/dias/1805/07/12/pdfs/GMD-1805-56.pdf#page=8","Abrir facsímil")</f>
        <v>Abrir facsímil</v>
      </c>
      <c r="K3396" s="15" t="s">
        <v>22</v>
      </c>
    </row>
    <row r="3397" spans="1:11" ht="42" customHeight="1">
      <c r="A3397" s="4" t="s">
        <v>7978</v>
      </c>
      <c r="B3397" s="5" t="s">
        <v>7978</v>
      </c>
      <c r="C3397" s="5" t="s">
        <v>35</v>
      </c>
      <c r="D3397" s="5" t="s">
        <v>36</v>
      </c>
      <c r="E3397" s="5" t="s">
        <v>387</v>
      </c>
      <c r="F3397" s="9">
        <v>4</v>
      </c>
      <c r="G3397" s="9">
        <v>42</v>
      </c>
      <c r="H3397" s="5" t="s">
        <v>20</v>
      </c>
      <c r="I3397" s="5" t="s">
        <v>7979</v>
      </c>
      <c r="J3397" s="12" t="str">
        <f>HYPERLINK("https://www.boe.es/gazeta/dias/1805/01/11/pdfs/GMD-1805-4.pdf#page=10","Abrir facsímil")</f>
        <v>Abrir facsímil</v>
      </c>
      <c r="K3397" s="15" t="s">
        <v>22</v>
      </c>
    </row>
    <row r="3398" spans="1:11" ht="42" customHeight="1">
      <c r="A3398" s="4" t="s">
        <v>7980</v>
      </c>
      <c r="B3398" s="5" t="s">
        <v>7980</v>
      </c>
      <c r="C3398" s="5" t="s">
        <v>17</v>
      </c>
      <c r="D3398" s="5" t="s">
        <v>18</v>
      </c>
      <c r="E3398" s="5" t="s">
        <v>456</v>
      </c>
      <c r="F3398" s="9">
        <v>70</v>
      </c>
      <c r="G3398" s="9">
        <v>746</v>
      </c>
      <c r="H3398" s="5" t="s">
        <v>20</v>
      </c>
      <c r="I3398" s="5" t="s">
        <v>7981</v>
      </c>
      <c r="J3398" s="12" t="str">
        <f>HYPERLINK("https://www.boe.es/gazeta/dias/1805/08/30/pdfs/GMD-1805-70.pdf#page=6","Abrir facsímil")</f>
        <v>Abrir facsímil</v>
      </c>
      <c r="K3398" s="15" t="s">
        <v>22</v>
      </c>
    </row>
    <row r="3399" spans="1:11" ht="42" customHeight="1">
      <c r="A3399" s="4" t="s">
        <v>7982</v>
      </c>
      <c r="B3399" s="5" t="s">
        <v>7982</v>
      </c>
      <c r="C3399" s="5" t="s">
        <v>35</v>
      </c>
      <c r="D3399" s="5" t="s">
        <v>36</v>
      </c>
      <c r="E3399" s="5" t="s">
        <v>67</v>
      </c>
      <c r="F3399" s="9">
        <v>98</v>
      </c>
      <c r="G3399" s="9">
        <v>1059</v>
      </c>
      <c r="H3399" s="5" t="s">
        <v>20</v>
      </c>
      <c r="I3399" s="5" t="s">
        <v>7983</v>
      </c>
      <c r="J3399" s="12" t="str">
        <f>HYPERLINK("https://www.boe.es/gazeta/dias/1805/12/06/pdfs/GMD-1805-98.pdf#page=11","Abrir facsímil")</f>
        <v>Abrir facsímil</v>
      </c>
      <c r="K3399" s="15" t="s">
        <v>22</v>
      </c>
    </row>
    <row r="3400" spans="1:11" ht="42" customHeight="1">
      <c r="A3400" s="4" t="s">
        <v>7984</v>
      </c>
      <c r="B3400" s="5" t="s">
        <v>7984</v>
      </c>
      <c r="C3400" s="5" t="s">
        <v>35</v>
      </c>
      <c r="D3400" s="5" t="s">
        <v>36</v>
      </c>
      <c r="E3400" s="5" t="s">
        <v>67</v>
      </c>
      <c r="F3400" s="9">
        <v>98</v>
      </c>
      <c r="G3400" s="9">
        <v>1060</v>
      </c>
      <c r="H3400" s="5" t="s">
        <v>20</v>
      </c>
      <c r="I3400" s="5" t="s">
        <v>7985</v>
      </c>
      <c r="J3400" s="12" t="str">
        <f>HYPERLINK("https://www.boe.es/gazeta/dias/1805/12/06/pdfs/GMD-1805-98.pdf#page=12","Abrir facsímil")</f>
        <v>Abrir facsímil</v>
      </c>
      <c r="K3400" s="15" t="s">
        <v>22</v>
      </c>
    </row>
    <row r="3401" spans="1:11" ht="42" customHeight="1">
      <c r="A3401" s="4" t="s">
        <v>7986</v>
      </c>
      <c r="B3401" s="5" t="s">
        <v>7986</v>
      </c>
      <c r="C3401" s="5" t="s">
        <v>35</v>
      </c>
      <c r="D3401" s="5" t="s">
        <v>36</v>
      </c>
      <c r="E3401" s="5" t="s">
        <v>63</v>
      </c>
      <c r="F3401" s="9">
        <v>101</v>
      </c>
      <c r="G3401" s="9">
        <v>1091</v>
      </c>
      <c r="H3401" s="5" t="s">
        <v>20</v>
      </c>
      <c r="I3401" s="5" t="s">
        <v>7987</v>
      </c>
      <c r="J3401" s="12" t="str">
        <f>HYPERLINK("https://www.boe.es/gazeta/dias/1805/12/17/pdfs/GMD-1805-101.pdf#page=7","Abrir facsímil")</f>
        <v>Abrir facsímil</v>
      </c>
      <c r="K3401" s="15" t="s">
        <v>22</v>
      </c>
    </row>
    <row r="3402" spans="1:11" ht="42" customHeight="1">
      <c r="A3402" s="4" t="s">
        <v>7988</v>
      </c>
      <c r="B3402" s="5" t="s">
        <v>7988</v>
      </c>
      <c r="C3402" s="5" t="s">
        <v>35</v>
      </c>
      <c r="D3402" s="5" t="s">
        <v>36</v>
      </c>
      <c r="E3402" s="5" t="s">
        <v>141</v>
      </c>
      <c r="F3402" s="9">
        <v>82</v>
      </c>
      <c r="G3402" s="9">
        <v>871</v>
      </c>
      <c r="H3402" s="5" t="s">
        <v>20</v>
      </c>
      <c r="I3402" s="5" t="s">
        <v>7989</v>
      </c>
      <c r="J3402" s="12" t="str">
        <f>HYPERLINK("https://www.boe.es/gazeta/dias/1805/10/11/pdfs/GMD-1805-82.pdf#page=11","Abrir facsímil")</f>
        <v>Abrir facsímil</v>
      </c>
      <c r="K3402" s="15" t="s">
        <v>22</v>
      </c>
    </row>
    <row r="3403" spans="1:11" ht="42" customHeight="1">
      <c r="A3403" s="4" t="s">
        <v>7990</v>
      </c>
      <c r="B3403" s="5" t="s">
        <v>7990</v>
      </c>
      <c r="C3403" s="5" t="s">
        <v>35</v>
      </c>
      <c r="D3403" s="5" t="s">
        <v>36</v>
      </c>
      <c r="E3403" s="5" t="s">
        <v>24</v>
      </c>
      <c r="F3403" s="9">
        <v>11</v>
      </c>
      <c r="G3403" s="9">
        <v>121</v>
      </c>
      <c r="H3403" s="5" t="s">
        <v>20</v>
      </c>
      <c r="I3403" s="5" t="s">
        <v>7991</v>
      </c>
      <c r="J3403" s="12" t="str">
        <f>HYPERLINK("https://www.boe.es/gazeta/dias/1805/02/05/pdfs/GMD-1805-11.pdf#page=9","Abrir facsímil")</f>
        <v>Abrir facsímil</v>
      </c>
      <c r="K3403" s="15" t="s">
        <v>22</v>
      </c>
    </row>
    <row r="3404" spans="1:11" ht="42" customHeight="1">
      <c r="A3404" s="4" t="s">
        <v>7992</v>
      </c>
      <c r="B3404" s="5" t="s">
        <v>7992</v>
      </c>
      <c r="C3404" s="5" t="s">
        <v>35</v>
      </c>
      <c r="D3404" s="5" t="s">
        <v>36</v>
      </c>
      <c r="E3404" s="5" t="s">
        <v>138</v>
      </c>
      <c r="F3404" s="9">
        <v>102</v>
      </c>
      <c r="G3404" s="9">
        <v>1103</v>
      </c>
      <c r="H3404" s="5" t="s">
        <v>20</v>
      </c>
      <c r="I3404" s="5" t="s">
        <v>7993</v>
      </c>
      <c r="J3404" s="12" t="str">
        <f>HYPERLINK("https://www.boe.es/gazeta/dias/1805/12/20/pdfs/GMD-1805-102.pdf#page=7","Abrir facsímil")</f>
        <v>Abrir facsímil</v>
      </c>
      <c r="K3404" s="15" t="s">
        <v>22</v>
      </c>
    </row>
    <row r="3405" spans="1:11" ht="42" customHeight="1">
      <c r="A3405" s="4" t="s">
        <v>7994</v>
      </c>
      <c r="B3405" s="5" t="s">
        <v>7994</v>
      </c>
      <c r="C3405" s="5" t="s">
        <v>85</v>
      </c>
      <c r="D3405" s="5" t="s">
        <v>86</v>
      </c>
      <c r="E3405" s="5" t="s">
        <v>71</v>
      </c>
      <c r="F3405" s="9">
        <v>33</v>
      </c>
      <c r="G3405" s="9">
        <v>351</v>
      </c>
      <c r="H3405" s="5" t="s">
        <v>20</v>
      </c>
      <c r="I3405" s="5" t="s">
        <v>7995</v>
      </c>
      <c r="J3405" s="12" t="str">
        <f>HYPERLINK("https://www.boe.es/gazeta/dias/1805/04/23/pdfs/GMD-1805-33.pdf#page=7","Abrir facsímil")</f>
        <v>Abrir facsímil</v>
      </c>
      <c r="K3405" s="15" t="s">
        <v>22</v>
      </c>
    </row>
    <row r="3406" spans="1:11" ht="42" customHeight="1">
      <c r="A3406" s="4" t="s">
        <v>7996</v>
      </c>
      <c r="B3406" s="5" t="s">
        <v>7996</v>
      </c>
      <c r="C3406" s="5" t="s">
        <v>35</v>
      </c>
      <c r="D3406" s="5" t="s">
        <v>36</v>
      </c>
      <c r="E3406" s="5" t="s">
        <v>303</v>
      </c>
      <c r="F3406" s="9">
        <v>57</v>
      </c>
      <c r="G3406" s="9">
        <v>612</v>
      </c>
      <c r="H3406" s="5" t="s">
        <v>20</v>
      </c>
      <c r="I3406" s="5" t="s">
        <v>7997</v>
      </c>
      <c r="J3406" s="12" t="str">
        <f>HYPERLINK("https://www.boe.es/gazeta/dias/1805/07/16/pdfs/GMD-1805-57.pdf#page=8","Abrir facsímil")</f>
        <v>Abrir facsímil</v>
      </c>
      <c r="K3406" s="15" t="s">
        <v>22</v>
      </c>
    </row>
    <row r="3407" spans="1:11" ht="42" customHeight="1">
      <c r="A3407" s="4" t="s">
        <v>7998</v>
      </c>
      <c r="B3407" s="5" t="s">
        <v>7998</v>
      </c>
      <c r="C3407" s="5" t="s">
        <v>35</v>
      </c>
      <c r="D3407" s="5" t="s">
        <v>36</v>
      </c>
      <c r="E3407" s="5" t="s">
        <v>192</v>
      </c>
      <c r="F3407" s="9">
        <v>105</v>
      </c>
      <c r="G3407" s="9">
        <v>1138</v>
      </c>
      <c r="H3407" s="5" t="s">
        <v>20</v>
      </c>
      <c r="I3407" s="5" t="s">
        <v>7999</v>
      </c>
      <c r="J3407" s="12" t="str">
        <f>HYPERLINK("https://www.boe.es/gazeta/dias/1805/12/31/pdfs/GMD-1805-105.pdf#page=10","Abrir facsímil")</f>
        <v>Abrir facsímil</v>
      </c>
      <c r="K3407" s="15" t="s">
        <v>22</v>
      </c>
    </row>
    <row r="3408" spans="1:11" ht="42" customHeight="1">
      <c r="A3408" s="4" t="s">
        <v>8000</v>
      </c>
      <c r="B3408" s="5" t="s">
        <v>8000</v>
      </c>
      <c r="C3408" s="5" t="s">
        <v>35</v>
      </c>
      <c r="D3408" s="5" t="s">
        <v>36</v>
      </c>
      <c r="E3408" s="5" t="s">
        <v>733</v>
      </c>
      <c r="F3408" s="9">
        <v>45</v>
      </c>
      <c r="G3408" s="9">
        <v>488</v>
      </c>
      <c r="H3408" s="5" t="s">
        <v>20</v>
      </c>
      <c r="I3408" s="5" t="s">
        <v>8001</v>
      </c>
      <c r="J3408" s="12" t="str">
        <f>HYPERLINK("https://www.boe.es/gazeta/dias/1805/06/04/pdfs/GMD-1805-45.pdf#page=12","Abrir facsímil")</f>
        <v>Abrir facsímil</v>
      </c>
      <c r="K3408" s="15" t="s">
        <v>22</v>
      </c>
    </row>
    <row r="3409" spans="1:11" ht="42" customHeight="1">
      <c r="A3409" s="4" t="s">
        <v>8002</v>
      </c>
      <c r="B3409" s="5" t="s">
        <v>8002</v>
      </c>
      <c r="C3409" s="5" t="s">
        <v>35</v>
      </c>
      <c r="D3409" s="5" t="s">
        <v>36</v>
      </c>
      <c r="E3409" s="5" t="s">
        <v>506</v>
      </c>
      <c r="F3409" s="9">
        <v>80</v>
      </c>
      <c r="G3409" s="9">
        <v>850</v>
      </c>
      <c r="H3409" s="5" t="s">
        <v>20</v>
      </c>
      <c r="I3409" s="5" t="s">
        <v>8003</v>
      </c>
      <c r="J3409" s="12" t="str">
        <f>HYPERLINK("https://www.boe.es/gazeta/dias/1805/10/04/pdfs/GMD-1805-80.pdf#page=10","Abrir facsímil")</f>
        <v>Abrir facsímil</v>
      </c>
      <c r="K3409" s="15" t="s">
        <v>22</v>
      </c>
    </row>
    <row r="3410" spans="1:11" ht="42" customHeight="1">
      <c r="A3410" s="4" t="s">
        <v>8004</v>
      </c>
      <c r="B3410" s="5" t="s">
        <v>8004</v>
      </c>
      <c r="C3410" s="5" t="s">
        <v>85</v>
      </c>
      <c r="D3410" s="5" t="s">
        <v>86</v>
      </c>
      <c r="E3410" s="5" t="s">
        <v>31</v>
      </c>
      <c r="F3410" s="9">
        <v>65</v>
      </c>
      <c r="G3410" s="9">
        <v>697</v>
      </c>
      <c r="H3410" s="5" t="s">
        <v>20</v>
      </c>
      <c r="I3410" s="5" t="s">
        <v>8005</v>
      </c>
      <c r="J3410" s="12" t="str">
        <f>HYPERLINK("https://www.boe.es/gazeta/dias/1805/08/13/pdfs/GMD-1805-65.pdf#page=9","Abrir facsímil")</f>
        <v>Abrir facsímil</v>
      </c>
      <c r="K3410" s="15" t="s">
        <v>22</v>
      </c>
    </row>
    <row r="3411" spans="1:11" ht="42" customHeight="1">
      <c r="A3411" s="4" t="s">
        <v>8006</v>
      </c>
      <c r="B3411" s="5" t="s">
        <v>8006</v>
      </c>
      <c r="C3411" s="5" t="s">
        <v>17</v>
      </c>
      <c r="D3411" s="5" t="s">
        <v>18</v>
      </c>
      <c r="E3411" s="5" t="s">
        <v>24</v>
      </c>
      <c r="F3411" s="9">
        <v>11</v>
      </c>
      <c r="G3411" s="9">
        <v>124</v>
      </c>
      <c r="H3411" s="5" t="s">
        <v>20</v>
      </c>
      <c r="I3411" s="5" t="s">
        <v>8007</v>
      </c>
      <c r="J3411" s="12" t="str">
        <f>HYPERLINK("https://www.boe.es/gazeta/dias/1805/02/05/pdfs/GMD-1805-11.pdf#page=12","Abrir facsímil")</f>
        <v>Abrir facsímil</v>
      </c>
      <c r="K3411" s="15" t="s">
        <v>22</v>
      </c>
    </row>
    <row r="3412" spans="1:11" ht="42" customHeight="1">
      <c r="A3412" s="4" t="s">
        <v>8008</v>
      </c>
      <c r="B3412" s="5" t="s">
        <v>8008</v>
      </c>
      <c r="C3412" s="5" t="s">
        <v>17</v>
      </c>
      <c r="D3412" s="5" t="s">
        <v>18</v>
      </c>
      <c r="E3412" s="5" t="s">
        <v>135</v>
      </c>
      <c r="F3412" s="9">
        <v>71</v>
      </c>
      <c r="G3412" s="9">
        <v>758</v>
      </c>
      <c r="H3412" s="5" t="s">
        <v>20</v>
      </c>
      <c r="I3412" s="5" t="s">
        <v>8009</v>
      </c>
      <c r="J3412" s="12" t="str">
        <f>HYPERLINK("https://www.boe.es/gazeta/dias/1805/09/03/pdfs/GMD-1805-71.pdf#page=10","Abrir facsímil")</f>
        <v>Abrir facsímil</v>
      </c>
      <c r="K3412" s="15" t="s">
        <v>22</v>
      </c>
    </row>
    <row r="3413" spans="1:11" ht="42" customHeight="1">
      <c r="A3413" s="4" t="s">
        <v>8010</v>
      </c>
      <c r="B3413" s="5" t="s">
        <v>8010</v>
      </c>
      <c r="C3413" s="5" t="s">
        <v>35</v>
      </c>
      <c r="D3413" s="5" t="s">
        <v>36</v>
      </c>
      <c r="E3413" s="5" t="s">
        <v>303</v>
      </c>
      <c r="F3413" s="9">
        <v>57</v>
      </c>
      <c r="G3413" s="9">
        <v>612</v>
      </c>
      <c r="H3413" s="5" t="s">
        <v>20</v>
      </c>
      <c r="I3413" s="5" t="s">
        <v>8011</v>
      </c>
      <c r="J3413" s="12" t="str">
        <f>HYPERLINK("https://www.boe.es/gazeta/dias/1805/07/16/pdfs/GMD-1805-57.pdf#page=8","Abrir facsímil")</f>
        <v>Abrir facsímil</v>
      </c>
      <c r="K3413" s="15" t="s">
        <v>22</v>
      </c>
    </row>
    <row r="3414" spans="1:11" ht="42" customHeight="1">
      <c r="A3414" s="4" t="s">
        <v>8012</v>
      </c>
      <c r="B3414" s="5" t="s">
        <v>8012</v>
      </c>
      <c r="C3414" s="5" t="s">
        <v>17</v>
      </c>
      <c r="D3414" s="5" t="s">
        <v>18</v>
      </c>
      <c r="E3414" s="5" t="s">
        <v>135</v>
      </c>
      <c r="F3414" s="9">
        <v>71</v>
      </c>
      <c r="G3414" s="9">
        <v>758</v>
      </c>
      <c r="H3414" s="5" t="s">
        <v>20</v>
      </c>
      <c r="I3414" s="5" t="s">
        <v>8013</v>
      </c>
      <c r="J3414" s="12" t="str">
        <f>HYPERLINK("https://www.boe.es/gazeta/dias/1805/09/03/pdfs/GMD-1805-71.pdf#page=10","Abrir facsímil")</f>
        <v>Abrir facsímil</v>
      </c>
      <c r="K3414" s="15" t="s">
        <v>22</v>
      </c>
    </row>
    <row r="3415" spans="1:11" ht="42" customHeight="1">
      <c r="A3415" s="4" t="s">
        <v>8014</v>
      </c>
      <c r="B3415" s="5" t="s">
        <v>8014</v>
      </c>
      <c r="C3415" s="5" t="s">
        <v>35</v>
      </c>
      <c r="D3415" s="5" t="s">
        <v>36</v>
      </c>
      <c r="E3415" s="5" t="s">
        <v>59</v>
      </c>
      <c r="F3415" s="9">
        <v>21</v>
      </c>
      <c r="G3415" s="9">
        <v>221</v>
      </c>
      <c r="H3415" s="5" t="s">
        <v>20</v>
      </c>
      <c r="I3415" s="5" t="s">
        <v>8015</v>
      </c>
      <c r="J3415" s="12" t="str">
        <f>HYPERLINK("https://www.boe.es/gazeta/dias/1805/03/12/pdfs/GMD-1805-21.pdf#page=9","Abrir facsímil")</f>
        <v>Abrir facsímil</v>
      </c>
      <c r="K3415" s="15" t="s">
        <v>22</v>
      </c>
    </row>
    <row r="3416" spans="1:11" ht="42" customHeight="1">
      <c r="A3416" s="4" t="s">
        <v>8016</v>
      </c>
      <c r="B3416" s="5" t="s">
        <v>8016</v>
      </c>
      <c r="C3416" s="5" t="s">
        <v>35</v>
      </c>
      <c r="D3416" s="5" t="s">
        <v>36</v>
      </c>
      <c r="E3416" s="5" t="s">
        <v>67</v>
      </c>
      <c r="F3416" s="9">
        <v>98</v>
      </c>
      <c r="G3416" s="9">
        <v>1059</v>
      </c>
      <c r="H3416" s="5" t="s">
        <v>20</v>
      </c>
      <c r="I3416" s="5" t="s">
        <v>8017</v>
      </c>
      <c r="J3416" s="12" t="str">
        <f>HYPERLINK("https://www.boe.es/gazeta/dias/1805/12/06/pdfs/GMD-1805-98.pdf#page=11","Abrir facsímil")</f>
        <v>Abrir facsímil</v>
      </c>
      <c r="K3416" s="15" t="s">
        <v>22</v>
      </c>
    </row>
    <row r="3417" spans="1:11" ht="42" customHeight="1">
      <c r="A3417" s="4" t="s">
        <v>8018</v>
      </c>
      <c r="B3417" s="5" t="s">
        <v>8018</v>
      </c>
      <c r="C3417" s="5" t="s">
        <v>17</v>
      </c>
      <c r="D3417" s="5" t="s">
        <v>18</v>
      </c>
      <c r="E3417" s="5" t="s">
        <v>44</v>
      </c>
      <c r="F3417" s="9">
        <v>29</v>
      </c>
      <c r="G3417" s="9">
        <v>312</v>
      </c>
      <c r="H3417" s="5" t="s">
        <v>20</v>
      </c>
      <c r="I3417" s="5" t="s">
        <v>8019</v>
      </c>
      <c r="J3417" s="12" t="str">
        <f>HYPERLINK("https://www.boe.es/gazeta/dias/1805/04/09/pdfs/GMD-1805-29.pdf#page=8","Abrir facsímil")</f>
        <v>Abrir facsímil</v>
      </c>
      <c r="K3417" s="15" t="s">
        <v>22</v>
      </c>
    </row>
    <row r="3418" spans="1:11" ht="42" customHeight="1">
      <c r="A3418" s="4" t="s">
        <v>8020</v>
      </c>
      <c r="B3418" s="5" t="s">
        <v>8020</v>
      </c>
      <c r="C3418" s="5" t="s">
        <v>35</v>
      </c>
      <c r="D3418" s="5" t="s">
        <v>36</v>
      </c>
      <c r="E3418" s="5" t="s">
        <v>192</v>
      </c>
      <c r="F3418" s="9">
        <v>105</v>
      </c>
      <c r="G3418" s="9">
        <v>1137</v>
      </c>
      <c r="H3418" s="5" t="s">
        <v>20</v>
      </c>
      <c r="I3418" s="5" t="s">
        <v>8021</v>
      </c>
      <c r="J3418" s="12" t="str">
        <f>HYPERLINK("https://www.boe.es/gazeta/dias/1805/12/31/pdfs/GMD-1805-105.pdf#page=9","Abrir facsímil")</f>
        <v>Abrir facsímil</v>
      </c>
      <c r="K3418" s="15" t="s">
        <v>22</v>
      </c>
    </row>
    <row r="3419" spans="1:11" ht="42" customHeight="1">
      <c r="A3419" s="4" t="s">
        <v>8022</v>
      </c>
      <c r="B3419" s="5" t="s">
        <v>8022</v>
      </c>
      <c r="C3419" s="5" t="s">
        <v>17</v>
      </c>
      <c r="D3419" s="5" t="s">
        <v>18</v>
      </c>
      <c r="E3419" s="5" t="s">
        <v>365</v>
      </c>
      <c r="F3419" s="9">
        <v>3</v>
      </c>
      <c r="G3419" s="9">
        <v>31</v>
      </c>
      <c r="H3419" s="5" t="s">
        <v>20</v>
      </c>
      <c r="I3419" s="5" t="s">
        <v>8023</v>
      </c>
      <c r="J3419" s="12" t="str">
        <f>HYPERLINK("https://www.boe.es/gazeta/dias/1805/01/08/pdfs/GMD-1805-3.pdf#page=7","Abrir facsímil")</f>
        <v>Abrir facsímil</v>
      </c>
      <c r="K3419" s="15" t="s">
        <v>22</v>
      </c>
    </row>
    <row r="3420" spans="1:11" ht="42" customHeight="1">
      <c r="A3420" s="4" t="s">
        <v>8024</v>
      </c>
      <c r="B3420" s="5" t="s">
        <v>8024</v>
      </c>
      <c r="C3420" s="5" t="s">
        <v>85</v>
      </c>
      <c r="D3420" s="5" t="s">
        <v>86</v>
      </c>
      <c r="E3420" s="5" t="s">
        <v>107</v>
      </c>
      <c r="F3420" s="9">
        <v>19</v>
      </c>
      <c r="G3420" s="9">
        <v>198</v>
      </c>
      <c r="H3420" s="5" t="s">
        <v>20</v>
      </c>
      <c r="I3420" s="5" t="s">
        <v>8025</v>
      </c>
      <c r="J3420" s="12" t="str">
        <f>HYPERLINK("https://www.boe.es/gazeta/dias/1805/03/05/pdfs/GMD-1805-19.pdf#page=10","Abrir facsímil")</f>
        <v>Abrir facsímil</v>
      </c>
      <c r="K3420" s="15" t="s">
        <v>22</v>
      </c>
    </row>
    <row r="3421" spans="1:11" ht="42" customHeight="1">
      <c r="A3421" s="4" t="s">
        <v>8026</v>
      </c>
      <c r="B3421" s="5" t="s">
        <v>8026</v>
      </c>
      <c r="C3421" s="5" t="s">
        <v>35</v>
      </c>
      <c r="D3421" s="5" t="s">
        <v>36</v>
      </c>
      <c r="E3421" s="5" t="s">
        <v>729</v>
      </c>
      <c r="F3421" s="9">
        <v>61</v>
      </c>
      <c r="G3421" s="9">
        <v>654</v>
      </c>
      <c r="H3421" s="5" t="s">
        <v>20</v>
      </c>
      <c r="I3421" s="5" t="s">
        <v>8027</v>
      </c>
      <c r="J3421" s="12" t="str">
        <f>HYPERLINK("https://www.boe.es/gazeta/dias/1805/07/30/pdfs/GMD-1805-61.pdf#page=6","Abrir facsímil")</f>
        <v>Abrir facsímil</v>
      </c>
      <c r="K3421" s="15" t="s">
        <v>22</v>
      </c>
    </row>
    <row r="3422" spans="1:11" ht="42" customHeight="1">
      <c r="A3422" s="4" t="s">
        <v>8028</v>
      </c>
      <c r="B3422" s="5" t="s">
        <v>8028</v>
      </c>
      <c r="C3422" s="5" t="s">
        <v>35</v>
      </c>
      <c r="D3422" s="5" t="s">
        <v>36</v>
      </c>
      <c r="E3422" s="5" t="s">
        <v>645</v>
      </c>
      <c r="F3422" s="9">
        <v>55</v>
      </c>
      <c r="G3422" s="9">
        <v>585</v>
      </c>
      <c r="H3422" s="5" t="s">
        <v>20</v>
      </c>
      <c r="I3422" s="5" t="s">
        <v>8029</v>
      </c>
      <c r="J3422" s="12" t="str">
        <f>HYPERLINK("https://www.boe.es/gazeta/dias/1805/07/09/pdfs/GMD-1805-55.pdf#page=5","Abrir facsímil")</f>
        <v>Abrir facsímil</v>
      </c>
      <c r="K3422" s="15" t="s">
        <v>22</v>
      </c>
    </row>
    <row r="3423" spans="1:11" ht="42" customHeight="1">
      <c r="A3423" s="4" t="s">
        <v>8030</v>
      </c>
      <c r="B3423" s="5" t="s">
        <v>8030</v>
      </c>
      <c r="C3423" s="5" t="s">
        <v>35</v>
      </c>
      <c r="D3423" s="5" t="s">
        <v>36</v>
      </c>
      <c r="E3423" s="5" t="s">
        <v>261</v>
      </c>
      <c r="F3423" s="9">
        <v>18</v>
      </c>
      <c r="G3423" s="9">
        <v>186</v>
      </c>
      <c r="H3423" s="5" t="s">
        <v>20</v>
      </c>
      <c r="I3423" s="5" t="s">
        <v>8031</v>
      </c>
      <c r="J3423" s="12" t="str">
        <f>HYPERLINK("https://www.boe.es/gazeta/dias/1805/03/01/pdfs/GMD-1805-18.pdf#page=6","Abrir facsímil")</f>
        <v>Abrir facsímil</v>
      </c>
      <c r="K3423" s="15" t="s">
        <v>22</v>
      </c>
    </row>
    <row r="3424" spans="1:11" ht="42" customHeight="1">
      <c r="A3424" s="4" t="s">
        <v>8032</v>
      </c>
      <c r="B3424" s="5" t="s">
        <v>8032</v>
      </c>
      <c r="C3424" s="5" t="s">
        <v>184</v>
      </c>
      <c r="D3424" s="5" t="s">
        <v>86</v>
      </c>
      <c r="E3424" s="5" t="s">
        <v>1292</v>
      </c>
      <c r="F3424" s="9">
        <v>43</v>
      </c>
      <c r="G3424" s="9">
        <v>463</v>
      </c>
      <c r="H3424" s="5" t="s">
        <v>20</v>
      </c>
      <c r="I3424" s="5" t="s">
        <v>8033</v>
      </c>
      <c r="J3424" s="12" t="str">
        <f>HYPERLINK("https://www.boe.es/gazeta/dias/1805/05/28/pdfs/GMD-1805-43.pdf#page=7","Abrir facsímil")</f>
        <v>Abrir facsímil</v>
      </c>
      <c r="K3424" s="15" t="s">
        <v>22</v>
      </c>
    </row>
    <row r="3425" spans="1:11" ht="42" customHeight="1">
      <c r="A3425" s="4" t="s">
        <v>8034</v>
      </c>
      <c r="B3425" s="5" t="s">
        <v>8034</v>
      </c>
      <c r="C3425" s="5" t="s">
        <v>17</v>
      </c>
      <c r="D3425" s="5" t="s">
        <v>18</v>
      </c>
      <c r="E3425" s="5" t="s">
        <v>958</v>
      </c>
      <c r="F3425" s="9">
        <v>58</v>
      </c>
      <c r="G3425" s="9">
        <v>622</v>
      </c>
      <c r="H3425" s="5" t="s">
        <v>20</v>
      </c>
      <c r="I3425" s="5" t="s">
        <v>8035</v>
      </c>
      <c r="J3425" s="12" t="str">
        <f>HYPERLINK("https://www.boe.es/gazeta/dias/1805/07/19/pdfs/GMD-1805-58.pdf#page=6","Abrir facsímil")</f>
        <v>Abrir facsímil</v>
      </c>
      <c r="K3425" s="15" t="s">
        <v>22</v>
      </c>
    </row>
    <row r="3426" spans="1:11" ht="42" customHeight="1">
      <c r="A3426" s="4" t="s">
        <v>8034</v>
      </c>
      <c r="B3426" s="5" t="s">
        <v>8034</v>
      </c>
      <c r="C3426" s="5" t="s">
        <v>17</v>
      </c>
      <c r="D3426" s="5" t="s">
        <v>18</v>
      </c>
      <c r="E3426" s="5" t="s">
        <v>886</v>
      </c>
      <c r="F3426" s="9">
        <v>93</v>
      </c>
      <c r="G3426" s="9">
        <v>1000</v>
      </c>
      <c r="H3426" s="5" t="s">
        <v>20</v>
      </c>
      <c r="I3426" s="5" t="s">
        <v>8036</v>
      </c>
      <c r="J3426" s="12" t="str">
        <f>HYPERLINK("https://www.boe.es/gazeta/dias/1805/11/19/pdfs/GMD-1805-93.pdf#page=12","Abrir facsímil")</f>
        <v>Abrir facsímil</v>
      </c>
      <c r="K3426" s="15" t="s">
        <v>22</v>
      </c>
    </row>
    <row r="3427" spans="1:11" ht="42" customHeight="1">
      <c r="A3427" s="4" t="s">
        <v>8037</v>
      </c>
      <c r="B3427" s="5" t="s">
        <v>8037</v>
      </c>
      <c r="C3427" s="5" t="s">
        <v>17</v>
      </c>
      <c r="D3427" s="5" t="s">
        <v>18</v>
      </c>
      <c r="E3427" s="5" t="s">
        <v>226</v>
      </c>
      <c r="F3427" s="9">
        <v>73</v>
      </c>
      <c r="G3427" s="9">
        <v>773</v>
      </c>
      <c r="H3427" s="5" t="s">
        <v>20</v>
      </c>
      <c r="I3427" s="5" t="s">
        <v>8038</v>
      </c>
      <c r="J3427" s="12" t="str">
        <f>HYPERLINK("https://www.boe.es/gazeta/dias/1805/09/10/pdfs/GMD-1805-73.pdf#page=5","Abrir facsímil")</f>
        <v>Abrir facsímil</v>
      </c>
      <c r="K3427" s="15" t="s">
        <v>22</v>
      </c>
    </row>
    <row r="3428" spans="1:11" ht="42" customHeight="1">
      <c r="A3428" s="4" t="s">
        <v>8039</v>
      </c>
      <c r="B3428" s="5" t="s">
        <v>8039</v>
      </c>
      <c r="C3428" s="5" t="s">
        <v>35</v>
      </c>
      <c r="D3428" s="5" t="s">
        <v>36</v>
      </c>
      <c r="E3428" s="5" t="s">
        <v>261</v>
      </c>
      <c r="F3428" s="9">
        <v>18</v>
      </c>
      <c r="G3428" s="9">
        <v>186</v>
      </c>
      <c r="H3428" s="5" t="s">
        <v>20</v>
      </c>
      <c r="I3428" s="5" t="s">
        <v>8040</v>
      </c>
      <c r="J3428" s="12" t="str">
        <f>HYPERLINK("https://www.boe.es/gazeta/dias/1805/03/01/pdfs/GMD-1805-18.pdf#page=6","Abrir facsímil")</f>
        <v>Abrir facsímil</v>
      </c>
      <c r="K3428" s="15" t="s">
        <v>22</v>
      </c>
    </row>
    <row r="3429" spans="1:11" ht="42" customHeight="1">
      <c r="A3429" s="4" t="s">
        <v>8041</v>
      </c>
      <c r="B3429" s="5" t="s">
        <v>8041</v>
      </c>
      <c r="C3429" s="5" t="s">
        <v>52</v>
      </c>
      <c r="D3429" s="5" t="s">
        <v>53</v>
      </c>
      <c r="E3429" s="5" t="s">
        <v>144</v>
      </c>
      <c r="F3429" s="9">
        <v>85</v>
      </c>
      <c r="G3429" s="9" t="s">
        <v>222</v>
      </c>
      <c r="H3429" s="5" t="s">
        <v>20</v>
      </c>
      <c r="I3429" s="5" t="s">
        <v>8042</v>
      </c>
      <c r="J3429" s="12" t="str">
        <f>HYPERLINK("https://www.boe.es/gazeta/dias/1805/10/22/pdfs/GMD-C-1805-85.pdf#page=1","Abrir facsímil")</f>
        <v>Abrir facsímil</v>
      </c>
      <c r="K3429" s="15" t="s">
        <v>22</v>
      </c>
    </row>
    <row r="3430" spans="1:11" ht="42" customHeight="1">
      <c r="A3430" s="4" t="s">
        <v>8041</v>
      </c>
      <c r="B3430" s="5" t="s">
        <v>8041</v>
      </c>
      <c r="C3430" s="5" t="s">
        <v>52</v>
      </c>
      <c r="D3430" s="5" t="s">
        <v>53</v>
      </c>
      <c r="E3430" s="5" t="s">
        <v>54</v>
      </c>
      <c r="F3430" s="9">
        <v>99</v>
      </c>
      <c r="G3430" s="9" t="s">
        <v>222</v>
      </c>
      <c r="H3430" s="5" t="s">
        <v>20</v>
      </c>
      <c r="I3430" s="5" t="s">
        <v>8043</v>
      </c>
      <c r="J3430" s="12" t="str">
        <f>HYPERLINK("https://www.boe.es/gazeta/dias/1805/12/10/pdfs/GMD-C-1805-99.pdf#page=1","Abrir facsímil")</f>
        <v>Abrir facsímil</v>
      </c>
      <c r="K3430" s="15" t="s">
        <v>22</v>
      </c>
    </row>
    <row r="3431" spans="1:11" ht="42" customHeight="1">
      <c r="A3431" s="4" t="s">
        <v>8044</v>
      </c>
      <c r="B3431" s="5" t="s">
        <v>8044</v>
      </c>
      <c r="C3431" s="5" t="s">
        <v>17</v>
      </c>
      <c r="D3431" s="5" t="s">
        <v>18</v>
      </c>
      <c r="E3431" s="5" t="s">
        <v>112</v>
      </c>
      <c r="F3431" s="9">
        <v>16</v>
      </c>
      <c r="G3431" s="9">
        <v>166</v>
      </c>
      <c r="H3431" s="5" t="s">
        <v>20</v>
      </c>
      <c r="I3431" s="5" t="s">
        <v>8045</v>
      </c>
      <c r="J3431" s="12" t="str">
        <f>HYPERLINK("https://www.boe.es/gazeta/dias/1805/02/22/pdfs/GMD-1805-16.pdf#page=6","Abrir facsímil")</f>
        <v>Abrir facsímil</v>
      </c>
      <c r="K3431" s="15" t="s">
        <v>22</v>
      </c>
    </row>
    <row r="3432" spans="1:11" ht="42" customHeight="1">
      <c r="A3432" s="4" t="s">
        <v>8046</v>
      </c>
      <c r="B3432" s="5" t="s">
        <v>8046</v>
      </c>
      <c r="C3432" s="5" t="s">
        <v>29</v>
      </c>
      <c r="D3432" s="5" t="s">
        <v>30</v>
      </c>
      <c r="E3432" s="5" t="s">
        <v>850</v>
      </c>
      <c r="F3432" s="9">
        <v>42</v>
      </c>
      <c r="G3432" s="9">
        <v>456</v>
      </c>
      <c r="H3432" s="5" t="s">
        <v>20</v>
      </c>
      <c r="I3432" s="5" t="s">
        <v>8047</v>
      </c>
      <c r="J3432" s="12" t="str">
        <f>HYPERLINK("https://www.boe.es/gazeta/dias/1805/05/24/pdfs/GMD-1805-42.pdf#page=12","Abrir facsímil")</f>
        <v>Abrir facsímil</v>
      </c>
      <c r="K3432" s="15" t="s">
        <v>22</v>
      </c>
    </row>
    <row r="3433" spans="1:11" ht="42" customHeight="1">
      <c r="A3433" s="4" t="s">
        <v>8048</v>
      </c>
      <c r="B3433" s="5" t="s">
        <v>8048</v>
      </c>
      <c r="C3433" s="5" t="s">
        <v>35</v>
      </c>
      <c r="D3433" s="5" t="s">
        <v>36</v>
      </c>
      <c r="E3433" s="5" t="s">
        <v>120</v>
      </c>
      <c r="F3433" s="9">
        <v>24</v>
      </c>
      <c r="G3433" s="9">
        <v>255</v>
      </c>
      <c r="H3433" s="5" t="s">
        <v>20</v>
      </c>
      <c r="I3433" s="5" t="s">
        <v>8049</v>
      </c>
      <c r="J3433" s="12" t="str">
        <f>HYPERLINK("https://www.boe.es/gazeta/dias/1805/03/22/pdfs/GMD-1805-24.pdf#page=7","Abrir facsímil")</f>
        <v>Abrir facsímil</v>
      </c>
      <c r="K3433" s="15" t="s">
        <v>22</v>
      </c>
    </row>
    <row r="3434" spans="1:11" ht="42" customHeight="1">
      <c r="A3434" s="4" t="s">
        <v>8050</v>
      </c>
      <c r="B3434" s="5" t="s">
        <v>8051</v>
      </c>
      <c r="C3434" s="5" t="s">
        <v>35</v>
      </c>
      <c r="D3434" s="5" t="s">
        <v>36</v>
      </c>
      <c r="E3434" s="5" t="s">
        <v>303</v>
      </c>
      <c r="F3434" s="9">
        <v>57</v>
      </c>
      <c r="G3434" s="9">
        <v>611</v>
      </c>
      <c r="H3434" s="5" t="s">
        <v>20</v>
      </c>
      <c r="I3434" s="5" t="s">
        <v>8052</v>
      </c>
      <c r="J3434" s="12" t="str">
        <f>HYPERLINK("https://www.boe.es/gazeta/dias/1805/07/16/pdfs/GMD-1805-57.pdf#page=7","Abrir facsímil")</f>
        <v>Abrir facsímil</v>
      </c>
      <c r="K3434" s="15" t="s">
        <v>22</v>
      </c>
    </row>
    <row r="3435" spans="1:11" ht="42" customHeight="1">
      <c r="A3435" s="4" t="s">
        <v>8053</v>
      </c>
      <c r="B3435" s="5" t="s">
        <v>8053</v>
      </c>
      <c r="C3435" s="5" t="s">
        <v>17</v>
      </c>
      <c r="D3435" s="5" t="s">
        <v>18</v>
      </c>
      <c r="E3435" s="5" t="s">
        <v>200</v>
      </c>
      <c r="F3435" s="9">
        <v>91</v>
      </c>
      <c r="G3435" s="9">
        <v>977</v>
      </c>
      <c r="H3435" s="5" t="s">
        <v>20</v>
      </c>
      <c r="I3435" s="5" t="s">
        <v>8054</v>
      </c>
      <c r="J3435" s="12" t="str">
        <f>HYPERLINK("https://www.boe.es/gazeta/dias/1805/11/12/pdfs/GMD-1805-91.pdf#page=9","Abrir facsímil")</f>
        <v>Abrir facsímil</v>
      </c>
      <c r="K3435" s="15" t="s">
        <v>22</v>
      </c>
    </row>
    <row r="3436" spans="1:11" ht="42" customHeight="1">
      <c r="A3436" s="4" t="s">
        <v>8055</v>
      </c>
      <c r="B3436" s="5" t="s">
        <v>8055</v>
      </c>
      <c r="C3436" s="5" t="s">
        <v>29</v>
      </c>
      <c r="D3436" s="5" t="s">
        <v>30</v>
      </c>
      <c r="E3436" s="5" t="s">
        <v>387</v>
      </c>
      <c r="F3436" s="9">
        <v>4</v>
      </c>
      <c r="G3436" s="9">
        <v>44</v>
      </c>
      <c r="H3436" s="5" t="s">
        <v>20</v>
      </c>
      <c r="I3436" s="5" t="s">
        <v>8056</v>
      </c>
      <c r="J3436" s="12" t="str">
        <f>HYPERLINK("https://www.boe.es/gazeta/dias/1805/01/11/pdfs/GMD-1805-4.pdf#page=12","Abrir facsímil")</f>
        <v>Abrir facsímil</v>
      </c>
      <c r="K3436" s="15" t="s">
        <v>22</v>
      </c>
    </row>
    <row r="3437" spans="1:11" ht="42" customHeight="1">
      <c r="A3437" s="4" t="s">
        <v>8057</v>
      </c>
      <c r="B3437" s="5" t="s">
        <v>8057</v>
      </c>
      <c r="C3437" s="5" t="s">
        <v>52</v>
      </c>
      <c r="D3437" s="5" t="s">
        <v>53</v>
      </c>
      <c r="E3437" s="5" t="s">
        <v>54</v>
      </c>
      <c r="F3437" s="9">
        <v>99</v>
      </c>
      <c r="G3437" s="9" t="s">
        <v>222</v>
      </c>
      <c r="H3437" s="5" t="s">
        <v>20</v>
      </c>
      <c r="I3437" s="5" t="s">
        <v>8058</v>
      </c>
      <c r="J3437" s="12" t="str">
        <f>HYPERLINK("https://www.boe.es/gazeta/dias/1805/12/10/pdfs/GMD-C-1805-99.pdf#page=1","Abrir facsímil")</f>
        <v>Abrir facsímil</v>
      </c>
      <c r="K3437" s="15" t="s">
        <v>22</v>
      </c>
    </row>
    <row r="3438" spans="1:11" ht="42" customHeight="1">
      <c r="A3438" s="4" t="s">
        <v>8059</v>
      </c>
      <c r="B3438" s="5" t="s">
        <v>8059</v>
      </c>
      <c r="C3438" s="5" t="s">
        <v>35</v>
      </c>
      <c r="D3438" s="5" t="s">
        <v>36</v>
      </c>
      <c r="E3438" s="5" t="s">
        <v>393</v>
      </c>
      <c r="F3438" s="9">
        <v>44</v>
      </c>
      <c r="G3438" s="9">
        <v>476</v>
      </c>
      <c r="H3438" s="5" t="s">
        <v>20</v>
      </c>
      <c r="I3438" s="5" t="s">
        <v>8060</v>
      </c>
      <c r="J3438" s="12" t="str">
        <f>HYPERLINK("https://www.boe.es/gazeta/dias/1805/05/31/pdfs/GMD-1805-44.pdf#page=12","Abrir facsímil")</f>
        <v>Abrir facsímil</v>
      </c>
      <c r="K3438" s="15" t="s">
        <v>22</v>
      </c>
    </row>
    <row r="3439" spans="1:11" ht="42" customHeight="1">
      <c r="A3439" s="4" t="s">
        <v>8061</v>
      </c>
      <c r="B3439" s="5" t="s">
        <v>8061</v>
      </c>
      <c r="C3439" s="5" t="s">
        <v>35</v>
      </c>
      <c r="D3439" s="5" t="s">
        <v>36</v>
      </c>
      <c r="E3439" s="5" t="s">
        <v>215</v>
      </c>
      <c r="F3439" s="9">
        <v>87</v>
      </c>
      <c r="G3439" s="9">
        <v>927</v>
      </c>
      <c r="H3439" s="5" t="s">
        <v>20</v>
      </c>
      <c r="I3439" s="5" t="s">
        <v>8062</v>
      </c>
      <c r="J3439" s="12" t="str">
        <f>HYPERLINK("https://www.boe.es/gazeta/dias/1805/10/29/pdfs/GMD-1805-87.pdf#page=11","Abrir facsímil")</f>
        <v>Abrir facsímil</v>
      </c>
      <c r="K3439" s="15" t="s">
        <v>22</v>
      </c>
    </row>
    <row r="3440" spans="1:11" ht="42" customHeight="1">
      <c r="A3440" s="4" t="s">
        <v>8063</v>
      </c>
      <c r="B3440" s="5" t="s">
        <v>8063</v>
      </c>
      <c r="C3440" s="5" t="s">
        <v>29</v>
      </c>
      <c r="D3440" s="5" t="s">
        <v>30</v>
      </c>
      <c r="E3440" s="5" t="s">
        <v>440</v>
      </c>
      <c r="F3440" s="9">
        <v>27</v>
      </c>
      <c r="G3440" s="9">
        <v>292</v>
      </c>
      <c r="H3440" s="5" t="s">
        <v>20</v>
      </c>
      <c r="I3440" s="5" t="s">
        <v>8064</v>
      </c>
      <c r="J3440" s="12" t="str">
        <f>HYPERLINK("https://www.boe.es/gazeta/dias/1805/04/02/pdfs/GMD-1805-27.pdf#page=12","Abrir facsímil")</f>
        <v>Abrir facsímil</v>
      </c>
      <c r="K3440" s="15" t="s">
        <v>22</v>
      </c>
    </row>
    <row r="3441" spans="1:11" ht="42" customHeight="1">
      <c r="A3441" s="4" t="s">
        <v>8065</v>
      </c>
      <c r="B3441" s="5" t="s">
        <v>8065</v>
      </c>
      <c r="C3441" s="5" t="s">
        <v>17</v>
      </c>
      <c r="D3441" s="5" t="s">
        <v>18</v>
      </c>
      <c r="E3441" s="5" t="s">
        <v>409</v>
      </c>
      <c r="F3441" s="9">
        <v>69</v>
      </c>
      <c r="G3441" s="9">
        <v>739</v>
      </c>
      <c r="H3441" s="5" t="s">
        <v>20</v>
      </c>
      <c r="I3441" s="5" t="s">
        <v>8066</v>
      </c>
      <c r="J3441" s="12" t="str">
        <f>HYPERLINK("https://www.boe.es/gazeta/dias/1805/08/27/pdfs/GMD-1805-69.pdf#page=7","Abrir facsímil")</f>
        <v>Abrir facsímil</v>
      </c>
      <c r="K3441" s="15" t="s">
        <v>22</v>
      </c>
    </row>
    <row r="3442" spans="1:11" ht="42" customHeight="1">
      <c r="A3442" s="4" t="s">
        <v>8067</v>
      </c>
      <c r="B3442" s="5" t="s">
        <v>8067</v>
      </c>
      <c r="C3442" s="5" t="s">
        <v>35</v>
      </c>
      <c r="D3442" s="5" t="s">
        <v>36</v>
      </c>
      <c r="E3442" s="5" t="s">
        <v>303</v>
      </c>
      <c r="F3442" s="9">
        <v>57</v>
      </c>
      <c r="G3442" s="9">
        <v>612</v>
      </c>
      <c r="H3442" s="5" t="s">
        <v>20</v>
      </c>
      <c r="I3442" s="5" t="s">
        <v>8068</v>
      </c>
      <c r="J3442" s="12" t="str">
        <f>HYPERLINK("https://www.boe.es/gazeta/dias/1805/07/16/pdfs/GMD-1805-57.pdf#page=8","Abrir facsímil")</f>
        <v>Abrir facsímil</v>
      </c>
      <c r="K3442" s="15" t="s">
        <v>22</v>
      </c>
    </row>
    <row r="3443" spans="1:11" ht="42" customHeight="1">
      <c r="A3443" s="4" t="s">
        <v>8069</v>
      </c>
      <c r="B3443" s="5" t="s">
        <v>8069</v>
      </c>
      <c r="C3443" s="5" t="s">
        <v>35</v>
      </c>
      <c r="D3443" s="5" t="s">
        <v>36</v>
      </c>
      <c r="E3443" s="5" t="s">
        <v>539</v>
      </c>
      <c r="F3443" s="9">
        <v>97</v>
      </c>
      <c r="G3443" s="9">
        <v>1045</v>
      </c>
      <c r="H3443" s="5" t="s">
        <v>20</v>
      </c>
      <c r="I3443" s="5" t="s">
        <v>8070</v>
      </c>
      <c r="J3443" s="12" t="str">
        <f>HYPERLINK("https://www.boe.es/gazeta/dias/1805/12/03/pdfs/GMD-1805-97.pdf#page=9","Abrir facsímil")</f>
        <v>Abrir facsímil</v>
      </c>
      <c r="K3443" s="15" t="s">
        <v>22</v>
      </c>
    </row>
    <row r="3444" spans="1:11" ht="42" customHeight="1">
      <c r="A3444" s="4" t="s">
        <v>8071</v>
      </c>
      <c r="B3444" s="5" t="s">
        <v>8071</v>
      </c>
      <c r="C3444" s="5" t="s">
        <v>35</v>
      </c>
      <c r="D3444" s="5" t="s">
        <v>36</v>
      </c>
      <c r="E3444" s="5" t="s">
        <v>422</v>
      </c>
      <c r="F3444" s="9">
        <v>74</v>
      </c>
      <c r="G3444" s="9">
        <v>786</v>
      </c>
      <c r="H3444" s="5" t="s">
        <v>20</v>
      </c>
      <c r="I3444" s="5" t="s">
        <v>8072</v>
      </c>
      <c r="J3444" s="12" t="str">
        <f>HYPERLINK("https://www.boe.es/gazeta/dias/1805/09/13/pdfs/GMD-1805-74.pdf#page=10","Abrir facsímil")</f>
        <v>Abrir facsímil</v>
      </c>
      <c r="K3444" s="15" t="s">
        <v>22</v>
      </c>
    </row>
    <row r="3445" spans="1:11" ht="42" customHeight="1">
      <c r="A3445" s="4" t="s">
        <v>8073</v>
      </c>
      <c r="B3445" s="5" t="s">
        <v>8073</v>
      </c>
      <c r="C3445" s="5" t="s">
        <v>17</v>
      </c>
      <c r="D3445" s="5" t="s">
        <v>18</v>
      </c>
      <c r="E3445" s="5" t="s">
        <v>141</v>
      </c>
      <c r="F3445" s="9">
        <v>82</v>
      </c>
      <c r="G3445" s="9">
        <v>872</v>
      </c>
      <c r="H3445" s="5" t="s">
        <v>20</v>
      </c>
      <c r="I3445" s="5" t="s">
        <v>8074</v>
      </c>
      <c r="J3445" s="12" t="str">
        <f>HYPERLINK("https://www.boe.es/gazeta/dias/1805/10/11/pdfs/GMD-1805-82.pdf#page=12","Abrir facsímil")</f>
        <v>Abrir facsímil</v>
      </c>
      <c r="K3445" s="15" t="s">
        <v>22</v>
      </c>
    </row>
    <row r="3446" spans="1:11" ht="42" customHeight="1">
      <c r="A3446" s="4" t="s">
        <v>8075</v>
      </c>
      <c r="B3446" s="5" t="s">
        <v>8075</v>
      </c>
      <c r="C3446" s="5" t="s">
        <v>35</v>
      </c>
      <c r="D3446" s="5" t="s">
        <v>36</v>
      </c>
      <c r="E3446" s="5" t="s">
        <v>192</v>
      </c>
      <c r="F3446" s="9">
        <v>105</v>
      </c>
      <c r="G3446" s="9">
        <v>1137</v>
      </c>
      <c r="H3446" s="5" t="s">
        <v>20</v>
      </c>
      <c r="I3446" s="5" t="s">
        <v>8076</v>
      </c>
      <c r="J3446" s="12" t="str">
        <f>HYPERLINK("https://www.boe.es/gazeta/dias/1805/12/31/pdfs/GMD-1805-105.pdf#page=9","Abrir facsímil")</f>
        <v>Abrir facsímil</v>
      </c>
      <c r="K3446" s="15" t="s">
        <v>22</v>
      </c>
    </row>
    <row r="3447" spans="1:11" ht="42" customHeight="1">
      <c r="A3447" s="4" t="s">
        <v>8077</v>
      </c>
      <c r="B3447" s="5" t="s">
        <v>8077</v>
      </c>
      <c r="C3447" s="5" t="s">
        <v>35</v>
      </c>
      <c r="D3447" s="5" t="s">
        <v>36</v>
      </c>
      <c r="E3447" s="5" t="s">
        <v>114</v>
      </c>
      <c r="F3447" s="9">
        <v>17</v>
      </c>
      <c r="G3447" s="9">
        <v>177</v>
      </c>
      <c r="H3447" s="5" t="s">
        <v>20</v>
      </c>
      <c r="I3447" s="5" t="s">
        <v>8078</v>
      </c>
      <c r="J3447" s="12" t="str">
        <f>HYPERLINK("https://www.boe.es/gazeta/dias/1805/02/26/pdfs/GMD-1805-17.pdf#page=9","Abrir facsímil")</f>
        <v>Abrir facsímil</v>
      </c>
      <c r="K3447" s="15" t="s">
        <v>22</v>
      </c>
    </row>
    <row r="3448" spans="1:11" ht="42" customHeight="1">
      <c r="A3448" s="4" t="s">
        <v>8079</v>
      </c>
      <c r="B3448" s="5" t="s">
        <v>8079</v>
      </c>
      <c r="C3448" s="5" t="s">
        <v>85</v>
      </c>
      <c r="D3448" s="5" t="s">
        <v>86</v>
      </c>
      <c r="E3448" s="5" t="s">
        <v>290</v>
      </c>
      <c r="F3448" s="9">
        <v>36</v>
      </c>
      <c r="G3448" s="9">
        <v>388</v>
      </c>
      <c r="H3448" s="5" t="s">
        <v>20</v>
      </c>
      <c r="I3448" s="5" t="s">
        <v>8080</v>
      </c>
      <c r="J3448" s="12" t="str">
        <f>HYPERLINK("https://www.boe.es/gazeta/dias/1805/05/03/pdfs/GMD-1805-36.pdf#page=8","Abrir facsímil")</f>
        <v>Abrir facsímil</v>
      </c>
      <c r="K3448" s="15" t="s">
        <v>22</v>
      </c>
    </row>
    <row r="3449" spans="1:11" ht="42" customHeight="1">
      <c r="A3449" s="4" t="s">
        <v>8081</v>
      </c>
      <c r="B3449" s="5" t="s">
        <v>8081</v>
      </c>
      <c r="C3449" s="5" t="s">
        <v>35</v>
      </c>
      <c r="D3449" s="5" t="s">
        <v>36</v>
      </c>
      <c r="E3449" s="5" t="s">
        <v>31</v>
      </c>
      <c r="F3449" s="9">
        <v>65</v>
      </c>
      <c r="G3449" s="9">
        <v>697</v>
      </c>
      <c r="H3449" s="5" t="s">
        <v>20</v>
      </c>
      <c r="I3449" s="5" t="s">
        <v>8082</v>
      </c>
      <c r="J3449" s="12" t="str">
        <f>HYPERLINK("https://www.boe.es/gazeta/dias/1805/08/13/pdfs/GMD-1805-65.pdf#page=9","Abrir facsímil")</f>
        <v>Abrir facsímil</v>
      </c>
      <c r="K3449" s="15" t="s">
        <v>22</v>
      </c>
    </row>
    <row r="3450" spans="1:11" ht="42" customHeight="1">
      <c r="A3450" s="4" t="s">
        <v>8083</v>
      </c>
      <c r="B3450" s="5" t="s">
        <v>8083</v>
      </c>
      <c r="C3450" s="5" t="s">
        <v>85</v>
      </c>
      <c r="D3450" s="5" t="s">
        <v>86</v>
      </c>
      <c r="E3450" s="5" t="s">
        <v>387</v>
      </c>
      <c r="F3450" s="9">
        <v>4</v>
      </c>
      <c r="G3450" s="9">
        <v>42</v>
      </c>
      <c r="H3450" s="5" t="s">
        <v>20</v>
      </c>
      <c r="I3450" s="5" t="s">
        <v>8084</v>
      </c>
      <c r="J3450" s="12" t="str">
        <f>HYPERLINK("https://www.boe.es/gazeta/dias/1805/01/11/pdfs/GMD-1805-4.pdf#page=10","Abrir facsímil")</f>
        <v>Abrir facsímil</v>
      </c>
      <c r="K3450" s="15" t="s">
        <v>22</v>
      </c>
    </row>
    <row r="3451" spans="1:11" ht="42" customHeight="1">
      <c r="A3451" s="4" t="s">
        <v>8085</v>
      </c>
      <c r="B3451" s="5" t="s">
        <v>8085</v>
      </c>
      <c r="C3451" s="5" t="s">
        <v>35</v>
      </c>
      <c r="D3451" s="5" t="s">
        <v>36</v>
      </c>
      <c r="E3451" s="5" t="s">
        <v>273</v>
      </c>
      <c r="F3451" s="9">
        <v>8</v>
      </c>
      <c r="G3451" s="9">
        <v>89</v>
      </c>
      <c r="H3451" s="5" t="s">
        <v>20</v>
      </c>
      <c r="I3451" s="5" t="s">
        <v>8086</v>
      </c>
      <c r="J3451" s="12" t="str">
        <f>HYPERLINK("https://www.boe.es/gazeta/dias/1805/01/25/pdfs/GMD-1805-8.pdf#page=9","Abrir facsímil")</f>
        <v>Abrir facsímil</v>
      </c>
      <c r="K3451" s="15" t="s">
        <v>22</v>
      </c>
    </row>
    <row r="3452" spans="1:11" ht="42" customHeight="1">
      <c r="A3452" s="4" t="s">
        <v>8087</v>
      </c>
      <c r="B3452" s="5" t="s">
        <v>8087</v>
      </c>
      <c r="C3452" s="5" t="s">
        <v>17</v>
      </c>
      <c r="D3452" s="5" t="s">
        <v>18</v>
      </c>
      <c r="E3452" s="5" t="s">
        <v>63</v>
      </c>
      <c r="F3452" s="9">
        <v>101</v>
      </c>
      <c r="G3452" s="9">
        <v>1091</v>
      </c>
      <c r="H3452" s="5" t="s">
        <v>20</v>
      </c>
      <c r="I3452" s="5" t="s">
        <v>8088</v>
      </c>
      <c r="J3452" s="12" t="str">
        <f>HYPERLINK("https://www.boe.es/gazeta/dias/1805/12/17/pdfs/GMD-1805-101.pdf#page=7","Abrir facsímil")</f>
        <v>Abrir facsímil</v>
      </c>
      <c r="K3452" s="15" t="s">
        <v>22</v>
      </c>
    </row>
    <row r="3453" spans="1:11" ht="42" customHeight="1">
      <c r="A3453" s="4" t="s">
        <v>8089</v>
      </c>
      <c r="B3453" s="5" t="s">
        <v>8089</v>
      </c>
      <c r="C3453" s="5" t="s">
        <v>17</v>
      </c>
      <c r="D3453" s="5" t="s">
        <v>18</v>
      </c>
      <c r="E3453" s="5" t="s">
        <v>422</v>
      </c>
      <c r="F3453" s="9">
        <v>74</v>
      </c>
      <c r="G3453" s="9">
        <v>786</v>
      </c>
      <c r="H3453" s="5" t="s">
        <v>20</v>
      </c>
      <c r="I3453" s="5" t="s">
        <v>8090</v>
      </c>
      <c r="J3453" s="12" t="str">
        <f>HYPERLINK("https://www.boe.es/gazeta/dias/1805/09/13/pdfs/GMD-1805-74.pdf#page=10","Abrir facsímil")</f>
        <v>Abrir facsímil</v>
      </c>
      <c r="K3453" s="15" t="s">
        <v>22</v>
      </c>
    </row>
    <row r="3454" spans="1:11" ht="42" customHeight="1">
      <c r="A3454" s="4" t="s">
        <v>8091</v>
      </c>
      <c r="B3454" s="5" t="s">
        <v>8091</v>
      </c>
      <c r="C3454" s="5" t="s">
        <v>35</v>
      </c>
      <c r="D3454" s="5" t="s">
        <v>36</v>
      </c>
      <c r="E3454" s="5" t="s">
        <v>506</v>
      </c>
      <c r="F3454" s="9">
        <v>80</v>
      </c>
      <c r="G3454" s="9">
        <v>850</v>
      </c>
      <c r="H3454" s="5" t="s">
        <v>20</v>
      </c>
      <c r="I3454" s="5" t="s">
        <v>8092</v>
      </c>
      <c r="J3454" s="12" t="str">
        <f>HYPERLINK("https://www.boe.es/gazeta/dias/1805/10/04/pdfs/GMD-1805-80.pdf#page=10","Abrir facsímil")</f>
        <v>Abrir facsímil</v>
      </c>
      <c r="K3454" s="15" t="s">
        <v>22</v>
      </c>
    </row>
    <row r="3455" spans="1:11" ht="42" customHeight="1">
      <c r="A3455" s="4" t="s">
        <v>8093</v>
      </c>
      <c r="B3455" s="5" t="s">
        <v>8093</v>
      </c>
      <c r="C3455" s="5" t="s">
        <v>29</v>
      </c>
      <c r="D3455" s="5" t="s">
        <v>30</v>
      </c>
      <c r="E3455" s="5" t="s">
        <v>261</v>
      </c>
      <c r="F3455" s="9">
        <v>18</v>
      </c>
      <c r="G3455" s="9">
        <v>188</v>
      </c>
      <c r="H3455" s="5" t="s">
        <v>20</v>
      </c>
      <c r="I3455" s="5" t="s">
        <v>8094</v>
      </c>
      <c r="J3455" s="12" t="str">
        <f>HYPERLINK("https://www.boe.es/gazeta/dias/1805/03/01/pdfs/GMD-1805-18.pdf#page=8","Abrir facsímil")</f>
        <v>Abrir facsímil</v>
      </c>
      <c r="K3455" s="15" t="s">
        <v>22</v>
      </c>
    </row>
    <row r="3456" spans="1:11" ht="42" customHeight="1">
      <c r="A3456" s="4" t="s">
        <v>8095</v>
      </c>
      <c r="B3456" s="5" t="s">
        <v>8095</v>
      </c>
      <c r="C3456" s="5" t="s">
        <v>35</v>
      </c>
      <c r="D3456" s="5" t="s">
        <v>36</v>
      </c>
      <c r="E3456" s="5" t="s">
        <v>163</v>
      </c>
      <c r="F3456" s="9">
        <v>77</v>
      </c>
      <c r="G3456" s="9">
        <v>817</v>
      </c>
      <c r="H3456" s="5" t="s">
        <v>20</v>
      </c>
      <c r="I3456" s="5" t="s">
        <v>8096</v>
      </c>
      <c r="J3456" s="12" t="str">
        <f>HYPERLINK("https://www.boe.es/gazeta/dias/1805/09/24/pdfs/GMD-1805-77.pdf#page=9","Abrir facsímil")</f>
        <v>Abrir facsímil</v>
      </c>
      <c r="K3456" s="15" t="s">
        <v>22</v>
      </c>
    </row>
    <row r="3457" spans="1:11" ht="42" customHeight="1">
      <c r="A3457" s="4" t="s">
        <v>8097</v>
      </c>
      <c r="B3457" s="5" t="s">
        <v>8097</v>
      </c>
      <c r="C3457" s="5" t="s">
        <v>35</v>
      </c>
      <c r="D3457" s="5" t="s">
        <v>36</v>
      </c>
      <c r="E3457" s="5" t="s">
        <v>114</v>
      </c>
      <c r="F3457" s="9">
        <v>17</v>
      </c>
      <c r="G3457" s="9">
        <v>177</v>
      </c>
      <c r="H3457" s="5" t="s">
        <v>20</v>
      </c>
      <c r="I3457" s="5" t="s">
        <v>8098</v>
      </c>
      <c r="J3457" s="12" t="str">
        <f>HYPERLINK("https://www.boe.es/gazeta/dias/1805/02/26/pdfs/GMD-1805-17.pdf#page=9","Abrir facsímil")</f>
        <v>Abrir facsímil</v>
      </c>
      <c r="K3457" s="15" t="s">
        <v>22</v>
      </c>
    </row>
    <row r="3458" spans="1:11" ht="42" customHeight="1">
      <c r="A3458" s="4" t="s">
        <v>8099</v>
      </c>
      <c r="B3458" s="5" t="s">
        <v>8099</v>
      </c>
      <c r="C3458" s="5" t="s">
        <v>85</v>
      </c>
      <c r="D3458" s="5" t="s">
        <v>86</v>
      </c>
      <c r="E3458" s="5" t="s">
        <v>567</v>
      </c>
      <c r="F3458" s="9">
        <v>49</v>
      </c>
      <c r="G3458" s="9">
        <v>530</v>
      </c>
      <c r="H3458" s="5" t="s">
        <v>20</v>
      </c>
      <c r="I3458" s="5" t="s">
        <v>8100</v>
      </c>
      <c r="J3458" s="12" t="str">
        <f>HYPERLINK("https://www.boe.es/gazeta/dias/1805/06/18/pdfs/GMD-1805-49.pdf#page=6","Abrir facsímil")</f>
        <v>Abrir facsímil</v>
      </c>
      <c r="K3458" s="15" t="s">
        <v>22</v>
      </c>
    </row>
    <row r="3459" spans="1:11" ht="42" customHeight="1">
      <c r="A3459" s="4" t="s">
        <v>8101</v>
      </c>
      <c r="B3459" s="5" t="s">
        <v>8101</v>
      </c>
      <c r="C3459" s="5" t="s">
        <v>35</v>
      </c>
      <c r="D3459" s="5" t="s">
        <v>36</v>
      </c>
      <c r="E3459" s="5" t="s">
        <v>67</v>
      </c>
      <c r="F3459" s="9">
        <v>98</v>
      </c>
      <c r="G3459" s="9">
        <v>1060</v>
      </c>
      <c r="H3459" s="5" t="s">
        <v>20</v>
      </c>
      <c r="I3459" s="5" t="s">
        <v>8102</v>
      </c>
      <c r="J3459" s="12" t="str">
        <f>HYPERLINK("https://www.boe.es/gazeta/dias/1805/12/06/pdfs/GMD-1805-98.pdf#page=12","Abrir facsímil")</f>
        <v>Abrir facsímil</v>
      </c>
      <c r="K3459" s="15" t="s">
        <v>22</v>
      </c>
    </row>
    <row r="3460" spans="1:11" ht="42" customHeight="1">
      <c r="A3460" s="4" t="s">
        <v>8103</v>
      </c>
      <c r="B3460" s="5" t="s">
        <v>8103</v>
      </c>
      <c r="C3460" s="5" t="s">
        <v>35</v>
      </c>
      <c r="D3460" s="5" t="s">
        <v>36</v>
      </c>
      <c r="E3460" s="5" t="s">
        <v>226</v>
      </c>
      <c r="F3460" s="9">
        <v>73</v>
      </c>
      <c r="G3460" s="9">
        <v>774</v>
      </c>
      <c r="H3460" s="5" t="s">
        <v>20</v>
      </c>
      <c r="I3460" s="5" t="s">
        <v>8104</v>
      </c>
      <c r="J3460" s="12" t="str">
        <f>HYPERLINK("https://www.boe.es/gazeta/dias/1805/09/10/pdfs/GMD-1805-73.pdf#page=6","Abrir facsímil")</f>
        <v>Abrir facsímil</v>
      </c>
      <c r="K3460" s="15" t="s">
        <v>22</v>
      </c>
    </row>
    <row r="3461" spans="1:11" ht="42" customHeight="1">
      <c r="A3461" s="4" t="s">
        <v>8105</v>
      </c>
      <c r="B3461" s="5" t="s">
        <v>8105</v>
      </c>
      <c r="C3461" s="5" t="s">
        <v>17</v>
      </c>
      <c r="D3461" s="5" t="s">
        <v>18</v>
      </c>
      <c r="E3461" s="5" t="s">
        <v>506</v>
      </c>
      <c r="F3461" s="9">
        <v>80</v>
      </c>
      <c r="G3461" s="9">
        <v>848</v>
      </c>
      <c r="H3461" s="5" t="s">
        <v>20</v>
      </c>
      <c r="I3461" s="5" t="s">
        <v>8106</v>
      </c>
      <c r="J3461" s="12" t="str">
        <f>HYPERLINK("https://www.boe.es/gazeta/dias/1805/10/04/pdfs/GMD-1805-80.pdf#page=8","Abrir facsímil")</f>
        <v>Abrir facsímil</v>
      </c>
      <c r="K3461" s="15" t="s">
        <v>22</v>
      </c>
    </row>
    <row r="3462" spans="1:11" ht="42" customHeight="1">
      <c r="A3462" s="4" t="s">
        <v>8107</v>
      </c>
      <c r="B3462" s="5" t="s">
        <v>8107</v>
      </c>
      <c r="C3462" s="5" t="s">
        <v>35</v>
      </c>
      <c r="D3462" s="5" t="s">
        <v>36</v>
      </c>
      <c r="E3462" s="5" t="s">
        <v>387</v>
      </c>
      <c r="F3462" s="9">
        <v>4</v>
      </c>
      <c r="G3462" s="9">
        <v>42</v>
      </c>
      <c r="H3462" s="5" t="s">
        <v>20</v>
      </c>
      <c r="I3462" s="5" t="s">
        <v>8108</v>
      </c>
      <c r="J3462" s="12" t="str">
        <f>HYPERLINK("https://www.boe.es/gazeta/dias/1805/01/11/pdfs/GMD-1805-4.pdf#page=10","Abrir facsímil")</f>
        <v>Abrir facsímil</v>
      </c>
      <c r="K3462" s="15" t="s">
        <v>22</v>
      </c>
    </row>
    <row r="3463" spans="1:11" ht="42" customHeight="1">
      <c r="A3463" s="4" t="s">
        <v>8109</v>
      </c>
      <c r="B3463" s="5" t="s">
        <v>8109</v>
      </c>
      <c r="C3463" s="5" t="s">
        <v>35</v>
      </c>
      <c r="D3463" s="5" t="s">
        <v>36</v>
      </c>
      <c r="E3463" s="5" t="s">
        <v>181</v>
      </c>
      <c r="F3463" s="9">
        <v>90</v>
      </c>
      <c r="G3463" s="9">
        <v>965</v>
      </c>
      <c r="H3463" s="5" t="s">
        <v>20</v>
      </c>
      <c r="I3463" s="5" t="s">
        <v>8110</v>
      </c>
      <c r="J3463" s="12" t="str">
        <f>HYPERLINK("https://www.boe.es/gazeta/dias/1805/11/08/pdfs/GMD-1805-90.pdf#page=9","Abrir facsímil")</f>
        <v>Abrir facsímil</v>
      </c>
      <c r="K3463" s="15" t="s">
        <v>22</v>
      </c>
    </row>
    <row r="3464" spans="1:11" ht="42" customHeight="1">
      <c r="A3464" s="4" t="s">
        <v>8111</v>
      </c>
      <c r="B3464" s="5" t="s">
        <v>8111</v>
      </c>
      <c r="C3464" s="5" t="s">
        <v>35</v>
      </c>
      <c r="D3464" s="5" t="s">
        <v>36</v>
      </c>
      <c r="E3464" s="5" t="s">
        <v>138</v>
      </c>
      <c r="F3464" s="9">
        <v>102</v>
      </c>
      <c r="G3464" s="9">
        <v>1103</v>
      </c>
      <c r="H3464" s="5" t="s">
        <v>20</v>
      </c>
      <c r="I3464" s="5" t="s">
        <v>8112</v>
      </c>
      <c r="J3464" s="12" t="str">
        <f>HYPERLINK("https://www.boe.es/gazeta/dias/1805/12/20/pdfs/GMD-1805-102.pdf#page=7","Abrir facsímil")</f>
        <v>Abrir facsímil</v>
      </c>
      <c r="K3464" s="15" t="s">
        <v>22</v>
      </c>
    </row>
    <row r="3465" spans="1:11" ht="42" customHeight="1">
      <c r="A3465" s="4" t="s">
        <v>8113</v>
      </c>
      <c r="B3465" s="5" t="s">
        <v>8113</v>
      </c>
      <c r="C3465" s="5" t="s">
        <v>35</v>
      </c>
      <c r="D3465" s="5" t="s">
        <v>36</v>
      </c>
      <c r="E3465" s="5" t="s">
        <v>181</v>
      </c>
      <c r="F3465" s="9">
        <v>90</v>
      </c>
      <c r="G3465" s="9">
        <v>964</v>
      </c>
      <c r="H3465" s="5" t="s">
        <v>20</v>
      </c>
      <c r="I3465" s="5" t="s">
        <v>8114</v>
      </c>
      <c r="J3465" s="12" t="str">
        <f>HYPERLINK("https://www.boe.es/gazeta/dias/1805/11/08/pdfs/GMD-1805-90.pdf#page=8","Abrir facsímil")</f>
        <v>Abrir facsímil</v>
      </c>
      <c r="K3465" s="15" t="s">
        <v>22</v>
      </c>
    </row>
    <row r="3466" spans="1:11" ht="42" customHeight="1">
      <c r="A3466" s="4" t="s">
        <v>8115</v>
      </c>
      <c r="B3466" s="5" t="s">
        <v>8115</v>
      </c>
      <c r="C3466" s="5" t="s">
        <v>35</v>
      </c>
      <c r="D3466" s="5" t="s">
        <v>36</v>
      </c>
      <c r="E3466" s="5" t="s">
        <v>303</v>
      </c>
      <c r="F3466" s="9">
        <v>57</v>
      </c>
      <c r="G3466" s="9">
        <v>611</v>
      </c>
      <c r="H3466" s="5" t="s">
        <v>20</v>
      </c>
      <c r="I3466" s="5" t="s">
        <v>8116</v>
      </c>
      <c r="J3466" s="12" t="str">
        <f>HYPERLINK("https://www.boe.es/gazeta/dias/1805/07/16/pdfs/GMD-1805-57.pdf#page=7","Abrir facsímil")</f>
        <v>Abrir facsímil</v>
      </c>
      <c r="K3466" s="15" t="s">
        <v>22</v>
      </c>
    </row>
    <row r="3467" spans="1:11" ht="42" customHeight="1">
      <c r="A3467" s="4" t="s">
        <v>8117</v>
      </c>
      <c r="B3467" s="5" t="s">
        <v>8117</v>
      </c>
      <c r="C3467" s="5" t="s">
        <v>35</v>
      </c>
      <c r="D3467" s="5" t="s">
        <v>36</v>
      </c>
      <c r="E3467" s="5" t="s">
        <v>141</v>
      </c>
      <c r="F3467" s="9">
        <v>82</v>
      </c>
      <c r="G3467" s="9">
        <v>870</v>
      </c>
      <c r="H3467" s="5" t="s">
        <v>20</v>
      </c>
      <c r="I3467" s="5" t="s">
        <v>8118</v>
      </c>
      <c r="J3467" s="12" t="str">
        <f>HYPERLINK("https://www.boe.es/gazeta/dias/1805/10/11/pdfs/GMD-1805-82.pdf#page=10","Abrir facsímil")</f>
        <v>Abrir facsímil</v>
      </c>
      <c r="K3467" s="15" t="s">
        <v>22</v>
      </c>
    </row>
    <row r="3468" spans="1:11" ht="42" customHeight="1">
      <c r="A3468" s="4" t="s">
        <v>8119</v>
      </c>
      <c r="B3468" s="5" t="s">
        <v>8119</v>
      </c>
      <c r="C3468" s="5" t="s">
        <v>35</v>
      </c>
      <c r="D3468" s="5" t="s">
        <v>36</v>
      </c>
      <c r="E3468" s="5" t="s">
        <v>787</v>
      </c>
      <c r="F3468" s="9">
        <v>95</v>
      </c>
      <c r="G3468" s="9">
        <v>1021</v>
      </c>
      <c r="H3468" s="5" t="s">
        <v>20</v>
      </c>
      <c r="I3468" s="5" t="s">
        <v>8120</v>
      </c>
      <c r="J3468" s="12" t="str">
        <f>HYPERLINK("https://www.boe.es/gazeta/dias/1805/11/26/pdfs/GMD-1805-95.pdf#page=9","Abrir facsímil")</f>
        <v>Abrir facsímil</v>
      </c>
      <c r="K3468" s="15" t="s">
        <v>22</v>
      </c>
    </row>
    <row r="3469" spans="1:11" ht="42" customHeight="1">
      <c r="A3469" s="4" t="s">
        <v>8121</v>
      </c>
      <c r="B3469" s="5" t="s">
        <v>8121</v>
      </c>
      <c r="C3469" s="5" t="s">
        <v>35</v>
      </c>
      <c r="D3469" s="5" t="s">
        <v>36</v>
      </c>
      <c r="E3469" s="5" t="s">
        <v>217</v>
      </c>
      <c r="F3469" s="9">
        <v>96</v>
      </c>
      <c r="G3469" s="9">
        <v>1030</v>
      </c>
      <c r="H3469" s="5" t="s">
        <v>20</v>
      </c>
      <c r="I3469" s="5" t="s">
        <v>8122</v>
      </c>
      <c r="J3469" s="12" t="str">
        <f>HYPERLINK("https://www.boe.es/gazeta/dias/1805/11/29/pdfs/GMD-1805-96.pdf#page=6","Abrir facsímil")</f>
        <v>Abrir facsímil</v>
      </c>
      <c r="K3469" s="15" t="s">
        <v>22</v>
      </c>
    </row>
    <row r="3470" spans="1:11" ht="42" customHeight="1">
      <c r="A3470" s="4" t="s">
        <v>8123</v>
      </c>
      <c r="B3470" s="5" t="s">
        <v>8123</v>
      </c>
      <c r="C3470" s="5" t="s">
        <v>35</v>
      </c>
      <c r="D3470" s="5" t="s">
        <v>36</v>
      </c>
      <c r="E3470" s="5" t="s">
        <v>67</v>
      </c>
      <c r="F3470" s="9">
        <v>98</v>
      </c>
      <c r="G3470" s="9">
        <v>1058</v>
      </c>
      <c r="H3470" s="5" t="s">
        <v>20</v>
      </c>
      <c r="I3470" s="5" t="s">
        <v>8124</v>
      </c>
      <c r="J3470" s="12" t="str">
        <f>HYPERLINK("https://www.boe.es/gazeta/dias/1805/12/06/pdfs/GMD-1805-98.pdf#page=10","Abrir facsímil")</f>
        <v>Abrir facsímil</v>
      </c>
      <c r="K3470" s="15" t="s">
        <v>22</v>
      </c>
    </row>
    <row r="3471" spans="1:11" ht="42" customHeight="1">
      <c r="A3471" s="4" t="s">
        <v>8125</v>
      </c>
      <c r="B3471" s="5" t="s">
        <v>8125</v>
      </c>
      <c r="C3471" s="5" t="s">
        <v>85</v>
      </c>
      <c r="D3471" s="5" t="s">
        <v>86</v>
      </c>
      <c r="E3471" s="5" t="s">
        <v>649</v>
      </c>
      <c r="F3471" s="9">
        <v>7</v>
      </c>
      <c r="G3471" s="9">
        <v>74</v>
      </c>
      <c r="H3471" s="5" t="s">
        <v>20</v>
      </c>
      <c r="I3471" s="5" t="s">
        <v>8126</v>
      </c>
      <c r="J3471" s="12" t="str">
        <f>HYPERLINK("https://www.boe.es/gazeta/dias/1805/01/22/pdfs/GMD-1805-7.pdf#page=6","Abrir facsímil")</f>
        <v>Abrir facsímil</v>
      </c>
      <c r="K3471" s="15" t="s">
        <v>22</v>
      </c>
    </row>
    <row r="3472" spans="1:11" ht="42" customHeight="1">
      <c r="A3472" s="4" t="s">
        <v>8127</v>
      </c>
      <c r="B3472" s="5" t="s">
        <v>8127</v>
      </c>
      <c r="C3472" s="5" t="s">
        <v>184</v>
      </c>
      <c r="D3472" s="5" t="s">
        <v>86</v>
      </c>
      <c r="E3472" s="5" t="s">
        <v>138</v>
      </c>
      <c r="F3472" s="9">
        <v>102</v>
      </c>
      <c r="G3472" s="9">
        <v>1105</v>
      </c>
      <c r="H3472" s="5" t="s">
        <v>20</v>
      </c>
      <c r="I3472" s="5" t="s">
        <v>8128</v>
      </c>
      <c r="J3472" s="12" t="str">
        <f>HYPERLINK("https://www.boe.es/gazeta/dias/1805/12/20/pdfs/GMD-1805-102.pdf#page=9","Abrir facsímil")</f>
        <v>Abrir facsímil</v>
      </c>
      <c r="K3472" s="15" t="s">
        <v>22</v>
      </c>
    </row>
    <row r="3473" spans="1:11" ht="42" customHeight="1">
      <c r="A3473" s="4" t="s">
        <v>8129</v>
      </c>
      <c r="B3473" s="5" t="s">
        <v>8129</v>
      </c>
      <c r="C3473" s="5" t="s">
        <v>35</v>
      </c>
      <c r="D3473" s="5" t="s">
        <v>36</v>
      </c>
      <c r="E3473" s="5" t="s">
        <v>506</v>
      </c>
      <c r="F3473" s="9">
        <v>80</v>
      </c>
      <c r="G3473" s="9">
        <v>850</v>
      </c>
      <c r="H3473" s="5" t="s">
        <v>20</v>
      </c>
      <c r="I3473" s="5" t="s">
        <v>8130</v>
      </c>
      <c r="J3473" s="12" t="str">
        <f>HYPERLINK("https://www.boe.es/gazeta/dias/1805/10/04/pdfs/GMD-1805-80.pdf#page=10","Abrir facsímil")</f>
        <v>Abrir facsímil</v>
      </c>
      <c r="K3473" s="15" t="s">
        <v>22</v>
      </c>
    </row>
    <row r="3474" spans="1:11" ht="42" customHeight="1">
      <c r="A3474" s="4" t="s">
        <v>8131</v>
      </c>
      <c r="B3474" s="5" t="s">
        <v>8131</v>
      </c>
      <c r="C3474" s="5" t="s">
        <v>35</v>
      </c>
      <c r="D3474" s="5" t="s">
        <v>36</v>
      </c>
      <c r="E3474" s="5" t="s">
        <v>144</v>
      </c>
      <c r="F3474" s="9">
        <v>85</v>
      </c>
      <c r="G3474" s="9">
        <v>902</v>
      </c>
      <c r="H3474" s="5" t="s">
        <v>20</v>
      </c>
      <c r="I3474" s="5" t="s">
        <v>8132</v>
      </c>
      <c r="J3474" s="12" t="str">
        <f>HYPERLINK("https://www.boe.es/gazeta/dias/1805/10/22/pdfs/GMD-1805-85.pdf#page=10","Abrir facsímil")</f>
        <v>Abrir facsímil</v>
      </c>
      <c r="K3474" s="15" t="s">
        <v>22</v>
      </c>
    </row>
    <row r="3475" spans="1:11" ht="42" customHeight="1">
      <c r="A3475" s="4" t="s">
        <v>8133</v>
      </c>
      <c r="B3475" s="5" t="s">
        <v>8133</v>
      </c>
      <c r="C3475" s="5" t="s">
        <v>35</v>
      </c>
      <c r="D3475" s="5" t="s">
        <v>36</v>
      </c>
      <c r="E3475" s="5" t="s">
        <v>303</v>
      </c>
      <c r="F3475" s="9">
        <v>57</v>
      </c>
      <c r="G3475" s="9">
        <v>611</v>
      </c>
      <c r="H3475" s="5" t="s">
        <v>20</v>
      </c>
      <c r="I3475" s="5" t="s">
        <v>8134</v>
      </c>
      <c r="J3475" s="12" t="str">
        <f>HYPERLINK("https://www.boe.es/gazeta/dias/1805/07/16/pdfs/GMD-1805-57.pdf#page=7","Abrir facsímil")</f>
        <v>Abrir facsímil</v>
      </c>
      <c r="K3475" s="15" t="s">
        <v>22</v>
      </c>
    </row>
    <row r="3476" spans="1:11" ht="42" customHeight="1">
      <c r="A3476" s="4" t="s">
        <v>8135</v>
      </c>
      <c r="B3476" s="5" t="s">
        <v>8135</v>
      </c>
      <c r="C3476" s="5" t="s">
        <v>35</v>
      </c>
      <c r="D3476" s="5" t="s">
        <v>36</v>
      </c>
      <c r="E3476" s="5" t="s">
        <v>958</v>
      </c>
      <c r="F3476" s="9">
        <v>58</v>
      </c>
      <c r="G3476" s="9">
        <v>620</v>
      </c>
      <c r="H3476" s="5" t="s">
        <v>20</v>
      </c>
      <c r="I3476" s="5" t="s">
        <v>8136</v>
      </c>
      <c r="J3476" s="12" t="str">
        <f>HYPERLINK("https://www.boe.es/gazeta/dias/1805/07/19/pdfs/GMD-1805-58.pdf#page=4","Abrir facsímil")</f>
        <v>Abrir facsímil</v>
      </c>
      <c r="K3476" s="15" t="s">
        <v>22</v>
      </c>
    </row>
    <row r="3477" spans="1:11" ht="42" customHeight="1">
      <c r="A3477" s="4" t="s">
        <v>8137</v>
      </c>
      <c r="B3477" s="5" t="s">
        <v>8137</v>
      </c>
      <c r="C3477" s="5" t="s">
        <v>35</v>
      </c>
      <c r="D3477" s="5" t="s">
        <v>36</v>
      </c>
      <c r="E3477" s="5" t="s">
        <v>63</v>
      </c>
      <c r="F3477" s="9">
        <v>101</v>
      </c>
      <c r="G3477" s="9">
        <v>1091</v>
      </c>
      <c r="H3477" s="5" t="s">
        <v>20</v>
      </c>
      <c r="I3477" s="5" t="s">
        <v>8138</v>
      </c>
      <c r="J3477" s="12" t="str">
        <f>HYPERLINK("https://www.boe.es/gazeta/dias/1805/12/17/pdfs/GMD-1805-101.pdf#page=7","Abrir facsímil")</f>
        <v>Abrir facsímil</v>
      </c>
      <c r="K3477" s="15" t="s">
        <v>22</v>
      </c>
    </row>
    <row r="3478" spans="1:11" ht="42" customHeight="1">
      <c r="A3478" s="4" t="s">
        <v>8139</v>
      </c>
      <c r="B3478" s="5" t="s">
        <v>8139</v>
      </c>
      <c r="C3478" s="5" t="s">
        <v>35</v>
      </c>
      <c r="D3478" s="5" t="s">
        <v>36</v>
      </c>
      <c r="E3478" s="5" t="s">
        <v>144</v>
      </c>
      <c r="F3478" s="9">
        <v>85</v>
      </c>
      <c r="G3478" s="9">
        <v>902</v>
      </c>
      <c r="H3478" s="5" t="s">
        <v>20</v>
      </c>
      <c r="I3478" s="5" t="s">
        <v>8140</v>
      </c>
      <c r="J3478" s="12" t="str">
        <f>HYPERLINK("https://www.boe.es/gazeta/dias/1805/10/22/pdfs/GMD-1805-85.pdf#page=10","Abrir facsímil")</f>
        <v>Abrir facsímil</v>
      </c>
      <c r="K3478" s="15" t="s">
        <v>22</v>
      </c>
    </row>
    <row r="3479" spans="1:11" ht="42" customHeight="1">
      <c r="A3479" s="4" t="s">
        <v>8141</v>
      </c>
      <c r="B3479" s="5" t="s">
        <v>8141</v>
      </c>
      <c r="C3479" s="5" t="s">
        <v>35</v>
      </c>
      <c r="D3479" s="5" t="s">
        <v>36</v>
      </c>
      <c r="E3479" s="5" t="s">
        <v>958</v>
      </c>
      <c r="F3479" s="9">
        <v>58</v>
      </c>
      <c r="G3479" s="9">
        <v>620</v>
      </c>
      <c r="H3479" s="5" t="s">
        <v>20</v>
      </c>
      <c r="I3479" s="5" t="s">
        <v>8142</v>
      </c>
      <c r="J3479" s="12" t="str">
        <f>HYPERLINK("https://www.boe.es/gazeta/dias/1805/07/19/pdfs/GMD-1805-58.pdf#page=4","Abrir facsímil")</f>
        <v>Abrir facsímil</v>
      </c>
      <c r="K3479" s="15" t="s">
        <v>22</v>
      </c>
    </row>
    <row r="3480" spans="1:11" ht="42" customHeight="1">
      <c r="A3480" s="4" t="s">
        <v>8143</v>
      </c>
      <c r="B3480" s="5" t="s">
        <v>8143</v>
      </c>
      <c r="C3480" s="5" t="s">
        <v>17</v>
      </c>
      <c r="D3480" s="5" t="s">
        <v>18</v>
      </c>
      <c r="E3480" s="5" t="s">
        <v>200</v>
      </c>
      <c r="F3480" s="9">
        <v>91</v>
      </c>
      <c r="G3480" s="9">
        <v>977</v>
      </c>
      <c r="H3480" s="5" t="s">
        <v>20</v>
      </c>
      <c r="I3480" s="5" t="s">
        <v>8144</v>
      </c>
      <c r="J3480" s="12" t="str">
        <f>HYPERLINK("https://www.boe.es/gazeta/dias/1805/11/12/pdfs/GMD-1805-91.pdf#page=9","Abrir facsímil")</f>
        <v>Abrir facsímil</v>
      </c>
      <c r="K3480" s="15" t="s">
        <v>22</v>
      </c>
    </row>
    <row r="3481" spans="1:11" ht="42" customHeight="1">
      <c r="A3481" s="4" t="s">
        <v>8145</v>
      </c>
      <c r="B3481" s="5" t="s">
        <v>8145</v>
      </c>
      <c r="C3481" s="5" t="s">
        <v>35</v>
      </c>
      <c r="D3481" s="5" t="s">
        <v>36</v>
      </c>
      <c r="E3481" s="5" t="s">
        <v>67</v>
      </c>
      <c r="F3481" s="9">
        <v>98</v>
      </c>
      <c r="G3481" s="9">
        <v>1060</v>
      </c>
      <c r="H3481" s="5" t="s">
        <v>20</v>
      </c>
      <c r="I3481" s="5" t="s">
        <v>8146</v>
      </c>
      <c r="J3481" s="12" t="str">
        <f>HYPERLINK("https://www.boe.es/gazeta/dias/1805/12/06/pdfs/GMD-1805-98.pdf#page=12","Abrir facsímil")</f>
        <v>Abrir facsímil</v>
      </c>
      <c r="K3481" s="15" t="s">
        <v>22</v>
      </c>
    </row>
    <row r="3482" spans="1:11" ht="42" customHeight="1">
      <c r="A3482" s="4" t="s">
        <v>8147</v>
      </c>
      <c r="B3482" s="5" t="s">
        <v>8147</v>
      </c>
      <c r="C3482" s="5" t="s">
        <v>35</v>
      </c>
      <c r="D3482" s="5" t="s">
        <v>36</v>
      </c>
      <c r="E3482" s="5" t="s">
        <v>181</v>
      </c>
      <c r="F3482" s="9">
        <v>90</v>
      </c>
      <c r="G3482" s="9">
        <v>964</v>
      </c>
      <c r="H3482" s="5" t="s">
        <v>20</v>
      </c>
      <c r="I3482" s="5" t="s">
        <v>8148</v>
      </c>
      <c r="J3482" s="12" t="str">
        <f>HYPERLINK("https://www.boe.es/gazeta/dias/1805/11/08/pdfs/GMD-1805-90.pdf#page=8","Abrir facsímil")</f>
        <v>Abrir facsímil</v>
      </c>
      <c r="K3482" s="15" t="s">
        <v>22</v>
      </c>
    </row>
    <row r="3483" spans="1:11" ht="42" customHeight="1">
      <c r="A3483" s="4" t="s">
        <v>8149</v>
      </c>
      <c r="B3483" s="5" t="s">
        <v>8149</v>
      </c>
      <c r="C3483" s="5" t="s">
        <v>52</v>
      </c>
      <c r="D3483" s="5" t="s">
        <v>53</v>
      </c>
      <c r="E3483" s="5" t="s">
        <v>144</v>
      </c>
      <c r="F3483" s="9">
        <v>85</v>
      </c>
      <c r="G3483" s="9" t="s">
        <v>1002</v>
      </c>
      <c r="H3483" s="5" t="s">
        <v>20</v>
      </c>
      <c r="I3483" s="5" t="s">
        <v>8150</v>
      </c>
      <c r="J3483" s="12" t="str">
        <f>HYPERLINK("https://www.boe.es/gazeta/dias/1805/10/22/pdfs/GMD-C-1805-85.pdf#page=7","Abrir facsímil")</f>
        <v>Abrir facsímil</v>
      </c>
      <c r="K3483" s="15" t="s">
        <v>22</v>
      </c>
    </row>
    <row r="3484" spans="1:11" ht="42" customHeight="1">
      <c r="A3484" s="4" t="s">
        <v>8151</v>
      </c>
      <c r="B3484" s="5" t="s">
        <v>8151</v>
      </c>
      <c r="C3484" s="5" t="s">
        <v>29</v>
      </c>
      <c r="D3484" s="5" t="s">
        <v>30</v>
      </c>
      <c r="E3484" s="5" t="s">
        <v>303</v>
      </c>
      <c r="F3484" s="9">
        <v>57</v>
      </c>
      <c r="G3484" s="9">
        <v>610</v>
      </c>
      <c r="H3484" s="5" t="s">
        <v>20</v>
      </c>
      <c r="I3484" s="5" t="s">
        <v>8152</v>
      </c>
      <c r="J3484" s="12" t="str">
        <f>HYPERLINK("https://www.boe.es/gazeta/dias/1805/07/16/pdfs/GMD-1805-57.pdf#page=6","Abrir facsímil")</f>
        <v>Abrir facsímil</v>
      </c>
      <c r="K3484" s="15" t="s">
        <v>22</v>
      </c>
    </row>
    <row r="3485" spans="1:11" ht="42" customHeight="1">
      <c r="A3485" s="4" t="s">
        <v>8153</v>
      </c>
      <c r="B3485" s="5" t="s">
        <v>8153</v>
      </c>
      <c r="C3485" s="5" t="s">
        <v>35</v>
      </c>
      <c r="D3485" s="5" t="s">
        <v>36</v>
      </c>
      <c r="E3485" s="5" t="s">
        <v>226</v>
      </c>
      <c r="F3485" s="9">
        <v>73</v>
      </c>
      <c r="G3485" s="9">
        <v>774</v>
      </c>
      <c r="H3485" s="5" t="s">
        <v>20</v>
      </c>
      <c r="I3485" s="5" t="s">
        <v>8154</v>
      </c>
      <c r="J3485" s="12" t="str">
        <f>HYPERLINK("https://www.boe.es/gazeta/dias/1805/09/10/pdfs/GMD-1805-73.pdf#page=6","Abrir facsímil")</f>
        <v>Abrir facsímil</v>
      </c>
      <c r="K3485" s="15" t="s">
        <v>22</v>
      </c>
    </row>
    <row r="3486" spans="1:11" ht="42" customHeight="1">
      <c r="A3486" s="4" t="s">
        <v>8155</v>
      </c>
      <c r="B3486" s="5" t="s">
        <v>8155</v>
      </c>
      <c r="C3486" s="5" t="s">
        <v>85</v>
      </c>
      <c r="D3486" s="5" t="s">
        <v>86</v>
      </c>
      <c r="E3486" s="5" t="s">
        <v>192</v>
      </c>
      <c r="F3486" s="9">
        <v>105</v>
      </c>
      <c r="G3486" s="9">
        <v>1137</v>
      </c>
      <c r="H3486" s="5" t="s">
        <v>20</v>
      </c>
      <c r="I3486" s="5" t="s">
        <v>8156</v>
      </c>
      <c r="J3486" s="12" t="str">
        <f>HYPERLINK("https://www.boe.es/gazeta/dias/1805/12/31/pdfs/GMD-1805-105.pdf#page=9","Abrir facsímil")</f>
        <v>Abrir facsímil</v>
      </c>
      <c r="K3486" s="15" t="s">
        <v>22</v>
      </c>
    </row>
    <row r="3487" spans="1:11" ht="42" customHeight="1">
      <c r="A3487" s="4" t="s">
        <v>8157</v>
      </c>
      <c r="B3487" s="5" t="s">
        <v>8158</v>
      </c>
      <c r="C3487" s="5" t="s">
        <v>35</v>
      </c>
      <c r="D3487" s="5" t="s">
        <v>36</v>
      </c>
      <c r="E3487" s="5" t="s">
        <v>387</v>
      </c>
      <c r="F3487" s="9">
        <v>4</v>
      </c>
      <c r="G3487" s="9">
        <v>42</v>
      </c>
      <c r="H3487" s="5" t="s">
        <v>20</v>
      </c>
      <c r="I3487" s="5" t="s">
        <v>8159</v>
      </c>
      <c r="J3487" s="12" t="str">
        <f>HYPERLINK("https://www.boe.es/gazeta/dias/1805/01/11/pdfs/GMD-1805-4.pdf#page=10","Abrir facsímil")</f>
        <v>Abrir facsímil</v>
      </c>
      <c r="K3487" s="15" t="s">
        <v>22</v>
      </c>
    </row>
    <row r="3488" spans="1:11" ht="42" customHeight="1">
      <c r="A3488" s="4" t="s">
        <v>8160</v>
      </c>
      <c r="B3488" s="5" t="s">
        <v>8160</v>
      </c>
      <c r="C3488" s="5" t="s">
        <v>35</v>
      </c>
      <c r="D3488" s="5" t="s">
        <v>36</v>
      </c>
      <c r="E3488" s="5" t="s">
        <v>303</v>
      </c>
      <c r="F3488" s="9">
        <v>57</v>
      </c>
      <c r="G3488" s="9">
        <v>611</v>
      </c>
      <c r="H3488" s="5" t="s">
        <v>20</v>
      </c>
      <c r="I3488" s="5" t="s">
        <v>8161</v>
      </c>
      <c r="J3488" s="12" t="str">
        <f>HYPERLINK("https://www.boe.es/gazeta/dias/1805/07/16/pdfs/GMD-1805-57.pdf#page=7","Abrir facsímil")</f>
        <v>Abrir facsímil</v>
      </c>
      <c r="K3488" s="15" t="s">
        <v>22</v>
      </c>
    </row>
    <row r="3489" spans="1:11" ht="42" customHeight="1">
      <c r="A3489" s="4" t="s">
        <v>8162</v>
      </c>
      <c r="B3489" s="5" t="s">
        <v>8162</v>
      </c>
      <c r="C3489" s="5" t="s">
        <v>35</v>
      </c>
      <c r="D3489" s="5" t="s">
        <v>36</v>
      </c>
      <c r="E3489" s="5" t="s">
        <v>958</v>
      </c>
      <c r="F3489" s="9">
        <v>58</v>
      </c>
      <c r="G3489" s="9">
        <v>622</v>
      </c>
      <c r="H3489" s="5" t="s">
        <v>20</v>
      </c>
      <c r="I3489" s="5" t="s">
        <v>8163</v>
      </c>
      <c r="J3489" s="12" t="str">
        <f>HYPERLINK("https://www.boe.es/gazeta/dias/1805/07/19/pdfs/GMD-1805-58.pdf#page=6","Abrir facsímil")</f>
        <v>Abrir facsímil</v>
      </c>
      <c r="K3489" s="15" t="s">
        <v>22</v>
      </c>
    </row>
    <row r="3490" spans="1:11" ht="42" customHeight="1">
      <c r="A3490" s="4" t="s">
        <v>8164</v>
      </c>
      <c r="B3490" s="5" t="s">
        <v>8164</v>
      </c>
      <c r="C3490" s="5" t="s">
        <v>35</v>
      </c>
      <c r="D3490" s="5" t="s">
        <v>36</v>
      </c>
      <c r="E3490" s="5" t="s">
        <v>787</v>
      </c>
      <c r="F3490" s="9">
        <v>95</v>
      </c>
      <c r="G3490" s="9" t="s">
        <v>222</v>
      </c>
      <c r="H3490" s="5" t="s">
        <v>20</v>
      </c>
      <c r="I3490" s="5" t="s">
        <v>8165</v>
      </c>
      <c r="J3490" s="12" t="str">
        <f>HYPERLINK("https://www.boe.es/gazeta/dias/1805/11/26/pdfs/GMD-C-1805-95.pdf#page=1","Abrir facsímil")</f>
        <v>Abrir facsímil</v>
      </c>
      <c r="K3490" s="15" t="s">
        <v>22</v>
      </c>
    </row>
    <row r="3491" spans="1:11" ht="42" customHeight="1">
      <c r="A3491" s="4" t="s">
        <v>8166</v>
      </c>
      <c r="B3491" s="5" t="s">
        <v>8166</v>
      </c>
      <c r="C3491" s="5" t="s">
        <v>17</v>
      </c>
      <c r="D3491" s="5" t="s">
        <v>18</v>
      </c>
      <c r="E3491" s="5" t="s">
        <v>114</v>
      </c>
      <c r="F3491" s="9">
        <v>17</v>
      </c>
      <c r="G3491" s="9">
        <v>178</v>
      </c>
      <c r="H3491" s="5" t="s">
        <v>20</v>
      </c>
      <c r="I3491" s="5" t="s">
        <v>8167</v>
      </c>
      <c r="J3491" s="12" t="str">
        <f>HYPERLINK("https://www.boe.es/gazeta/dias/1805/02/26/pdfs/GMD-1805-17.pdf#page=10","Abrir facsímil")</f>
        <v>Abrir facsímil</v>
      </c>
      <c r="K3491" s="15" t="s">
        <v>22</v>
      </c>
    </row>
    <row r="3492" spans="1:11" ht="42" customHeight="1">
      <c r="A3492" s="4" t="s">
        <v>8168</v>
      </c>
      <c r="B3492" s="5" t="s">
        <v>8168</v>
      </c>
      <c r="C3492" s="5" t="s">
        <v>35</v>
      </c>
      <c r="D3492" s="5" t="s">
        <v>36</v>
      </c>
      <c r="E3492" s="5" t="s">
        <v>200</v>
      </c>
      <c r="F3492" s="9">
        <v>91</v>
      </c>
      <c r="G3492" s="9">
        <v>980</v>
      </c>
      <c r="H3492" s="5" t="s">
        <v>20</v>
      </c>
      <c r="I3492" s="5" t="s">
        <v>8169</v>
      </c>
      <c r="J3492" s="12" t="str">
        <f>HYPERLINK("https://www.boe.es/gazeta/dias/1805/11/12/pdfs/GMD-1805-91.pdf#page=12","Abrir facsímil")</f>
        <v>Abrir facsímil</v>
      </c>
      <c r="K3492" s="15" t="s">
        <v>22</v>
      </c>
    </row>
    <row r="3493" spans="1:11" ht="42" customHeight="1">
      <c r="A3493" s="4" t="s">
        <v>8170</v>
      </c>
      <c r="B3493" s="5" t="s">
        <v>8170</v>
      </c>
      <c r="C3493" s="5" t="s">
        <v>17</v>
      </c>
      <c r="D3493" s="5" t="s">
        <v>18</v>
      </c>
      <c r="E3493" s="5" t="s">
        <v>276</v>
      </c>
      <c r="F3493" s="9">
        <v>51</v>
      </c>
      <c r="G3493" s="9">
        <v>550</v>
      </c>
      <c r="H3493" s="5" t="s">
        <v>20</v>
      </c>
      <c r="I3493" s="5" t="s">
        <v>8171</v>
      </c>
      <c r="J3493" s="12" t="str">
        <f>HYPERLINK("https://www.boe.es/gazeta/dias/1805/06/25/pdfs/GMD-1805-51.pdf#page=6","Abrir facsímil")</f>
        <v>Abrir facsímil</v>
      </c>
      <c r="K3493" s="15" t="s">
        <v>22</v>
      </c>
    </row>
    <row r="3494" spans="1:11" ht="42" customHeight="1">
      <c r="A3494" s="4" t="s">
        <v>8172</v>
      </c>
      <c r="B3494" s="5" t="s">
        <v>8172</v>
      </c>
      <c r="C3494" s="5" t="s">
        <v>35</v>
      </c>
      <c r="D3494" s="5" t="s">
        <v>36</v>
      </c>
      <c r="E3494" s="5" t="s">
        <v>138</v>
      </c>
      <c r="F3494" s="9">
        <v>102</v>
      </c>
      <c r="G3494" s="9">
        <v>1104</v>
      </c>
      <c r="H3494" s="5" t="s">
        <v>20</v>
      </c>
      <c r="I3494" s="5" t="s">
        <v>8173</v>
      </c>
      <c r="J3494" s="12" t="str">
        <f>HYPERLINK("https://www.boe.es/gazeta/dias/1805/12/20/pdfs/GMD-1805-102.pdf#page=8","Abrir facsímil")</f>
        <v>Abrir facsímil</v>
      </c>
      <c r="K3494" s="15" t="s">
        <v>22</v>
      </c>
    </row>
    <row r="3495" spans="1:11" ht="42" customHeight="1">
      <c r="A3495" s="4" t="s">
        <v>8174</v>
      </c>
      <c r="B3495" s="5" t="s">
        <v>8174</v>
      </c>
      <c r="C3495" s="5" t="s">
        <v>35</v>
      </c>
      <c r="D3495" s="5" t="s">
        <v>36</v>
      </c>
      <c r="E3495" s="5" t="s">
        <v>122</v>
      </c>
      <c r="F3495" s="9">
        <v>38</v>
      </c>
      <c r="G3495" s="9">
        <v>411</v>
      </c>
      <c r="H3495" s="5" t="s">
        <v>20</v>
      </c>
      <c r="I3495" s="5" t="s">
        <v>8175</v>
      </c>
      <c r="J3495" s="12" t="str">
        <f>HYPERLINK("https://www.boe.es/gazeta/dias/1805/05/10/pdfs/GMD-1805-38.pdf#page=7","Abrir facsímil")</f>
        <v>Abrir facsímil</v>
      </c>
      <c r="K3495" s="15" t="s">
        <v>22</v>
      </c>
    </row>
    <row r="3496" spans="1:11" ht="42" customHeight="1">
      <c r="A3496" s="4" t="s">
        <v>8176</v>
      </c>
      <c r="B3496" s="5" t="s">
        <v>8176</v>
      </c>
      <c r="C3496" s="5" t="s">
        <v>17</v>
      </c>
      <c r="D3496" s="5" t="s">
        <v>18</v>
      </c>
      <c r="E3496" s="5" t="s">
        <v>107</v>
      </c>
      <c r="F3496" s="9">
        <v>19</v>
      </c>
      <c r="G3496" s="9">
        <v>197</v>
      </c>
      <c r="H3496" s="5" t="s">
        <v>20</v>
      </c>
      <c r="I3496" s="5" t="s">
        <v>8177</v>
      </c>
      <c r="J3496" s="12" t="str">
        <f>HYPERLINK("https://www.boe.es/gazeta/dias/1805/03/05/pdfs/GMD-1805-19.pdf#page=9","Abrir facsímil")</f>
        <v>Abrir facsímil</v>
      </c>
      <c r="K3496" s="15" t="s">
        <v>22</v>
      </c>
    </row>
    <row r="3497" spans="1:11" ht="42" customHeight="1">
      <c r="A3497" s="4" t="s">
        <v>8176</v>
      </c>
      <c r="B3497" s="5" t="s">
        <v>8176</v>
      </c>
      <c r="C3497" s="5" t="s">
        <v>35</v>
      </c>
      <c r="D3497" s="5" t="s">
        <v>36</v>
      </c>
      <c r="E3497" s="5" t="s">
        <v>181</v>
      </c>
      <c r="F3497" s="9">
        <v>90</v>
      </c>
      <c r="G3497" s="9">
        <v>964</v>
      </c>
      <c r="H3497" s="5" t="s">
        <v>20</v>
      </c>
      <c r="I3497" s="5" t="s">
        <v>8178</v>
      </c>
      <c r="J3497" s="12" t="str">
        <f>HYPERLINK("https://www.boe.es/gazeta/dias/1805/11/08/pdfs/GMD-1805-90.pdf#page=8","Abrir facsímil")</f>
        <v>Abrir facsímil</v>
      </c>
      <c r="K3497" s="15" t="s">
        <v>22</v>
      </c>
    </row>
    <row r="3498" spans="1:11" ht="42" customHeight="1">
      <c r="A3498" s="4" t="s">
        <v>8179</v>
      </c>
      <c r="B3498" s="5" t="s">
        <v>8179</v>
      </c>
      <c r="C3498" s="5" t="s">
        <v>85</v>
      </c>
      <c r="D3498" s="5" t="s">
        <v>86</v>
      </c>
      <c r="E3498" s="5" t="s">
        <v>303</v>
      </c>
      <c r="F3498" s="9">
        <v>57</v>
      </c>
      <c r="G3498" s="9">
        <v>610</v>
      </c>
      <c r="H3498" s="5" t="s">
        <v>20</v>
      </c>
      <c r="I3498" s="5" t="s">
        <v>8180</v>
      </c>
      <c r="J3498" s="12" t="str">
        <f>HYPERLINK("https://www.boe.es/gazeta/dias/1805/07/16/pdfs/GMD-1805-57.pdf#page=6","Abrir facsímil")</f>
        <v>Abrir facsímil</v>
      </c>
      <c r="K3498" s="15" t="s">
        <v>22</v>
      </c>
    </row>
    <row r="3499" spans="1:11" ht="42" customHeight="1">
      <c r="A3499" s="4" t="s">
        <v>8181</v>
      </c>
      <c r="B3499" s="5" t="s">
        <v>8181</v>
      </c>
      <c r="C3499" s="5" t="s">
        <v>35</v>
      </c>
      <c r="D3499" s="5" t="s">
        <v>36</v>
      </c>
      <c r="E3499" s="5" t="s">
        <v>327</v>
      </c>
      <c r="F3499" s="9">
        <v>10</v>
      </c>
      <c r="G3499" s="9">
        <v>109</v>
      </c>
      <c r="H3499" s="5" t="s">
        <v>20</v>
      </c>
      <c r="I3499" s="5" t="s">
        <v>8182</v>
      </c>
      <c r="J3499" s="12" t="str">
        <f>HYPERLINK("https://www.boe.es/gazeta/dias/1805/02/01/pdfs/GMD-1805-10.pdf#page=5","Abrir facsímil")</f>
        <v>Abrir facsímil</v>
      </c>
      <c r="K3499" s="15" t="s">
        <v>22</v>
      </c>
    </row>
    <row r="3500" spans="1:11" ht="42" customHeight="1">
      <c r="A3500" s="4" t="s">
        <v>8183</v>
      </c>
      <c r="B3500" s="5" t="s">
        <v>8183</v>
      </c>
      <c r="C3500" s="5" t="s">
        <v>17</v>
      </c>
      <c r="D3500" s="5" t="s">
        <v>18</v>
      </c>
      <c r="E3500" s="5" t="s">
        <v>649</v>
      </c>
      <c r="F3500" s="9">
        <v>7</v>
      </c>
      <c r="G3500" s="9">
        <v>75</v>
      </c>
      <c r="H3500" s="5" t="s">
        <v>20</v>
      </c>
      <c r="I3500" s="5" t="s">
        <v>8184</v>
      </c>
      <c r="J3500" s="12" t="str">
        <f>HYPERLINK("https://www.boe.es/gazeta/dias/1805/01/22/pdfs/GMD-1805-7.pdf#page=7","Abrir facsímil")</f>
        <v>Abrir facsímil</v>
      </c>
      <c r="K3500" s="15" t="s">
        <v>22</v>
      </c>
    </row>
    <row r="3501" spans="1:11" ht="42" customHeight="1">
      <c r="A3501" s="4" t="s">
        <v>8185</v>
      </c>
      <c r="B3501" s="5" t="s">
        <v>8185</v>
      </c>
      <c r="C3501" s="5" t="s">
        <v>35</v>
      </c>
      <c r="D3501" s="5" t="s">
        <v>36</v>
      </c>
      <c r="E3501" s="5" t="s">
        <v>387</v>
      </c>
      <c r="F3501" s="9">
        <v>4</v>
      </c>
      <c r="G3501" s="9">
        <v>42</v>
      </c>
      <c r="H3501" s="5" t="s">
        <v>20</v>
      </c>
      <c r="I3501" s="5" t="s">
        <v>8186</v>
      </c>
      <c r="J3501" s="12" t="str">
        <f>HYPERLINK("https://www.boe.es/gazeta/dias/1805/01/11/pdfs/GMD-1805-4.pdf#page=10","Abrir facsímil")</f>
        <v>Abrir facsímil</v>
      </c>
      <c r="K3501" s="15" t="s">
        <v>22</v>
      </c>
    </row>
    <row r="3502" spans="1:11" ht="42" customHeight="1">
      <c r="A3502" s="4" t="s">
        <v>8187</v>
      </c>
      <c r="B3502" s="5" t="s">
        <v>8188</v>
      </c>
      <c r="C3502" s="5" t="s">
        <v>35</v>
      </c>
      <c r="D3502" s="5" t="s">
        <v>36</v>
      </c>
      <c r="E3502" s="5" t="s">
        <v>91</v>
      </c>
      <c r="F3502" s="9">
        <v>28</v>
      </c>
      <c r="G3502" s="9">
        <v>299</v>
      </c>
      <c r="H3502" s="5" t="s">
        <v>20</v>
      </c>
      <c r="I3502" s="5" t="s">
        <v>8189</v>
      </c>
      <c r="J3502" s="12" t="str">
        <f>HYPERLINK("https://www.boe.es/gazeta/dias/1805/04/05/pdfs/GMD-1805-28.pdf#page=7","Abrir facsímil")</f>
        <v>Abrir facsímil</v>
      </c>
      <c r="K3502" s="15" t="s">
        <v>22</v>
      </c>
    </row>
    <row r="3503" spans="1:11" ht="42" customHeight="1">
      <c r="A3503" s="4" t="s">
        <v>8187</v>
      </c>
      <c r="B3503" s="5" t="s">
        <v>8188</v>
      </c>
      <c r="C3503" s="5" t="s">
        <v>17</v>
      </c>
      <c r="D3503" s="5" t="s">
        <v>18</v>
      </c>
      <c r="E3503" s="5" t="s">
        <v>729</v>
      </c>
      <c r="F3503" s="9">
        <v>61</v>
      </c>
      <c r="G3503" s="9">
        <v>654</v>
      </c>
      <c r="H3503" s="5" t="s">
        <v>20</v>
      </c>
      <c r="I3503" s="5" t="s">
        <v>8190</v>
      </c>
      <c r="J3503" s="12" t="str">
        <f>HYPERLINK("https://www.boe.es/gazeta/dias/1805/07/30/pdfs/GMD-1805-61.pdf#page=6","Abrir facsímil")</f>
        <v>Abrir facsímil</v>
      </c>
      <c r="K3503" s="15" t="s">
        <v>22</v>
      </c>
    </row>
    <row r="3504" spans="1:11" ht="42" customHeight="1">
      <c r="A3504" s="4" t="s">
        <v>8187</v>
      </c>
      <c r="B3504" s="5" t="s">
        <v>8188</v>
      </c>
      <c r="C3504" s="5" t="s">
        <v>35</v>
      </c>
      <c r="D3504" s="5" t="s">
        <v>36</v>
      </c>
      <c r="E3504" s="5" t="s">
        <v>539</v>
      </c>
      <c r="F3504" s="9">
        <v>97</v>
      </c>
      <c r="G3504" s="9">
        <v>1045</v>
      </c>
      <c r="H3504" s="5" t="s">
        <v>20</v>
      </c>
      <c r="I3504" s="5" t="s">
        <v>8191</v>
      </c>
      <c r="J3504" s="12" t="str">
        <f>HYPERLINK("https://www.boe.es/gazeta/dias/1805/12/03/pdfs/GMD-1805-97.pdf#page=9","Abrir facsímil")</f>
        <v>Abrir facsímil</v>
      </c>
      <c r="K3504" s="15" t="s">
        <v>22</v>
      </c>
    </row>
    <row r="3505" spans="1:11" ht="42" customHeight="1">
      <c r="A3505" s="4" t="s">
        <v>8192</v>
      </c>
      <c r="B3505" s="5" t="s">
        <v>8192</v>
      </c>
      <c r="C3505" s="5" t="s">
        <v>35</v>
      </c>
      <c r="D3505" s="5" t="s">
        <v>36</v>
      </c>
      <c r="E3505" s="5" t="s">
        <v>273</v>
      </c>
      <c r="F3505" s="9">
        <v>8</v>
      </c>
      <c r="G3505" s="9">
        <v>91</v>
      </c>
      <c r="H3505" s="5" t="s">
        <v>20</v>
      </c>
      <c r="I3505" s="5" t="s">
        <v>8193</v>
      </c>
      <c r="J3505" s="12" t="str">
        <f>HYPERLINK("https://www.boe.es/gazeta/dias/1805/01/25/pdfs/GMD-1805-8.pdf#page=11","Abrir facsímil")</f>
        <v>Abrir facsímil</v>
      </c>
      <c r="K3505" s="15" t="s">
        <v>22</v>
      </c>
    </row>
    <row r="3506" spans="1:11" ht="42" customHeight="1">
      <c r="A3506" s="4" t="s">
        <v>8194</v>
      </c>
      <c r="B3506" s="5" t="s">
        <v>8194</v>
      </c>
      <c r="C3506" s="5" t="s">
        <v>17</v>
      </c>
      <c r="D3506" s="5" t="s">
        <v>18</v>
      </c>
      <c r="E3506" s="5" t="s">
        <v>63</v>
      </c>
      <c r="F3506" s="9">
        <v>101</v>
      </c>
      <c r="G3506" s="9">
        <v>1091</v>
      </c>
      <c r="H3506" s="5" t="s">
        <v>20</v>
      </c>
      <c r="I3506" s="5" t="s">
        <v>8195</v>
      </c>
      <c r="J3506" s="12" t="str">
        <f>HYPERLINK("https://www.boe.es/gazeta/dias/1805/12/17/pdfs/GMD-1805-101.pdf#page=7","Abrir facsímil")</f>
        <v>Abrir facsímil</v>
      </c>
      <c r="K3506" s="15" t="s">
        <v>22</v>
      </c>
    </row>
    <row r="3507" spans="1:11" ht="42" customHeight="1">
      <c r="A3507" s="4" t="s">
        <v>8196</v>
      </c>
      <c r="B3507" s="5" t="s">
        <v>8196</v>
      </c>
      <c r="C3507" s="5" t="s">
        <v>17</v>
      </c>
      <c r="D3507" s="5" t="s">
        <v>18</v>
      </c>
      <c r="E3507" s="5" t="s">
        <v>1022</v>
      </c>
      <c r="F3507" s="9">
        <v>52</v>
      </c>
      <c r="G3507" s="9">
        <v>563</v>
      </c>
      <c r="H3507" s="5" t="s">
        <v>20</v>
      </c>
      <c r="I3507" s="5" t="s">
        <v>8197</v>
      </c>
      <c r="J3507" s="12" t="str">
        <f>HYPERLINK("https://www.boe.es/gazeta/dias/1805/06/28/pdfs/GMD-1805-52.pdf#page=11","Abrir facsímil")</f>
        <v>Abrir facsímil</v>
      </c>
      <c r="K3507" s="15" t="s">
        <v>22</v>
      </c>
    </row>
    <row r="3508" spans="1:11" ht="42" customHeight="1">
      <c r="A3508" s="4" t="s">
        <v>8198</v>
      </c>
      <c r="B3508" s="5" t="s">
        <v>8198</v>
      </c>
      <c r="C3508" s="5" t="s">
        <v>29</v>
      </c>
      <c r="D3508" s="5" t="s">
        <v>30</v>
      </c>
      <c r="E3508" s="5" t="s">
        <v>207</v>
      </c>
      <c r="F3508" s="9">
        <v>76</v>
      </c>
      <c r="G3508" s="9">
        <v>808</v>
      </c>
      <c r="H3508" s="5" t="s">
        <v>20</v>
      </c>
      <c r="I3508" s="5" t="s">
        <v>8199</v>
      </c>
      <c r="J3508" s="12" t="str">
        <f>HYPERLINK("https://www.boe.es/gazeta/dias/1805/09/20/pdfs/GMD-1805-76.pdf#page=8","Abrir facsímil")</f>
        <v>Abrir facsímil</v>
      </c>
      <c r="K3508" s="15" t="s">
        <v>22</v>
      </c>
    </row>
    <row r="3509" spans="1:11" ht="42" customHeight="1">
      <c r="A3509" s="4" t="s">
        <v>8200</v>
      </c>
      <c r="B3509" s="5" t="s">
        <v>8200</v>
      </c>
      <c r="C3509" s="5" t="s">
        <v>17</v>
      </c>
      <c r="D3509" s="5" t="s">
        <v>18</v>
      </c>
      <c r="E3509" s="5" t="s">
        <v>200</v>
      </c>
      <c r="F3509" s="9">
        <v>91</v>
      </c>
      <c r="G3509" s="9">
        <v>977</v>
      </c>
      <c r="H3509" s="5" t="s">
        <v>20</v>
      </c>
      <c r="I3509" s="5" t="s">
        <v>8201</v>
      </c>
      <c r="J3509" s="12" t="str">
        <f>HYPERLINK("https://www.boe.es/gazeta/dias/1805/11/12/pdfs/GMD-1805-91.pdf#page=9","Abrir facsímil")</f>
        <v>Abrir facsímil</v>
      </c>
      <c r="K3509" s="15" t="s">
        <v>22</v>
      </c>
    </row>
    <row r="3510" spans="1:11" ht="42" customHeight="1">
      <c r="A3510" s="4" t="s">
        <v>8202</v>
      </c>
      <c r="B3510" s="5" t="s">
        <v>8202</v>
      </c>
      <c r="C3510" s="5" t="s">
        <v>35</v>
      </c>
      <c r="D3510" s="5" t="s">
        <v>36</v>
      </c>
      <c r="E3510" s="5" t="s">
        <v>539</v>
      </c>
      <c r="F3510" s="9">
        <v>97</v>
      </c>
      <c r="G3510" s="9">
        <v>1045</v>
      </c>
      <c r="H3510" s="5" t="s">
        <v>20</v>
      </c>
      <c r="I3510" s="5" t="s">
        <v>8203</v>
      </c>
      <c r="J3510" s="12" t="str">
        <f>HYPERLINK("https://www.boe.es/gazeta/dias/1805/12/03/pdfs/GMD-1805-97.pdf#page=9","Abrir facsímil")</f>
        <v>Abrir facsímil</v>
      </c>
      <c r="K3510" s="15" t="s">
        <v>22</v>
      </c>
    </row>
    <row r="3511" spans="1:11" ht="42" customHeight="1">
      <c r="A3511" s="4" t="s">
        <v>8204</v>
      </c>
      <c r="B3511" s="5" t="s">
        <v>8204</v>
      </c>
      <c r="C3511" s="5" t="s">
        <v>17</v>
      </c>
      <c r="D3511" s="5" t="s">
        <v>18</v>
      </c>
      <c r="E3511" s="5" t="s">
        <v>132</v>
      </c>
      <c r="F3511" s="9">
        <v>2</v>
      </c>
      <c r="G3511" s="9">
        <v>21</v>
      </c>
      <c r="H3511" s="5" t="s">
        <v>20</v>
      </c>
      <c r="I3511" s="5" t="s">
        <v>8205</v>
      </c>
      <c r="J3511" s="12" t="str">
        <f>HYPERLINK("https://www.boe.es/gazeta/dias/1805/01/04/pdfs/GMD-1805-2.pdf#page=9","Abrir facsímil")</f>
        <v>Abrir facsímil</v>
      </c>
      <c r="K3511" s="15" t="s">
        <v>22</v>
      </c>
    </row>
    <row r="3512" spans="1:11" ht="42" customHeight="1">
      <c r="A3512" s="4" t="s">
        <v>8206</v>
      </c>
      <c r="B3512" s="5" t="s">
        <v>8206</v>
      </c>
      <c r="C3512" s="5" t="s">
        <v>85</v>
      </c>
      <c r="D3512" s="5" t="s">
        <v>86</v>
      </c>
      <c r="E3512" s="5" t="s">
        <v>335</v>
      </c>
      <c r="F3512" s="9">
        <v>79</v>
      </c>
      <c r="G3512" s="9">
        <v>838</v>
      </c>
      <c r="H3512" s="5" t="s">
        <v>20</v>
      </c>
      <c r="I3512" s="5" t="s">
        <v>8207</v>
      </c>
      <c r="J3512" s="12" t="str">
        <f>HYPERLINK("https://www.boe.es/gazeta/dias/1805/10/01/pdfs/GMD-1805-79.pdf#page=10","Abrir facsímil")</f>
        <v>Abrir facsímil</v>
      </c>
      <c r="K3512" s="15" t="s">
        <v>22</v>
      </c>
    </row>
    <row r="3513" spans="1:11" ht="42" customHeight="1">
      <c r="A3513" s="4" t="s">
        <v>8208</v>
      </c>
      <c r="B3513" s="5" t="s">
        <v>8208</v>
      </c>
      <c r="C3513" s="5" t="s">
        <v>35</v>
      </c>
      <c r="D3513" s="5" t="s">
        <v>36</v>
      </c>
      <c r="E3513" s="5" t="s">
        <v>63</v>
      </c>
      <c r="F3513" s="9">
        <v>101</v>
      </c>
      <c r="G3513" s="9">
        <v>1093</v>
      </c>
      <c r="H3513" s="5" t="s">
        <v>20</v>
      </c>
      <c r="I3513" s="5" t="s">
        <v>8209</v>
      </c>
      <c r="J3513" s="12" t="str">
        <f>HYPERLINK("https://www.boe.es/gazeta/dias/1805/12/17/pdfs/GMD-1805-101.pdf#page=9","Abrir facsímil")</f>
        <v>Abrir facsímil</v>
      </c>
      <c r="K3513" s="15" t="s">
        <v>22</v>
      </c>
    </row>
    <row r="3514" spans="1:11" ht="42" customHeight="1">
      <c r="A3514" s="4" t="s">
        <v>8210</v>
      </c>
      <c r="B3514" s="5" t="s">
        <v>8210</v>
      </c>
      <c r="C3514" s="5" t="s">
        <v>17</v>
      </c>
      <c r="D3514" s="5" t="s">
        <v>18</v>
      </c>
      <c r="E3514" s="5" t="s">
        <v>63</v>
      </c>
      <c r="F3514" s="9">
        <v>101</v>
      </c>
      <c r="G3514" s="9">
        <v>1092</v>
      </c>
      <c r="H3514" s="5" t="s">
        <v>20</v>
      </c>
      <c r="I3514" s="5" t="s">
        <v>8211</v>
      </c>
      <c r="J3514" s="12" t="str">
        <f>HYPERLINK("https://www.boe.es/gazeta/dias/1805/12/17/pdfs/GMD-1805-101.pdf#page=8","Abrir facsímil")</f>
        <v>Abrir facsímil</v>
      </c>
      <c r="K3514" s="15" t="s">
        <v>22</v>
      </c>
    </row>
    <row r="3515" spans="1:11" ht="42" customHeight="1">
      <c r="A3515" s="4" t="s">
        <v>8212</v>
      </c>
      <c r="B3515" s="5" t="s">
        <v>8212</v>
      </c>
      <c r="C3515" s="5" t="s">
        <v>17</v>
      </c>
      <c r="D3515" s="5" t="s">
        <v>18</v>
      </c>
      <c r="E3515" s="5" t="s">
        <v>71</v>
      </c>
      <c r="F3515" s="9">
        <v>33</v>
      </c>
      <c r="G3515" s="9">
        <v>352</v>
      </c>
      <c r="H3515" s="5" t="s">
        <v>20</v>
      </c>
      <c r="I3515" s="5" t="s">
        <v>8213</v>
      </c>
      <c r="J3515" s="12" t="str">
        <f>HYPERLINK("https://www.boe.es/gazeta/dias/1805/04/23/pdfs/GMD-1805-33.pdf#page=8","Abrir facsímil")</f>
        <v>Abrir facsímil</v>
      </c>
      <c r="K3515" s="15" t="s">
        <v>22</v>
      </c>
    </row>
    <row r="3516" spans="1:11" ht="42" customHeight="1">
      <c r="A3516" s="4" t="s">
        <v>8214</v>
      </c>
      <c r="B3516" s="5" t="s">
        <v>8214</v>
      </c>
      <c r="C3516" s="5" t="s">
        <v>17</v>
      </c>
      <c r="D3516" s="5" t="s">
        <v>18</v>
      </c>
      <c r="E3516" s="5" t="s">
        <v>733</v>
      </c>
      <c r="F3516" s="9">
        <v>45</v>
      </c>
      <c r="G3516" s="9">
        <v>488</v>
      </c>
      <c r="H3516" s="5" t="s">
        <v>20</v>
      </c>
      <c r="I3516" s="5" t="s">
        <v>8215</v>
      </c>
      <c r="J3516" s="12" t="str">
        <f>HYPERLINK("https://www.boe.es/gazeta/dias/1805/06/04/pdfs/GMD-1805-45.pdf#page=12","Abrir facsímil")</f>
        <v>Abrir facsímil</v>
      </c>
      <c r="K3516" s="15" t="s">
        <v>22</v>
      </c>
    </row>
    <row r="3517" spans="1:11" ht="42" customHeight="1">
      <c r="A3517" s="4" t="s">
        <v>8216</v>
      </c>
      <c r="B3517" s="5" t="s">
        <v>8216</v>
      </c>
      <c r="C3517" s="5" t="s">
        <v>35</v>
      </c>
      <c r="D3517" s="5" t="s">
        <v>36</v>
      </c>
      <c r="E3517" s="5" t="s">
        <v>290</v>
      </c>
      <c r="F3517" s="9">
        <v>36</v>
      </c>
      <c r="G3517" s="9">
        <v>389</v>
      </c>
      <c r="H3517" s="5" t="s">
        <v>20</v>
      </c>
      <c r="I3517" s="5" t="s">
        <v>8217</v>
      </c>
      <c r="J3517" s="12" t="str">
        <f>HYPERLINK("https://www.boe.es/gazeta/dias/1805/05/03/pdfs/GMD-1805-36.pdf#page=9","Abrir facsímil")</f>
        <v>Abrir facsímil</v>
      </c>
      <c r="K3517" s="15" t="s">
        <v>22</v>
      </c>
    </row>
    <row r="3518" spans="1:11" ht="42" customHeight="1">
      <c r="A3518" s="4" t="s">
        <v>8218</v>
      </c>
      <c r="B3518" s="5" t="s">
        <v>8218</v>
      </c>
      <c r="C3518" s="5" t="s">
        <v>17</v>
      </c>
      <c r="D3518" s="5" t="s">
        <v>18</v>
      </c>
      <c r="E3518" s="5" t="s">
        <v>91</v>
      </c>
      <c r="F3518" s="9">
        <v>28</v>
      </c>
      <c r="G3518" s="9">
        <v>301</v>
      </c>
      <c r="H3518" s="5" t="s">
        <v>20</v>
      </c>
      <c r="I3518" s="5" t="s">
        <v>8219</v>
      </c>
      <c r="J3518" s="12" t="str">
        <f>HYPERLINK("https://www.boe.es/gazeta/dias/1805/04/05/pdfs/GMD-1805-28.pdf#page=9","Abrir facsímil")</f>
        <v>Abrir facsímil</v>
      </c>
      <c r="K3518" s="15" t="s">
        <v>22</v>
      </c>
    </row>
    <row r="3519" spans="1:11" ht="42" customHeight="1">
      <c r="A3519" s="4" t="s">
        <v>8220</v>
      </c>
      <c r="B3519" s="5" t="s">
        <v>8220</v>
      </c>
      <c r="C3519" s="5" t="s">
        <v>35</v>
      </c>
      <c r="D3519" s="5" t="s">
        <v>36</v>
      </c>
      <c r="E3519" s="5" t="s">
        <v>711</v>
      </c>
      <c r="F3519" s="9">
        <v>63</v>
      </c>
      <c r="G3519" s="9">
        <v>674</v>
      </c>
      <c r="H3519" s="5" t="s">
        <v>20</v>
      </c>
      <c r="I3519" s="5" t="s">
        <v>8221</v>
      </c>
      <c r="J3519" s="12" t="str">
        <f>HYPERLINK("https://www.boe.es/gazeta/dias/1805/08/06/pdfs/GMD-1805-63.pdf#page=10","Abrir facsímil")</f>
        <v>Abrir facsímil</v>
      </c>
      <c r="K3519" s="15" t="s">
        <v>22</v>
      </c>
    </row>
    <row r="3520" spans="1:11" ht="42" customHeight="1">
      <c r="A3520" s="4" t="s">
        <v>8222</v>
      </c>
      <c r="B3520" s="5" t="s">
        <v>8222</v>
      </c>
      <c r="C3520" s="5" t="s">
        <v>35</v>
      </c>
      <c r="D3520" s="5" t="s">
        <v>36</v>
      </c>
      <c r="E3520" s="5" t="s">
        <v>135</v>
      </c>
      <c r="F3520" s="9">
        <v>71</v>
      </c>
      <c r="G3520" s="9">
        <v>757</v>
      </c>
      <c r="H3520" s="5" t="s">
        <v>20</v>
      </c>
      <c r="I3520" s="5" t="s">
        <v>8223</v>
      </c>
      <c r="J3520" s="12" t="str">
        <f>HYPERLINK("https://www.boe.es/gazeta/dias/1805/09/03/pdfs/GMD-1805-71.pdf#page=9","Abrir facsímil")</f>
        <v>Abrir facsímil</v>
      </c>
      <c r="K3520" s="15" t="s">
        <v>22</v>
      </c>
    </row>
    <row r="3521" spans="1:11" ht="42" customHeight="1">
      <c r="A3521" s="4" t="s">
        <v>8224</v>
      </c>
      <c r="B3521" s="5" t="s">
        <v>8225</v>
      </c>
      <c r="C3521" s="5" t="s">
        <v>17</v>
      </c>
      <c r="D3521" s="5" t="s">
        <v>18</v>
      </c>
      <c r="E3521" s="5" t="s">
        <v>226</v>
      </c>
      <c r="F3521" s="9">
        <v>73</v>
      </c>
      <c r="G3521" s="9">
        <v>774</v>
      </c>
      <c r="H3521" s="5" t="s">
        <v>20</v>
      </c>
      <c r="I3521" s="5" t="s">
        <v>8226</v>
      </c>
      <c r="J3521" s="12" t="str">
        <f>HYPERLINK("https://www.boe.es/gazeta/dias/1805/09/10/pdfs/GMD-1805-73.pdf#page=6","Abrir facsímil")</f>
        <v>Abrir facsímil</v>
      </c>
      <c r="K3521" s="15" t="s">
        <v>22</v>
      </c>
    </row>
    <row r="3522" spans="1:11" ht="42" customHeight="1">
      <c r="A3522" s="4" t="s">
        <v>8227</v>
      </c>
      <c r="B3522" s="5" t="s">
        <v>8227</v>
      </c>
      <c r="C3522" s="5" t="s">
        <v>85</v>
      </c>
      <c r="D3522" s="5" t="s">
        <v>86</v>
      </c>
      <c r="E3522" s="5" t="s">
        <v>63</v>
      </c>
      <c r="F3522" s="9">
        <v>101</v>
      </c>
      <c r="G3522" s="9">
        <v>1091</v>
      </c>
      <c r="H3522" s="5" t="s">
        <v>20</v>
      </c>
      <c r="I3522" s="5" t="s">
        <v>8228</v>
      </c>
      <c r="J3522" s="12" t="str">
        <f>HYPERLINK("https://www.boe.es/gazeta/dias/1805/12/17/pdfs/GMD-1805-101.pdf#page=7","Abrir facsímil")</f>
        <v>Abrir facsímil</v>
      </c>
      <c r="K3522" s="15" t="s">
        <v>22</v>
      </c>
    </row>
    <row r="3523" spans="1:11" ht="42" customHeight="1">
      <c r="A3523" s="4" t="s">
        <v>8229</v>
      </c>
      <c r="B3523" s="5" t="s">
        <v>8229</v>
      </c>
      <c r="C3523" s="5" t="s">
        <v>17</v>
      </c>
      <c r="D3523" s="5" t="s">
        <v>18</v>
      </c>
      <c r="E3523" s="5" t="s">
        <v>831</v>
      </c>
      <c r="F3523" s="9">
        <v>62</v>
      </c>
      <c r="G3523" s="9">
        <v>663</v>
      </c>
      <c r="H3523" s="5" t="s">
        <v>20</v>
      </c>
      <c r="I3523" s="5" t="s">
        <v>8230</v>
      </c>
      <c r="J3523" s="12" t="str">
        <f>HYPERLINK("https://www.boe.es/gazeta/dias/1805/08/02/pdfs/GMD-1805-62.pdf#page=7","Abrir facsímil")</f>
        <v>Abrir facsímil</v>
      </c>
      <c r="K3523" s="15" t="s">
        <v>22</v>
      </c>
    </row>
    <row r="3524" spans="1:11" ht="42" customHeight="1">
      <c r="A3524" s="4" t="s">
        <v>8231</v>
      </c>
      <c r="B3524" s="5" t="s">
        <v>8231</v>
      </c>
      <c r="C3524" s="5" t="s">
        <v>35</v>
      </c>
      <c r="D3524" s="5" t="s">
        <v>36</v>
      </c>
      <c r="E3524" s="5" t="s">
        <v>54</v>
      </c>
      <c r="F3524" s="9">
        <v>99</v>
      </c>
      <c r="G3524" s="9">
        <v>1071</v>
      </c>
      <c r="H3524" s="5" t="s">
        <v>20</v>
      </c>
      <c r="I3524" s="5" t="s">
        <v>8232</v>
      </c>
      <c r="J3524" s="12" t="str">
        <f>HYPERLINK("https://www.boe.es/gazeta/dias/1805/12/10/pdfs/GMD-1805-99.pdf#page=11","Abrir facsímil")</f>
        <v>Abrir facsímil</v>
      </c>
      <c r="K3524" s="15" t="s">
        <v>22</v>
      </c>
    </row>
    <row r="3525" spans="1:11" ht="42" customHeight="1">
      <c r="A3525" s="4" t="s">
        <v>8233</v>
      </c>
      <c r="B3525" s="5" t="s">
        <v>8233</v>
      </c>
      <c r="C3525" s="5" t="s">
        <v>85</v>
      </c>
      <c r="D3525" s="5" t="s">
        <v>86</v>
      </c>
      <c r="E3525" s="5" t="s">
        <v>112</v>
      </c>
      <c r="F3525" s="9">
        <v>16</v>
      </c>
      <c r="G3525" s="9">
        <v>166</v>
      </c>
      <c r="H3525" s="5" t="s">
        <v>20</v>
      </c>
      <c r="I3525" s="5" t="s">
        <v>8234</v>
      </c>
      <c r="J3525" s="12" t="str">
        <f>HYPERLINK("https://www.boe.es/gazeta/dias/1805/02/22/pdfs/GMD-1805-16.pdf#page=6","Abrir facsímil")</f>
        <v>Abrir facsímil</v>
      </c>
      <c r="K3525" s="15" t="s">
        <v>22</v>
      </c>
    </row>
    <row r="3526" spans="1:11" ht="42" customHeight="1">
      <c r="A3526" s="4" t="s">
        <v>8235</v>
      </c>
      <c r="B3526" s="5" t="s">
        <v>8235</v>
      </c>
      <c r="C3526" s="5" t="s">
        <v>35</v>
      </c>
      <c r="D3526" s="5" t="s">
        <v>36</v>
      </c>
      <c r="E3526" s="5" t="s">
        <v>163</v>
      </c>
      <c r="F3526" s="9">
        <v>77</v>
      </c>
      <c r="G3526" s="9">
        <v>817</v>
      </c>
      <c r="H3526" s="5" t="s">
        <v>20</v>
      </c>
      <c r="I3526" s="5" t="s">
        <v>8236</v>
      </c>
      <c r="J3526" s="12" t="str">
        <f>HYPERLINK("https://www.boe.es/gazeta/dias/1805/09/24/pdfs/GMD-1805-77.pdf#page=9","Abrir facsímil")</f>
        <v>Abrir facsímil</v>
      </c>
      <c r="K3526" s="15" t="s">
        <v>22</v>
      </c>
    </row>
    <row r="3527" spans="1:11" ht="42" customHeight="1">
      <c r="A3527" s="4" t="s">
        <v>8237</v>
      </c>
      <c r="B3527" s="5" t="s">
        <v>8237</v>
      </c>
      <c r="C3527" s="5" t="s">
        <v>35</v>
      </c>
      <c r="D3527" s="5" t="s">
        <v>36</v>
      </c>
      <c r="E3527" s="5" t="s">
        <v>399</v>
      </c>
      <c r="F3527" s="9">
        <v>39</v>
      </c>
      <c r="G3527" s="9">
        <v>422</v>
      </c>
      <c r="H3527" s="5" t="s">
        <v>20</v>
      </c>
      <c r="I3527" s="5" t="s">
        <v>8238</v>
      </c>
      <c r="J3527" s="12" t="str">
        <f>HYPERLINK("https://www.boe.es/gazeta/dias/1805/05/14/pdfs/GMD-1805-39.pdf#page=10","Abrir facsímil")</f>
        <v>Abrir facsímil</v>
      </c>
      <c r="K3527" s="15" t="s">
        <v>22</v>
      </c>
    </row>
    <row r="3528" spans="1:11" ht="42" customHeight="1">
      <c r="A3528" s="4" t="s">
        <v>8239</v>
      </c>
      <c r="B3528" s="5" t="s">
        <v>8239</v>
      </c>
      <c r="C3528" s="5" t="s">
        <v>17</v>
      </c>
      <c r="D3528" s="5" t="s">
        <v>18</v>
      </c>
      <c r="E3528" s="5" t="s">
        <v>1187</v>
      </c>
      <c r="F3528" s="9">
        <v>40</v>
      </c>
      <c r="G3528" s="9">
        <v>430</v>
      </c>
      <c r="H3528" s="5" t="s">
        <v>20</v>
      </c>
      <c r="I3528" s="5" t="s">
        <v>8240</v>
      </c>
      <c r="J3528" s="12" t="str">
        <f>HYPERLINK("https://www.boe.es/gazeta/dias/1805/05/17/pdfs/GMD-1805-40.pdf#page=6","Abrir facsímil")</f>
        <v>Abrir facsímil</v>
      </c>
      <c r="K3528" s="15" t="s">
        <v>22</v>
      </c>
    </row>
    <row r="3529" spans="1:11" ht="42" customHeight="1">
      <c r="A3529" s="4" t="s">
        <v>8241</v>
      </c>
      <c r="B3529" s="5" t="s">
        <v>8241</v>
      </c>
      <c r="C3529" s="5" t="s">
        <v>35</v>
      </c>
      <c r="D3529" s="5" t="s">
        <v>36</v>
      </c>
      <c r="E3529" s="5" t="s">
        <v>48</v>
      </c>
      <c r="F3529" s="9">
        <v>35</v>
      </c>
      <c r="G3529" s="9">
        <v>379</v>
      </c>
      <c r="H3529" s="5" t="s">
        <v>20</v>
      </c>
      <c r="I3529" s="5" t="s">
        <v>8242</v>
      </c>
      <c r="J3529" s="12" t="str">
        <f>HYPERLINK("https://www.boe.es/gazeta/dias/1805/04/30/pdfs/GMD-1805-35.pdf#page=11","Abrir facsímil")</f>
        <v>Abrir facsímil</v>
      </c>
      <c r="K3529" s="15" t="s">
        <v>22</v>
      </c>
    </row>
    <row r="3530" spans="1:11" ht="42" customHeight="1">
      <c r="A3530" s="4" t="s">
        <v>8243</v>
      </c>
      <c r="B3530" s="5" t="s">
        <v>8243</v>
      </c>
      <c r="C3530" s="5" t="s">
        <v>35</v>
      </c>
      <c r="D3530" s="5" t="s">
        <v>36</v>
      </c>
      <c r="E3530" s="5" t="s">
        <v>163</v>
      </c>
      <c r="F3530" s="9">
        <v>77</v>
      </c>
      <c r="G3530" s="9">
        <v>817</v>
      </c>
      <c r="H3530" s="5" t="s">
        <v>20</v>
      </c>
      <c r="I3530" s="5" t="s">
        <v>8244</v>
      </c>
      <c r="J3530" s="12" t="str">
        <f>HYPERLINK("https://www.boe.es/gazeta/dias/1805/09/24/pdfs/GMD-1805-77.pdf#page=9","Abrir facsímil")</f>
        <v>Abrir facsímil</v>
      </c>
      <c r="K3530" s="15" t="s">
        <v>22</v>
      </c>
    </row>
    <row r="3531" spans="1:11" ht="42" customHeight="1">
      <c r="A3531" s="4" t="s">
        <v>8245</v>
      </c>
      <c r="B3531" s="5" t="s">
        <v>8245</v>
      </c>
      <c r="C3531" s="5" t="s">
        <v>85</v>
      </c>
      <c r="D3531" s="5" t="s">
        <v>86</v>
      </c>
      <c r="E3531" s="5" t="s">
        <v>181</v>
      </c>
      <c r="F3531" s="9">
        <v>90</v>
      </c>
      <c r="G3531" s="9">
        <v>966</v>
      </c>
      <c r="H3531" s="5" t="s">
        <v>20</v>
      </c>
      <c r="I3531" s="5" t="s">
        <v>8246</v>
      </c>
      <c r="J3531" s="12" t="str">
        <f>HYPERLINK("https://www.boe.es/gazeta/dias/1805/11/08/pdfs/GMD-1805-90.pdf#page=10","Abrir facsímil")</f>
        <v>Abrir facsímil</v>
      </c>
      <c r="K3531" s="15" t="s">
        <v>22</v>
      </c>
    </row>
    <row r="3532" spans="1:11" ht="42" customHeight="1">
      <c r="A3532" s="4" t="s">
        <v>8247</v>
      </c>
      <c r="B3532" s="5" t="s">
        <v>8248</v>
      </c>
      <c r="C3532" s="5" t="s">
        <v>35</v>
      </c>
      <c r="D3532" s="5" t="s">
        <v>36</v>
      </c>
      <c r="E3532" s="5" t="s">
        <v>290</v>
      </c>
      <c r="F3532" s="9">
        <v>36</v>
      </c>
      <c r="G3532" s="9">
        <v>389</v>
      </c>
      <c r="H3532" s="5" t="s">
        <v>20</v>
      </c>
      <c r="I3532" s="5" t="s">
        <v>8249</v>
      </c>
      <c r="J3532" s="12" t="str">
        <f>HYPERLINK("https://www.boe.es/gazeta/dias/1805/05/03/pdfs/GMD-1805-36.pdf#page=9","Abrir facsímil")</f>
        <v>Abrir facsímil</v>
      </c>
      <c r="K3532" s="15" t="s">
        <v>22</v>
      </c>
    </row>
    <row r="3533" spans="1:11" ht="42" customHeight="1">
      <c r="A3533" s="4" t="s">
        <v>8250</v>
      </c>
      <c r="B3533" s="5" t="s">
        <v>8250</v>
      </c>
      <c r="C3533" s="5" t="s">
        <v>35</v>
      </c>
      <c r="D3533" s="5" t="s">
        <v>36</v>
      </c>
      <c r="E3533" s="5" t="s">
        <v>24</v>
      </c>
      <c r="F3533" s="9">
        <v>11</v>
      </c>
      <c r="G3533" s="9">
        <v>121</v>
      </c>
      <c r="H3533" s="5" t="s">
        <v>20</v>
      </c>
      <c r="I3533" s="5" t="s">
        <v>8251</v>
      </c>
      <c r="J3533" s="12" t="str">
        <f>HYPERLINK("https://www.boe.es/gazeta/dias/1805/02/05/pdfs/GMD-1805-11.pdf#page=9","Abrir facsímil")</f>
        <v>Abrir facsímil</v>
      </c>
      <c r="K3533" s="15" t="s">
        <v>22</v>
      </c>
    </row>
    <row r="3534" spans="1:11" ht="42" customHeight="1">
      <c r="A3534" s="4" t="s">
        <v>8252</v>
      </c>
      <c r="B3534" s="5" t="s">
        <v>8252</v>
      </c>
      <c r="C3534" s="5" t="s">
        <v>35</v>
      </c>
      <c r="D3534" s="5" t="s">
        <v>36</v>
      </c>
      <c r="E3534" s="5" t="s">
        <v>138</v>
      </c>
      <c r="F3534" s="9">
        <v>102</v>
      </c>
      <c r="G3534" s="9">
        <v>1103</v>
      </c>
      <c r="H3534" s="5" t="s">
        <v>20</v>
      </c>
      <c r="I3534" s="5" t="s">
        <v>8253</v>
      </c>
      <c r="J3534" s="12" t="str">
        <f>HYPERLINK("https://www.boe.es/gazeta/dias/1805/12/20/pdfs/GMD-1805-102.pdf#page=7","Abrir facsímil")</f>
        <v>Abrir facsímil</v>
      </c>
      <c r="K3534" s="15" t="s">
        <v>22</v>
      </c>
    </row>
    <row r="3535" spans="1:11" ht="42" customHeight="1">
      <c r="A3535" s="4" t="s">
        <v>8254</v>
      </c>
      <c r="B3535" s="5" t="s">
        <v>8254</v>
      </c>
      <c r="C3535" s="5" t="s">
        <v>35</v>
      </c>
      <c r="D3535" s="5" t="s">
        <v>36</v>
      </c>
      <c r="E3535" s="5" t="s">
        <v>645</v>
      </c>
      <c r="F3535" s="9">
        <v>55</v>
      </c>
      <c r="G3535" s="9">
        <v>592</v>
      </c>
      <c r="H3535" s="5" t="s">
        <v>20</v>
      </c>
      <c r="I3535" s="5" t="s">
        <v>8255</v>
      </c>
      <c r="J3535" s="12" t="str">
        <f>HYPERLINK("https://www.boe.es/gazeta/dias/1805/07/09/pdfs/GMD-C-1805-55.pdf#page=4","Abrir facsímil")</f>
        <v>Abrir facsímil</v>
      </c>
      <c r="K3535" s="15" t="s">
        <v>22</v>
      </c>
    </row>
    <row r="3536" spans="1:11" ht="42" customHeight="1">
      <c r="A3536" s="4" t="s">
        <v>8254</v>
      </c>
      <c r="B3536" s="5" t="s">
        <v>8254</v>
      </c>
      <c r="C3536" s="5" t="s">
        <v>35</v>
      </c>
      <c r="D3536" s="5" t="s">
        <v>36</v>
      </c>
      <c r="E3536" s="5" t="s">
        <v>207</v>
      </c>
      <c r="F3536" s="9">
        <v>76</v>
      </c>
      <c r="G3536" s="9">
        <v>807</v>
      </c>
      <c r="H3536" s="5" t="s">
        <v>20</v>
      </c>
      <c r="I3536" s="5" t="s">
        <v>8256</v>
      </c>
      <c r="J3536" s="12" t="str">
        <f>HYPERLINK("https://www.boe.es/gazeta/dias/1805/09/20/pdfs/GMD-1805-76.pdf#page=7","Abrir facsímil")</f>
        <v>Abrir facsímil</v>
      </c>
      <c r="K3536" s="15" t="s">
        <v>22</v>
      </c>
    </row>
    <row r="3537" spans="1:11" ht="42" customHeight="1">
      <c r="A3537" s="4" t="s">
        <v>8254</v>
      </c>
      <c r="B3537" s="5" t="s">
        <v>8254</v>
      </c>
      <c r="C3537" s="5" t="s">
        <v>17</v>
      </c>
      <c r="D3537" s="5" t="s">
        <v>18</v>
      </c>
      <c r="E3537" s="5" t="s">
        <v>495</v>
      </c>
      <c r="F3537" s="9">
        <v>103</v>
      </c>
      <c r="G3537" s="9">
        <v>1114</v>
      </c>
      <c r="H3537" s="5" t="s">
        <v>20</v>
      </c>
      <c r="I3537" s="5" t="s">
        <v>8257</v>
      </c>
      <c r="J3537" s="12" t="str">
        <f>HYPERLINK("https://www.boe.es/gazeta/dias/1805/12/24/pdfs/GMD-1805-103.pdf#page=6","Abrir facsímil")</f>
        <v>Abrir facsímil</v>
      </c>
      <c r="K3537" s="15" t="s">
        <v>22</v>
      </c>
    </row>
    <row r="3538" spans="1:11" ht="42" customHeight="1">
      <c r="A3538" s="4" t="s">
        <v>8258</v>
      </c>
      <c r="B3538" s="5" t="s">
        <v>8258</v>
      </c>
      <c r="C3538" s="5" t="s">
        <v>29</v>
      </c>
      <c r="D3538" s="5" t="s">
        <v>30</v>
      </c>
      <c r="E3538" s="5" t="s">
        <v>24</v>
      </c>
      <c r="F3538" s="9">
        <v>11</v>
      </c>
      <c r="G3538" s="9">
        <v>122</v>
      </c>
      <c r="H3538" s="5" t="s">
        <v>20</v>
      </c>
      <c r="I3538" s="5" t="s">
        <v>8259</v>
      </c>
      <c r="J3538" s="12" t="str">
        <f>HYPERLINK("https://www.boe.es/gazeta/dias/1805/02/05/pdfs/GMD-1805-11.pdf#page=10","Abrir facsímil")</f>
        <v>Abrir facsímil</v>
      </c>
      <c r="K3538" s="15" t="s">
        <v>22</v>
      </c>
    </row>
    <row r="3539" spans="1:11" ht="42" customHeight="1">
      <c r="A3539" s="4" t="s">
        <v>8260</v>
      </c>
      <c r="B3539" s="5" t="s">
        <v>8260</v>
      </c>
      <c r="C3539" s="5" t="s">
        <v>85</v>
      </c>
      <c r="D3539" s="5" t="s">
        <v>86</v>
      </c>
      <c r="E3539" s="5" t="s">
        <v>192</v>
      </c>
      <c r="F3539" s="9">
        <v>105</v>
      </c>
      <c r="G3539" s="9">
        <v>1137</v>
      </c>
      <c r="H3539" s="5" t="s">
        <v>20</v>
      </c>
      <c r="I3539" s="5" t="s">
        <v>8261</v>
      </c>
      <c r="J3539" s="12" t="str">
        <f>HYPERLINK("https://www.boe.es/gazeta/dias/1805/12/31/pdfs/GMD-1805-105.pdf#page=9","Abrir facsímil")</f>
        <v>Abrir facsímil</v>
      </c>
      <c r="K3539" s="15" t="s">
        <v>22</v>
      </c>
    </row>
    <row r="3540" spans="1:11" ht="42" customHeight="1">
      <c r="A3540" s="4" t="s">
        <v>8262</v>
      </c>
      <c r="B3540" s="5" t="s">
        <v>8262</v>
      </c>
      <c r="C3540" s="5" t="s">
        <v>35</v>
      </c>
      <c r="D3540" s="5" t="s">
        <v>36</v>
      </c>
      <c r="E3540" s="5" t="s">
        <v>163</v>
      </c>
      <c r="F3540" s="9">
        <v>77</v>
      </c>
      <c r="G3540" s="9">
        <v>817</v>
      </c>
      <c r="H3540" s="5" t="s">
        <v>20</v>
      </c>
      <c r="I3540" s="5" t="s">
        <v>8263</v>
      </c>
      <c r="J3540" s="12" t="str">
        <f>HYPERLINK("https://www.boe.es/gazeta/dias/1805/09/24/pdfs/GMD-1805-77.pdf#page=9","Abrir facsímil")</f>
        <v>Abrir facsímil</v>
      </c>
      <c r="K3540" s="15" t="s">
        <v>22</v>
      </c>
    </row>
    <row r="3541" spans="1:11" ht="42" customHeight="1">
      <c r="A3541" s="4" t="s">
        <v>8262</v>
      </c>
      <c r="B3541" s="5" t="s">
        <v>8262</v>
      </c>
      <c r="C3541" s="5" t="s">
        <v>35</v>
      </c>
      <c r="D3541" s="5" t="s">
        <v>36</v>
      </c>
      <c r="E3541" s="5" t="s">
        <v>539</v>
      </c>
      <c r="F3541" s="9">
        <v>97</v>
      </c>
      <c r="G3541" s="9">
        <v>1045</v>
      </c>
      <c r="H3541" s="5" t="s">
        <v>20</v>
      </c>
      <c r="I3541" s="5" t="s">
        <v>8264</v>
      </c>
      <c r="J3541" s="12" t="str">
        <f>HYPERLINK("https://www.boe.es/gazeta/dias/1805/12/03/pdfs/GMD-1805-97.pdf#page=9","Abrir facsímil")</f>
        <v>Abrir facsímil</v>
      </c>
      <c r="K3541" s="15" t="s">
        <v>22</v>
      </c>
    </row>
    <row r="3542" spans="1:11" ht="42" customHeight="1">
      <c r="A3542" s="4" t="s">
        <v>8265</v>
      </c>
      <c r="B3542" s="5" t="s">
        <v>8265</v>
      </c>
      <c r="C3542" s="5" t="s">
        <v>35</v>
      </c>
      <c r="D3542" s="5" t="s">
        <v>36</v>
      </c>
      <c r="E3542" s="5" t="s">
        <v>850</v>
      </c>
      <c r="F3542" s="9">
        <v>42</v>
      </c>
      <c r="G3542" s="9">
        <v>453</v>
      </c>
      <c r="H3542" s="5" t="s">
        <v>20</v>
      </c>
      <c r="I3542" s="5" t="s">
        <v>8266</v>
      </c>
      <c r="J3542" s="12" t="str">
        <f>HYPERLINK("https://www.boe.es/gazeta/dias/1805/05/24/pdfs/GMD-1805-42.pdf#page=9","Abrir facsímil")</f>
        <v>Abrir facsímil</v>
      </c>
      <c r="K3542" s="15" t="s">
        <v>22</v>
      </c>
    </row>
    <row r="3543" spans="1:11" ht="42" customHeight="1">
      <c r="A3543" s="4" t="s">
        <v>8267</v>
      </c>
      <c r="B3543" s="5" t="s">
        <v>8267</v>
      </c>
      <c r="C3543" s="5" t="s">
        <v>35</v>
      </c>
      <c r="D3543" s="5" t="s">
        <v>36</v>
      </c>
      <c r="E3543" s="5" t="s">
        <v>303</v>
      </c>
      <c r="F3543" s="9">
        <v>57</v>
      </c>
      <c r="G3543" s="9">
        <v>610</v>
      </c>
      <c r="H3543" s="5" t="s">
        <v>20</v>
      </c>
      <c r="I3543" s="5" t="s">
        <v>8268</v>
      </c>
      <c r="J3543" s="12" t="str">
        <f>HYPERLINK("https://www.boe.es/gazeta/dias/1805/07/16/pdfs/GMD-1805-57.pdf#page=6","Abrir facsímil")</f>
        <v>Abrir facsímil</v>
      </c>
      <c r="K3543" s="15" t="s">
        <v>22</v>
      </c>
    </row>
    <row r="3544" spans="1:11" ht="42" customHeight="1">
      <c r="A3544" s="4" t="s">
        <v>8269</v>
      </c>
      <c r="B3544" s="5" t="s">
        <v>8269</v>
      </c>
      <c r="C3544" s="5" t="s">
        <v>52</v>
      </c>
      <c r="D3544" s="5" t="s">
        <v>53</v>
      </c>
      <c r="E3544" s="5" t="s">
        <v>82</v>
      </c>
      <c r="F3544" s="9">
        <v>25</v>
      </c>
      <c r="G3544" s="9" t="s">
        <v>145</v>
      </c>
      <c r="H3544" s="5" t="s">
        <v>20</v>
      </c>
      <c r="I3544" s="5" t="s">
        <v>8270</v>
      </c>
      <c r="J3544" s="12" t="str">
        <f>HYPERLINK("https://www.boe.es/gazeta/dias/1805/03/26/pdfs/GMD-C-1805-25.pdf#page=2","Abrir facsímil")</f>
        <v>Abrir facsímil</v>
      </c>
      <c r="K3544" s="15" t="s">
        <v>22</v>
      </c>
    </row>
    <row r="3545" spans="1:11" ht="42" customHeight="1">
      <c r="A3545" s="4" t="s">
        <v>8271</v>
      </c>
      <c r="B3545" s="5" t="s">
        <v>8271</v>
      </c>
      <c r="C3545" s="5" t="s">
        <v>35</v>
      </c>
      <c r="D3545" s="5" t="s">
        <v>36</v>
      </c>
      <c r="E3545" s="5" t="s">
        <v>1494</v>
      </c>
      <c r="F3545" s="9">
        <v>31</v>
      </c>
      <c r="G3545" s="9">
        <v>333</v>
      </c>
      <c r="H3545" s="5" t="s">
        <v>20</v>
      </c>
      <c r="I3545" s="5" t="s">
        <v>8272</v>
      </c>
      <c r="J3545" s="12" t="str">
        <f>HYPERLINK("https://www.boe.es/gazeta/dias/1805/04/16/pdfs/GMD-1805-31.pdf#page=9","Abrir facsímil")</f>
        <v>Abrir facsímil</v>
      </c>
      <c r="K3545" s="15" t="s">
        <v>22</v>
      </c>
    </row>
    <row r="3546" spans="1:11" ht="42" customHeight="1">
      <c r="A3546" s="4" t="s">
        <v>8273</v>
      </c>
      <c r="B3546" s="5" t="s">
        <v>8273</v>
      </c>
      <c r="C3546" s="5" t="s">
        <v>17</v>
      </c>
      <c r="D3546" s="5" t="s">
        <v>18</v>
      </c>
      <c r="E3546" s="5" t="s">
        <v>59</v>
      </c>
      <c r="F3546" s="9">
        <v>21</v>
      </c>
      <c r="G3546" s="9">
        <v>220</v>
      </c>
      <c r="H3546" s="5" t="s">
        <v>20</v>
      </c>
      <c r="I3546" s="5" t="s">
        <v>8274</v>
      </c>
      <c r="J3546" s="12" t="str">
        <f>HYPERLINK("https://www.boe.es/gazeta/dias/1805/03/12/pdfs/GMD-1805-21.pdf#page=8","Abrir facsímil")</f>
        <v>Abrir facsímil</v>
      </c>
      <c r="K3546" s="15" t="s">
        <v>22</v>
      </c>
    </row>
    <row r="3547" spans="1:11" ht="42" customHeight="1">
      <c r="A3547" s="4" t="s">
        <v>8275</v>
      </c>
      <c r="B3547" s="5" t="s">
        <v>8275</v>
      </c>
      <c r="C3547" s="5" t="s">
        <v>29</v>
      </c>
      <c r="D3547" s="5" t="s">
        <v>30</v>
      </c>
      <c r="E3547" s="5" t="s">
        <v>864</v>
      </c>
      <c r="F3547" s="9">
        <v>88</v>
      </c>
      <c r="G3547" s="9">
        <v>940</v>
      </c>
      <c r="H3547" s="5" t="s">
        <v>20</v>
      </c>
      <c r="I3547" s="5" t="s">
        <v>8276</v>
      </c>
      <c r="J3547" s="12" t="str">
        <f>HYPERLINK("https://www.boe.es/gazeta/dias/1805/11/01/pdfs/GMD-1805-88.pdf#page=12","Abrir facsímil")</f>
        <v>Abrir facsímil</v>
      </c>
      <c r="K3547" s="15" t="s">
        <v>22</v>
      </c>
    </row>
    <row r="3548" spans="1:11" ht="42" customHeight="1">
      <c r="A3548" s="4" t="s">
        <v>8277</v>
      </c>
      <c r="B3548" s="5" t="s">
        <v>8277</v>
      </c>
      <c r="C3548" s="5" t="s">
        <v>52</v>
      </c>
      <c r="D3548" s="5" t="s">
        <v>53</v>
      </c>
      <c r="E3548" s="5" t="s">
        <v>82</v>
      </c>
      <c r="F3548" s="9">
        <v>25</v>
      </c>
      <c r="G3548" s="9" t="s">
        <v>222</v>
      </c>
      <c r="H3548" s="5" t="s">
        <v>20</v>
      </c>
      <c r="I3548" s="5" t="s">
        <v>8278</v>
      </c>
      <c r="J3548" s="12" t="str">
        <f>HYPERLINK("https://www.boe.es/gazeta/dias/1805/03/26/pdfs/GMD-C-1805-25.pdf#page=1","Abrir facsímil")</f>
        <v>Abrir facsímil</v>
      </c>
      <c r="K3548" s="15" t="s">
        <v>22</v>
      </c>
    </row>
    <row r="3549" spans="1:11" ht="42" customHeight="1">
      <c r="A3549" s="4" t="s">
        <v>8279</v>
      </c>
      <c r="B3549" s="5" t="s">
        <v>8279</v>
      </c>
      <c r="C3549" s="5" t="s">
        <v>35</v>
      </c>
      <c r="D3549" s="5" t="s">
        <v>36</v>
      </c>
      <c r="E3549" s="5" t="s">
        <v>188</v>
      </c>
      <c r="F3549" s="9">
        <v>68</v>
      </c>
      <c r="G3549" s="9">
        <v>729</v>
      </c>
      <c r="H3549" s="5" t="s">
        <v>20</v>
      </c>
      <c r="I3549" s="5" t="s">
        <v>8280</v>
      </c>
      <c r="J3549" s="12" t="str">
        <f>HYPERLINK("https://www.boe.es/gazeta/dias/1805/08/23/pdfs/GMD-1805-68.pdf#page=9","Abrir facsímil")</f>
        <v>Abrir facsímil</v>
      </c>
      <c r="K3549" s="15" t="s">
        <v>22</v>
      </c>
    </row>
    <row r="3550" spans="1:11" ht="42" customHeight="1">
      <c r="A3550" s="4" t="s">
        <v>8281</v>
      </c>
      <c r="B3550" s="5" t="s">
        <v>8281</v>
      </c>
      <c r="C3550" s="5" t="s">
        <v>17</v>
      </c>
      <c r="D3550" s="5" t="s">
        <v>18</v>
      </c>
      <c r="E3550" s="5" t="s">
        <v>99</v>
      </c>
      <c r="F3550" s="9">
        <v>83</v>
      </c>
      <c r="G3550" s="9">
        <v>882</v>
      </c>
      <c r="H3550" s="5" t="s">
        <v>20</v>
      </c>
      <c r="I3550" s="5" t="s">
        <v>8282</v>
      </c>
      <c r="J3550" s="12" t="str">
        <f>HYPERLINK("https://www.boe.es/gazeta/dias/1805/10/15/pdfs/GMD-1805-83.pdf#page=10","Abrir facsímil")</f>
        <v>Abrir facsímil</v>
      </c>
      <c r="K3550" s="15" t="s">
        <v>22</v>
      </c>
    </row>
    <row r="3551" spans="1:11" ht="42" customHeight="1">
      <c r="A3551" s="4" t="s">
        <v>8283</v>
      </c>
      <c r="B3551" s="5" t="s">
        <v>8283</v>
      </c>
      <c r="C3551" s="5" t="s">
        <v>85</v>
      </c>
      <c r="D3551" s="5" t="s">
        <v>86</v>
      </c>
      <c r="E3551" s="5" t="s">
        <v>300</v>
      </c>
      <c r="F3551" s="9">
        <v>81</v>
      </c>
      <c r="G3551" s="9">
        <v>859</v>
      </c>
      <c r="H3551" s="5" t="s">
        <v>20</v>
      </c>
      <c r="I3551" s="5" t="s">
        <v>8284</v>
      </c>
      <c r="J3551" s="12" t="str">
        <f>HYPERLINK("https://www.boe.es/gazeta/dias/1805/10/08/pdfs/GMD-1805-81.pdf#page=7","Abrir facsímil")</f>
        <v>Abrir facsímil</v>
      </c>
      <c r="K3551" s="15" t="s">
        <v>22</v>
      </c>
    </row>
    <row r="3552" spans="1:11" ht="42" customHeight="1">
      <c r="A3552" s="4" t="s">
        <v>8285</v>
      </c>
      <c r="B3552" s="5" t="s">
        <v>8286</v>
      </c>
      <c r="C3552" s="5" t="s">
        <v>29</v>
      </c>
      <c r="D3552" s="5" t="s">
        <v>30</v>
      </c>
      <c r="E3552" s="5" t="s">
        <v>48</v>
      </c>
      <c r="F3552" s="9">
        <v>35</v>
      </c>
      <c r="G3552" s="9">
        <v>380</v>
      </c>
      <c r="H3552" s="5" t="s">
        <v>20</v>
      </c>
      <c r="I3552" s="5" t="s">
        <v>8287</v>
      </c>
      <c r="J3552" s="12" t="str">
        <f>HYPERLINK("https://www.boe.es/gazeta/dias/1805/04/30/pdfs/GMD-1805-35.pdf#page=12","Abrir facsímil")</f>
        <v>Abrir facsímil</v>
      </c>
      <c r="K3552" s="15" t="s">
        <v>22</v>
      </c>
    </row>
    <row r="3553" spans="1:11" ht="42" customHeight="1">
      <c r="A3553" s="4" t="s">
        <v>8288</v>
      </c>
      <c r="B3553" s="5" t="s">
        <v>8288</v>
      </c>
      <c r="C3553" s="5" t="s">
        <v>35</v>
      </c>
      <c r="D3553" s="5" t="s">
        <v>36</v>
      </c>
      <c r="E3553" s="5" t="s">
        <v>82</v>
      </c>
      <c r="F3553" s="9">
        <v>25</v>
      </c>
      <c r="G3553" s="9">
        <v>267</v>
      </c>
      <c r="H3553" s="5" t="s">
        <v>20</v>
      </c>
      <c r="I3553" s="5" t="s">
        <v>8289</v>
      </c>
      <c r="J3553" s="12" t="str">
        <f>HYPERLINK("https://www.boe.es/gazeta/dias/1805/03/26/pdfs/GMD-1805-25.pdf#page=7","Abrir facsímil")</f>
        <v>Abrir facsímil</v>
      </c>
      <c r="K3553" s="15" t="s">
        <v>22</v>
      </c>
    </row>
    <row r="3554" spans="1:11" ht="42" customHeight="1">
      <c r="A3554" s="4" t="s">
        <v>8290</v>
      </c>
      <c r="B3554" s="5" t="s">
        <v>8290</v>
      </c>
      <c r="C3554" s="5" t="s">
        <v>35</v>
      </c>
      <c r="D3554" s="5" t="s">
        <v>36</v>
      </c>
      <c r="E3554" s="5" t="s">
        <v>281</v>
      </c>
      <c r="F3554" s="9">
        <v>15</v>
      </c>
      <c r="G3554" s="9">
        <v>156</v>
      </c>
      <c r="H3554" s="5" t="s">
        <v>20</v>
      </c>
      <c r="I3554" s="5" t="s">
        <v>8291</v>
      </c>
      <c r="J3554" s="12" t="str">
        <f>HYPERLINK("https://www.boe.es/gazeta/dias/1805/02/19/pdfs/GMD-1805-15.pdf#page=8","Abrir facsímil")</f>
        <v>Abrir facsímil</v>
      </c>
      <c r="K3554" s="15" t="s">
        <v>22</v>
      </c>
    </row>
    <row r="3555" spans="1:11" ht="42" customHeight="1">
      <c r="A3555" s="4" t="s">
        <v>8292</v>
      </c>
      <c r="B3555" s="5" t="s">
        <v>8292</v>
      </c>
      <c r="C3555" s="5" t="s">
        <v>17</v>
      </c>
      <c r="D3555" s="5" t="s">
        <v>18</v>
      </c>
      <c r="E3555" s="5" t="s">
        <v>63</v>
      </c>
      <c r="F3555" s="9">
        <v>101</v>
      </c>
      <c r="G3555" s="9">
        <v>1091</v>
      </c>
      <c r="H3555" s="5" t="s">
        <v>20</v>
      </c>
      <c r="I3555" s="5" t="s">
        <v>8293</v>
      </c>
      <c r="J3555" s="12" t="str">
        <f>HYPERLINK("https://www.boe.es/gazeta/dias/1805/12/17/pdfs/GMD-1805-101.pdf#page=7","Abrir facsímil")</f>
        <v>Abrir facsímil</v>
      </c>
      <c r="K3555" s="15" t="s">
        <v>22</v>
      </c>
    </row>
    <row r="3556" spans="1:11" ht="42" customHeight="1">
      <c r="A3556" s="4" t="s">
        <v>8294</v>
      </c>
      <c r="B3556" s="5" t="s">
        <v>8294</v>
      </c>
      <c r="C3556" s="5" t="s">
        <v>52</v>
      </c>
      <c r="D3556" s="5" t="s">
        <v>53</v>
      </c>
      <c r="E3556" s="5" t="s">
        <v>144</v>
      </c>
      <c r="F3556" s="9">
        <v>85</v>
      </c>
      <c r="G3556" s="9" t="s">
        <v>772</v>
      </c>
      <c r="H3556" s="5" t="s">
        <v>20</v>
      </c>
      <c r="I3556" s="5" t="s">
        <v>8295</v>
      </c>
      <c r="J3556" s="12" t="str">
        <f>HYPERLINK("https://www.boe.es/gazeta/dias/1805/10/22/pdfs/GMD-C-1805-85.pdf#page=6","Abrir facsímil")</f>
        <v>Abrir facsímil</v>
      </c>
      <c r="K3556" s="15" t="s">
        <v>22</v>
      </c>
    </row>
    <row r="3557" spans="1:11" ht="42" customHeight="1">
      <c r="A3557" s="4" t="s">
        <v>8296</v>
      </c>
      <c r="B3557" s="5" t="s">
        <v>8296</v>
      </c>
      <c r="C3557" s="5" t="s">
        <v>35</v>
      </c>
      <c r="D3557" s="5" t="s">
        <v>36</v>
      </c>
      <c r="E3557" s="5" t="s">
        <v>286</v>
      </c>
      <c r="F3557" s="9">
        <v>48</v>
      </c>
      <c r="G3557" s="9">
        <v>521</v>
      </c>
      <c r="H3557" s="5" t="s">
        <v>20</v>
      </c>
      <c r="I3557" s="5" t="s">
        <v>8297</v>
      </c>
      <c r="J3557" s="12" t="str">
        <f>HYPERLINK("https://www.boe.es/gazeta/dias/1805/06/14/pdfs/GMD-1805-48.pdf#page=9","Abrir facsímil")</f>
        <v>Abrir facsímil</v>
      </c>
      <c r="K3557" s="15" t="s">
        <v>22</v>
      </c>
    </row>
    <row r="3558" spans="1:11" ht="42" customHeight="1">
      <c r="A3558" s="4" t="s">
        <v>8298</v>
      </c>
      <c r="B3558" s="5" t="s">
        <v>8298</v>
      </c>
      <c r="C3558" s="5" t="s">
        <v>17</v>
      </c>
      <c r="D3558" s="5" t="s">
        <v>18</v>
      </c>
      <c r="E3558" s="5" t="s">
        <v>63</v>
      </c>
      <c r="F3558" s="9">
        <v>101</v>
      </c>
      <c r="G3558" s="9">
        <v>1092</v>
      </c>
      <c r="H3558" s="5" t="s">
        <v>20</v>
      </c>
      <c r="I3558" s="5" t="s">
        <v>8299</v>
      </c>
      <c r="J3558" s="12" t="str">
        <f>HYPERLINK("https://www.boe.es/gazeta/dias/1805/12/17/pdfs/GMD-1805-101.pdf#page=8","Abrir facsímil")</f>
        <v>Abrir facsímil</v>
      </c>
      <c r="K3558" s="15" t="s">
        <v>22</v>
      </c>
    </row>
    <row r="3559" spans="1:11" ht="42" customHeight="1">
      <c r="A3559" s="4" t="s">
        <v>8300</v>
      </c>
      <c r="B3559" s="5" t="s">
        <v>8300</v>
      </c>
      <c r="C3559" s="5" t="s">
        <v>35</v>
      </c>
      <c r="D3559" s="5" t="s">
        <v>36</v>
      </c>
      <c r="E3559" s="5" t="s">
        <v>128</v>
      </c>
      <c r="F3559" s="9">
        <v>23</v>
      </c>
      <c r="G3559" s="9">
        <v>246</v>
      </c>
      <c r="H3559" s="5" t="s">
        <v>20</v>
      </c>
      <c r="I3559" s="5" t="s">
        <v>8301</v>
      </c>
      <c r="J3559" s="12" t="str">
        <f>HYPERLINK("https://www.boe.es/gazeta/dias/1805/03/19/pdfs/GMD-1805-23.pdf#page=10","Abrir facsímil")</f>
        <v>Abrir facsímil</v>
      </c>
      <c r="K3559" s="15" t="s">
        <v>22</v>
      </c>
    </row>
    <row r="3560" spans="1:11" ht="42" customHeight="1">
      <c r="A3560" s="4" t="s">
        <v>8302</v>
      </c>
      <c r="B3560" s="5" t="s">
        <v>8302</v>
      </c>
      <c r="C3560" s="5" t="s">
        <v>35</v>
      </c>
      <c r="D3560" s="5" t="s">
        <v>36</v>
      </c>
      <c r="E3560" s="5" t="s">
        <v>63</v>
      </c>
      <c r="F3560" s="9">
        <v>101</v>
      </c>
      <c r="G3560" s="9">
        <v>1093</v>
      </c>
      <c r="H3560" s="5" t="s">
        <v>20</v>
      </c>
      <c r="I3560" s="5" t="s">
        <v>8303</v>
      </c>
      <c r="J3560" s="12" t="str">
        <f>HYPERLINK("https://www.boe.es/gazeta/dias/1805/12/17/pdfs/GMD-1805-101.pdf#page=9","Abrir facsímil")</f>
        <v>Abrir facsímil</v>
      </c>
      <c r="K3560" s="15" t="s">
        <v>22</v>
      </c>
    </row>
    <row r="3561" spans="1:11" ht="42" customHeight="1">
      <c r="A3561" s="4" t="s">
        <v>8304</v>
      </c>
      <c r="B3561" s="5" t="s">
        <v>8305</v>
      </c>
      <c r="C3561" s="5" t="s">
        <v>85</v>
      </c>
      <c r="D3561" s="5" t="s">
        <v>86</v>
      </c>
      <c r="E3561" s="5" t="s">
        <v>196</v>
      </c>
      <c r="F3561" s="9">
        <v>67</v>
      </c>
      <c r="G3561" s="9">
        <v>720</v>
      </c>
      <c r="H3561" s="5" t="s">
        <v>20</v>
      </c>
      <c r="I3561" s="5" t="s">
        <v>8306</v>
      </c>
      <c r="J3561" s="12" t="str">
        <f>HYPERLINK("https://www.boe.es/gazeta/dias/1805/08/20/pdfs/GMD-1805-67.pdf#page=8","Abrir facsímil")</f>
        <v>Abrir facsímil</v>
      </c>
      <c r="K3561" s="15" t="s">
        <v>22</v>
      </c>
    </row>
    <row r="3562" spans="1:11" ht="42" customHeight="1">
      <c r="A3562" s="4" t="s">
        <v>8307</v>
      </c>
      <c r="B3562" s="5" t="s">
        <v>8308</v>
      </c>
      <c r="C3562" s="5" t="s">
        <v>85</v>
      </c>
      <c r="D3562" s="5" t="s">
        <v>86</v>
      </c>
      <c r="E3562" s="5" t="s">
        <v>387</v>
      </c>
      <c r="F3562" s="9">
        <v>4</v>
      </c>
      <c r="G3562" s="9">
        <v>42</v>
      </c>
      <c r="H3562" s="5" t="s">
        <v>20</v>
      </c>
      <c r="I3562" s="5" t="s">
        <v>8309</v>
      </c>
      <c r="J3562" s="12" t="str">
        <f>HYPERLINK("https://www.boe.es/gazeta/dias/1805/01/11/pdfs/GMD-1805-4.pdf#page=10","Abrir facsímil")</f>
        <v>Abrir facsímil</v>
      </c>
      <c r="K3562" s="15" t="s">
        <v>22</v>
      </c>
    </row>
    <row r="3563" spans="1:11" ht="42" customHeight="1">
      <c r="A3563" s="4" t="s">
        <v>8310</v>
      </c>
      <c r="B3563" s="5" t="s">
        <v>8310</v>
      </c>
      <c r="C3563" s="5" t="s">
        <v>17</v>
      </c>
      <c r="D3563" s="5" t="s">
        <v>18</v>
      </c>
      <c r="E3563" s="5" t="s">
        <v>120</v>
      </c>
      <c r="F3563" s="9">
        <v>24</v>
      </c>
      <c r="G3563" s="9">
        <v>258</v>
      </c>
      <c r="H3563" s="5" t="s">
        <v>20</v>
      </c>
      <c r="I3563" s="5" t="s">
        <v>8311</v>
      </c>
      <c r="J3563" s="12" t="str">
        <f>HYPERLINK("https://www.boe.es/gazeta/dias/1805/03/22/pdfs/GMD-1805-24.pdf#page=10","Abrir facsímil")</f>
        <v>Abrir facsímil</v>
      </c>
      <c r="K3563" s="15" t="s">
        <v>22</v>
      </c>
    </row>
    <row r="3564" spans="1:11" ht="42" customHeight="1">
      <c r="A3564" s="4" t="s">
        <v>8310</v>
      </c>
      <c r="B3564" s="5" t="s">
        <v>8310</v>
      </c>
      <c r="C3564" s="5" t="s">
        <v>17</v>
      </c>
      <c r="D3564" s="5" t="s">
        <v>18</v>
      </c>
      <c r="E3564" s="5" t="s">
        <v>958</v>
      </c>
      <c r="F3564" s="9">
        <v>58</v>
      </c>
      <c r="G3564" s="9">
        <v>621</v>
      </c>
      <c r="H3564" s="5" t="s">
        <v>20</v>
      </c>
      <c r="I3564" s="5" t="s">
        <v>8312</v>
      </c>
      <c r="J3564" s="12" t="str">
        <f>HYPERLINK("https://www.boe.es/gazeta/dias/1805/07/19/pdfs/GMD-1805-58.pdf#page=5","Abrir facsímil")</f>
        <v>Abrir facsímil</v>
      </c>
      <c r="K3564" s="15" t="s">
        <v>22</v>
      </c>
    </row>
    <row r="3565" spans="1:11" ht="42" customHeight="1">
      <c r="A3565" s="4" t="s">
        <v>8313</v>
      </c>
      <c r="B3565" s="5" t="s">
        <v>8313</v>
      </c>
      <c r="C3565" s="5" t="s">
        <v>17</v>
      </c>
      <c r="D3565" s="5" t="s">
        <v>18</v>
      </c>
      <c r="E3565" s="5" t="s">
        <v>293</v>
      </c>
      <c r="F3565" s="9">
        <v>5</v>
      </c>
      <c r="G3565" s="9">
        <v>53</v>
      </c>
      <c r="H3565" s="5" t="s">
        <v>20</v>
      </c>
      <c r="I3565" s="5" t="s">
        <v>8314</v>
      </c>
      <c r="J3565" s="12" t="str">
        <f>HYPERLINK("https://www.boe.es/gazeta/dias/1805/01/15/pdfs/GMD-1805-5.pdf#page=9","Abrir facsímil")</f>
        <v>Abrir facsímil</v>
      </c>
      <c r="K3565" s="15" t="s">
        <v>22</v>
      </c>
    </row>
    <row r="3566" spans="1:11" ht="42" customHeight="1">
      <c r="A3566" s="4" t="s">
        <v>8315</v>
      </c>
      <c r="B3566" s="5" t="s">
        <v>8315</v>
      </c>
      <c r="C3566" s="5" t="s">
        <v>35</v>
      </c>
      <c r="D3566" s="5" t="s">
        <v>36</v>
      </c>
      <c r="E3566" s="5" t="s">
        <v>215</v>
      </c>
      <c r="F3566" s="9">
        <v>87</v>
      </c>
      <c r="G3566" s="9">
        <v>927</v>
      </c>
      <c r="H3566" s="5" t="s">
        <v>20</v>
      </c>
      <c r="I3566" s="5" t="s">
        <v>8316</v>
      </c>
      <c r="J3566" s="12" t="str">
        <f>HYPERLINK("https://www.boe.es/gazeta/dias/1805/10/29/pdfs/GMD-1805-87.pdf#page=11","Abrir facsímil")</f>
        <v>Abrir facsímil</v>
      </c>
      <c r="K3566" s="15" t="s">
        <v>22</v>
      </c>
    </row>
    <row r="3567" spans="1:11" ht="42" customHeight="1">
      <c r="A3567" s="4" t="s">
        <v>8317</v>
      </c>
      <c r="B3567" s="5" t="s">
        <v>8317</v>
      </c>
      <c r="C3567" s="5" t="s">
        <v>52</v>
      </c>
      <c r="D3567" s="5" t="s">
        <v>53</v>
      </c>
      <c r="E3567" s="5" t="s">
        <v>144</v>
      </c>
      <c r="F3567" s="9">
        <v>85</v>
      </c>
      <c r="G3567" s="9" t="s">
        <v>1002</v>
      </c>
      <c r="H3567" s="5" t="s">
        <v>20</v>
      </c>
      <c r="I3567" s="5" t="s">
        <v>8318</v>
      </c>
      <c r="J3567" s="12" t="str">
        <f>HYPERLINK("https://www.boe.es/gazeta/dias/1805/10/22/pdfs/GMD-C-1805-85.pdf#page=7","Abrir facsímil")</f>
        <v>Abrir facsímil</v>
      </c>
      <c r="K3567" s="15" t="s">
        <v>22</v>
      </c>
    </row>
    <row r="3568" spans="1:11" ht="42" customHeight="1">
      <c r="A3568" s="4" t="s">
        <v>8319</v>
      </c>
      <c r="B3568" s="5" t="s">
        <v>8319</v>
      </c>
      <c r="C3568" s="5" t="s">
        <v>35</v>
      </c>
      <c r="D3568" s="5" t="s">
        <v>36</v>
      </c>
      <c r="E3568" s="5" t="s">
        <v>91</v>
      </c>
      <c r="F3568" s="9">
        <v>28</v>
      </c>
      <c r="G3568" s="9">
        <v>300</v>
      </c>
      <c r="H3568" s="5" t="s">
        <v>20</v>
      </c>
      <c r="I3568" s="5" t="s">
        <v>8320</v>
      </c>
      <c r="J3568" s="12" t="str">
        <f>HYPERLINK("https://www.boe.es/gazeta/dias/1805/04/05/pdfs/GMD-1805-28.pdf#page=8","Abrir facsímil")</f>
        <v>Abrir facsímil</v>
      </c>
      <c r="K3568" s="15" t="s">
        <v>22</v>
      </c>
    </row>
    <row r="3569" spans="1:11" ht="42" customHeight="1">
      <c r="A3569" s="4" t="s">
        <v>8321</v>
      </c>
      <c r="B3569" s="5" t="s">
        <v>8321</v>
      </c>
      <c r="C3569" s="5" t="s">
        <v>52</v>
      </c>
      <c r="D3569" s="5" t="s">
        <v>53</v>
      </c>
      <c r="E3569" s="5" t="s">
        <v>82</v>
      </c>
      <c r="F3569" s="9">
        <v>25</v>
      </c>
      <c r="G3569" s="9" t="s">
        <v>145</v>
      </c>
      <c r="H3569" s="5" t="s">
        <v>20</v>
      </c>
      <c r="I3569" s="5" t="s">
        <v>8322</v>
      </c>
      <c r="J3569" s="12" t="str">
        <f>HYPERLINK("https://www.boe.es/gazeta/dias/1805/03/26/pdfs/GMD-C-1805-25.pdf#page=2","Abrir facsímil")</f>
        <v>Abrir facsímil</v>
      </c>
      <c r="K3569" s="15" t="s">
        <v>22</v>
      </c>
    </row>
    <row r="3570" spans="1:11" ht="42" customHeight="1">
      <c r="A3570" s="4" t="s">
        <v>8323</v>
      </c>
      <c r="B3570" s="5" t="s">
        <v>8323</v>
      </c>
      <c r="C3570" s="5" t="s">
        <v>52</v>
      </c>
      <c r="D3570" s="5" t="s">
        <v>53</v>
      </c>
      <c r="E3570" s="5" t="s">
        <v>82</v>
      </c>
      <c r="F3570" s="9">
        <v>25</v>
      </c>
      <c r="G3570" s="9" t="s">
        <v>145</v>
      </c>
      <c r="H3570" s="5" t="s">
        <v>20</v>
      </c>
      <c r="I3570" s="5" t="s">
        <v>8324</v>
      </c>
      <c r="J3570" s="12" t="str">
        <f>HYPERLINK("https://www.boe.es/gazeta/dias/1805/03/26/pdfs/GMD-C-1805-25.pdf#page=2","Abrir facsímil")</f>
        <v>Abrir facsímil</v>
      </c>
      <c r="K3570" s="15" t="s">
        <v>22</v>
      </c>
    </row>
    <row r="3571" spans="1:11" ht="42" customHeight="1">
      <c r="A3571" s="4" t="s">
        <v>8325</v>
      </c>
      <c r="B3571" s="5" t="s">
        <v>8325</v>
      </c>
      <c r="C3571" s="5" t="s">
        <v>35</v>
      </c>
      <c r="D3571" s="5" t="s">
        <v>36</v>
      </c>
      <c r="E3571" s="5" t="s">
        <v>170</v>
      </c>
      <c r="F3571" s="9">
        <v>9</v>
      </c>
      <c r="G3571" s="9">
        <v>99</v>
      </c>
      <c r="H3571" s="5" t="s">
        <v>20</v>
      </c>
      <c r="I3571" s="5" t="s">
        <v>8326</v>
      </c>
      <c r="J3571" s="12" t="str">
        <f>HYPERLINK("https://www.boe.es/gazeta/dias/1805/01/29/pdfs/GMD-1805-9.pdf#page=7","Abrir facsímil")</f>
        <v>Abrir facsímil</v>
      </c>
      <c r="K3571" s="15" t="s">
        <v>22</v>
      </c>
    </row>
    <row r="3572" spans="1:11" ht="42" customHeight="1">
      <c r="A3572" s="4" t="s">
        <v>8327</v>
      </c>
      <c r="B3572" s="5" t="s">
        <v>8328</v>
      </c>
      <c r="C3572" s="5" t="s">
        <v>29</v>
      </c>
      <c r="D3572" s="5" t="s">
        <v>30</v>
      </c>
      <c r="E3572" s="5" t="s">
        <v>327</v>
      </c>
      <c r="F3572" s="9">
        <v>10</v>
      </c>
      <c r="G3572" s="9">
        <v>112</v>
      </c>
      <c r="H3572" s="5" t="s">
        <v>20</v>
      </c>
      <c r="I3572" s="5" t="s">
        <v>8329</v>
      </c>
      <c r="J3572" s="12" t="str">
        <f>HYPERLINK("https://www.boe.es/gazeta/dias/1805/02/01/pdfs/GMD-1805-10.pdf#page=8","Abrir facsímil")</f>
        <v>Abrir facsímil</v>
      </c>
      <c r="K3572" s="15" t="s">
        <v>22</v>
      </c>
    </row>
    <row r="3573" spans="1:11" ht="42" customHeight="1">
      <c r="A3573" s="4" t="s">
        <v>8327</v>
      </c>
      <c r="B3573" s="5" t="s">
        <v>8328</v>
      </c>
      <c r="C3573" s="5" t="s">
        <v>29</v>
      </c>
      <c r="D3573" s="5" t="s">
        <v>30</v>
      </c>
      <c r="E3573" s="5" t="s">
        <v>1292</v>
      </c>
      <c r="F3573" s="9">
        <v>43</v>
      </c>
      <c r="G3573" s="9">
        <v>464</v>
      </c>
      <c r="H3573" s="5" t="s">
        <v>20</v>
      </c>
      <c r="I3573" s="5" t="s">
        <v>8330</v>
      </c>
      <c r="J3573" s="12" t="str">
        <f>HYPERLINK("https://www.boe.es/gazeta/dias/1805/05/28/pdfs/GMD-1805-43.pdf#page=8","Abrir facsímil")</f>
        <v>Abrir facsímil</v>
      </c>
      <c r="K3573" s="15" t="s">
        <v>22</v>
      </c>
    </row>
    <row r="3574" spans="1:11" ht="42" customHeight="1">
      <c r="A3574" s="4" t="s">
        <v>8331</v>
      </c>
      <c r="B3574" s="5" t="s">
        <v>8331</v>
      </c>
      <c r="C3574" s="5" t="s">
        <v>85</v>
      </c>
      <c r="D3574" s="5" t="s">
        <v>86</v>
      </c>
      <c r="E3574" s="5" t="s">
        <v>112</v>
      </c>
      <c r="F3574" s="9">
        <v>16</v>
      </c>
      <c r="G3574" s="9">
        <v>166</v>
      </c>
      <c r="H3574" s="5" t="s">
        <v>20</v>
      </c>
      <c r="I3574" s="5" t="s">
        <v>8332</v>
      </c>
      <c r="J3574" s="12" t="str">
        <f>HYPERLINK("https://www.boe.es/gazeta/dias/1805/02/22/pdfs/GMD-1805-16.pdf#page=6","Abrir facsímil")</f>
        <v>Abrir facsímil</v>
      </c>
      <c r="K3574" s="15" t="s">
        <v>22</v>
      </c>
    </row>
    <row r="3575" spans="1:11" ht="42" customHeight="1">
      <c r="A3575" s="4" t="s">
        <v>8333</v>
      </c>
      <c r="B3575" s="5" t="s">
        <v>8333</v>
      </c>
      <c r="C3575" s="5" t="s">
        <v>35</v>
      </c>
      <c r="D3575" s="5" t="s">
        <v>36</v>
      </c>
      <c r="E3575" s="5" t="s">
        <v>135</v>
      </c>
      <c r="F3575" s="9">
        <v>71</v>
      </c>
      <c r="G3575" s="9">
        <v>757</v>
      </c>
      <c r="H3575" s="5" t="s">
        <v>20</v>
      </c>
      <c r="I3575" s="5" t="s">
        <v>8334</v>
      </c>
      <c r="J3575" s="12" t="str">
        <f>HYPERLINK("https://www.boe.es/gazeta/dias/1805/09/03/pdfs/GMD-1805-71.pdf#page=9","Abrir facsímil")</f>
        <v>Abrir facsímil</v>
      </c>
      <c r="K3575" s="15" t="s">
        <v>22</v>
      </c>
    </row>
    <row r="3576" spans="1:11" ht="42" customHeight="1">
      <c r="A3576" s="4" t="s">
        <v>8335</v>
      </c>
      <c r="B3576" s="5" t="s">
        <v>8335</v>
      </c>
      <c r="C3576" s="5" t="s">
        <v>35</v>
      </c>
      <c r="D3576" s="5" t="s">
        <v>36</v>
      </c>
      <c r="E3576" s="5" t="s">
        <v>303</v>
      </c>
      <c r="F3576" s="9">
        <v>57</v>
      </c>
      <c r="G3576" s="9">
        <v>611</v>
      </c>
      <c r="H3576" s="5" t="s">
        <v>20</v>
      </c>
      <c r="I3576" s="5" t="s">
        <v>8336</v>
      </c>
      <c r="J3576" s="12" t="str">
        <f>HYPERLINK("https://www.boe.es/gazeta/dias/1805/07/16/pdfs/GMD-1805-57.pdf#page=7","Abrir facsímil")</f>
        <v>Abrir facsímil</v>
      </c>
      <c r="K3576" s="15" t="s">
        <v>22</v>
      </c>
    </row>
    <row r="3577" spans="1:11" ht="42" customHeight="1">
      <c r="A3577" s="4" t="s">
        <v>8337</v>
      </c>
      <c r="B3577" s="5" t="s">
        <v>8337</v>
      </c>
      <c r="C3577" s="5" t="s">
        <v>35</v>
      </c>
      <c r="D3577" s="5" t="s">
        <v>36</v>
      </c>
      <c r="E3577" s="5" t="s">
        <v>59</v>
      </c>
      <c r="F3577" s="9">
        <v>21</v>
      </c>
      <c r="G3577" s="9">
        <v>220</v>
      </c>
      <c r="H3577" s="5" t="s">
        <v>20</v>
      </c>
      <c r="I3577" s="5" t="s">
        <v>8338</v>
      </c>
      <c r="J3577" s="12" t="str">
        <f>HYPERLINK("https://www.boe.es/gazeta/dias/1805/03/12/pdfs/GMD-1805-21.pdf#page=8","Abrir facsímil")</f>
        <v>Abrir facsímil</v>
      </c>
      <c r="K3577" s="15" t="s">
        <v>22</v>
      </c>
    </row>
    <row r="3578" spans="1:11" ht="42" customHeight="1">
      <c r="A3578" s="4" t="s">
        <v>8339</v>
      </c>
      <c r="B3578" s="5" t="s">
        <v>8339</v>
      </c>
      <c r="C3578" s="5" t="s">
        <v>17</v>
      </c>
      <c r="D3578" s="5" t="s">
        <v>18</v>
      </c>
      <c r="E3578" s="5" t="s">
        <v>99</v>
      </c>
      <c r="F3578" s="9">
        <v>83</v>
      </c>
      <c r="G3578" s="9">
        <v>883</v>
      </c>
      <c r="H3578" s="5" t="s">
        <v>20</v>
      </c>
      <c r="I3578" s="5" t="s">
        <v>8340</v>
      </c>
      <c r="J3578" s="12" t="str">
        <f>HYPERLINK("https://www.boe.es/gazeta/dias/1805/10/15/pdfs/GMD-1805-83.pdf#page=11","Abrir facsímil")</f>
        <v>Abrir facsímil</v>
      </c>
      <c r="K3578" s="15" t="s">
        <v>22</v>
      </c>
    </row>
    <row r="3579" spans="1:11" ht="42" customHeight="1">
      <c r="A3579" s="4" t="s">
        <v>8341</v>
      </c>
      <c r="B3579" s="5" t="s">
        <v>8341</v>
      </c>
      <c r="C3579" s="5" t="s">
        <v>35</v>
      </c>
      <c r="D3579" s="5" t="s">
        <v>36</v>
      </c>
      <c r="E3579" s="5" t="s">
        <v>91</v>
      </c>
      <c r="F3579" s="9">
        <v>28</v>
      </c>
      <c r="G3579" s="9">
        <v>300</v>
      </c>
      <c r="H3579" s="5" t="s">
        <v>20</v>
      </c>
      <c r="I3579" s="5" t="s">
        <v>8342</v>
      </c>
      <c r="J3579" s="12" t="str">
        <f>HYPERLINK("https://www.boe.es/gazeta/dias/1805/04/05/pdfs/GMD-1805-28.pdf#page=8","Abrir facsímil")</f>
        <v>Abrir facsímil</v>
      </c>
      <c r="K3579" s="15" t="s">
        <v>22</v>
      </c>
    </row>
    <row r="3580" spans="1:11" ht="42" customHeight="1">
      <c r="A3580" s="4" t="s">
        <v>8343</v>
      </c>
      <c r="B3580" s="5" t="s">
        <v>8344</v>
      </c>
      <c r="C3580" s="5" t="s">
        <v>35</v>
      </c>
      <c r="D3580" s="5" t="s">
        <v>36</v>
      </c>
      <c r="E3580" s="5" t="s">
        <v>1445</v>
      </c>
      <c r="F3580" s="9">
        <v>6</v>
      </c>
      <c r="G3580" s="9">
        <v>66</v>
      </c>
      <c r="H3580" s="5" t="s">
        <v>20</v>
      </c>
      <c r="I3580" s="5" t="s">
        <v>8345</v>
      </c>
      <c r="J3580" s="12" t="str">
        <f>HYPERLINK("https://www.boe.es/gazeta/dias/1805/01/18/pdfs/GMD-1805-6.pdf#page=10","Abrir facsímil")</f>
        <v>Abrir facsímil</v>
      </c>
      <c r="K3580" s="15" t="s">
        <v>22</v>
      </c>
    </row>
    <row r="3581" spans="1:11" ht="42" customHeight="1">
      <c r="A3581" s="4" t="s">
        <v>8346</v>
      </c>
      <c r="B3581" s="5" t="s">
        <v>8346</v>
      </c>
      <c r="C3581" s="5" t="s">
        <v>29</v>
      </c>
      <c r="D3581" s="5" t="s">
        <v>30</v>
      </c>
      <c r="E3581" s="5" t="s">
        <v>217</v>
      </c>
      <c r="F3581" s="9">
        <v>96</v>
      </c>
      <c r="G3581" s="9">
        <v>1031</v>
      </c>
      <c r="H3581" s="5" t="s">
        <v>20</v>
      </c>
      <c r="I3581" s="5" t="s">
        <v>8347</v>
      </c>
      <c r="J3581" s="12" t="str">
        <f>HYPERLINK("https://www.boe.es/gazeta/dias/1805/11/29/pdfs/GMD-1805-96.pdf#page=7","Abrir facsímil")</f>
        <v>Abrir facsímil</v>
      </c>
      <c r="K3581" s="15" t="s">
        <v>22</v>
      </c>
    </row>
    <row r="3582" spans="1:11" ht="42" customHeight="1">
      <c r="A3582" s="4" t="s">
        <v>8348</v>
      </c>
      <c r="B3582" s="5" t="s">
        <v>8348</v>
      </c>
      <c r="C3582" s="5" t="s">
        <v>17</v>
      </c>
      <c r="D3582" s="5" t="s">
        <v>18</v>
      </c>
      <c r="E3582" s="5" t="s">
        <v>290</v>
      </c>
      <c r="F3582" s="9">
        <v>36</v>
      </c>
      <c r="G3582" s="9">
        <v>388</v>
      </c>
      <c r="H3582" s="5" t="s">
        <v>20</v>
      </c>
      <c r="I3582" s="5" t="s">
        <v>8349</v>
      </c>
      <c r="J3582" s="12" t="str">
        <f>HYPERLINK("https://www.boe.es/gazeta/dias/1805/05/03/pdfs/GMD-1805-36.pdf#page=8","Abrir facsímil")</f>
        <v>Abrir facsímil</v>
      </c>
      <c r="K3582" s="15" t="s">
        <v>22</v>
      </c>
    </row>
    <row r="3583" spans="1:11" ht="42" customHeight="1">
      <c r="A3583" s="4" t="s">
        <v>8350</v>
      </c>
      <c r="B3583" s="5" t="s">
        <v>8350</v>
      </c>
      <c r="C3583" s="5" t="s">
        <v>85</v>
      </c>
      <c r="D3583" s="5" t="s">
        <v>86</v>
      </c>
      <c r="E3583" s="5" t="s">
        <v>471</v>
      </c>
      <c r="F3583" s="9">
        <v>22</v>
      </c>
      <c r="G3583" s="9">
        <v>233</v>
      </c>
      <c r="H3583" s="5" t="s">
        <v>20</v>
      </c>
      <c r="I3583" s="5" t="s">
        <v>8351</v>
      </c>
      <c r="J3583" s="12" t="str">
        <f>HYPERLINK("https://www.boe.es/gazeta/dias/1805/03/15/pdfs/GMD-1805-22.pdf#page=9","Abrir facsímil")</f>
        <v>Abrir facsímil</v>
      </c>
      <c r="K3583" s="15" t="s">
        <v>22</v>
      </c>
    </row>
    <row r="3584" spans="1:11" ht="42" customHeight="1">
      <c r="A3584" s="4" t="s">
        <v>8352</v>
      </c>
      <c r="B3584" s="5" t="s">
        <v>8352</v>
      </c>
      <c r="C3584" s="5" t="s">
        <v>35</v>
      </c>
      <c r="D3584" s="5" t="s">
        <v>36</v>
      </c>
      <c r="E3584" s="5" t="s">
        <v>471</v>
      </c>
      <c r="F3584" s="9">
        <v>22</v>
      </c>
      <c r="G3584" s="9">
        <v>233</v>
      </c>
      <c r="H3584" s="5" t="s">
        <v>20</v>
      </c>
      <c r="I3584" s="5" t="s">
        <v>8353</v>
      </c>
      <c r="J3584" s="12" t="str">
        <f>HYPERLINK("https://www.boe.es/gazeta/dias/1805/03/15/pdfs/GMD-1805-22.pdf#page=9","Abrir facsímil")</f>
        <v>Abrir facsímil</v>
      </c>
      <c r="K3584" s="15" t="s">
        <v>22</v>
      </c>
    </row>
    <row r="3585" spans="1:11" ht="42" customHeight="1">
      <c r="A3585" s="4" t="s">
        <v>8354</v>
      </c>
      <c r="B3585" s="5" t="s">
        <v>8354</v>
      </c>
      <c r="C3585" s="5" t="s">
        <v>35</v>
      </c>
      <c r="D3585" s="5" t="s">
        <v>36</v>
      </c>
      <c r="E3585" s="5" t="s">
        <v>192</v>
      </c>
      <c r="F3585" s="9">
        <v>105</v>
      </c>
      <c r="G3585" s="9">
        <v>1138</v>
      </c>
      <c r="H3585" s="5" t="s">
        <v>20</v>
      </c>
      <c r="I3585" s="5" t="s">
        <v>8355</v>
      </c>
      <c r="J3585" s="12" t="str">
        <f>HYPERLINK("https://www.boe.es/gazeta/dias/1805/12/31/pdfs/GMD-1805-105.pdf#page=10","Abrir facsímil")</f>
        <v>Abrir facsímil</v>
      </c>
      <c r="K3585" s="15" t="s">
        <v>22</v>
      </c>
    </row>
    <row r="3586" spans="1:11" ht="42" customHeight="1">
      <c r="A3586" s="4" t="s">
        <v>8356</v>
      </c>
      <c r="B3586" s="5" t="s">
        <v>8356</v>
      </c>
      <c r="C3586" s="5" t="s">
        <v>29</v>
      </c>
      <c r="D3586" s="5" t="s">
        <v>30</v>
      </c>
      <c r="E3586" s="5" t="s">
        <v>76</v>
      </c>
      <c r="F3586" s="9">
        <v>66</v>
      </c>
      <c r="G3586" s="9">
        <v>712</v>
      </c>
      <c r="H3586" s="5" t="s">
        <v>20</v>
      </c>
      <c r="I3586" s="5" t="s">
        <v>8357</v>
      </c>
      <c r="J3586" s="12" t="str">
        <f>HYPERLINK("https://www.boe.es/gazeta/dias/1805/08/16/pdfs/GMD-1805-66.pdf#page=12","Abrir facsímil")</f>
        <v>Abrir facsímil</v>
      </c>
      <c r="K3586" s="15" t="s">
        <v>22</v>
      </c>
    </row>
    <row r="3587" spans="1:11" ht="42" customHeight="1">
      <c r="A3587" s="4" t="s">
        <v>8358</v>
      </c>
      <c r="B3587" s="5" t="s">
        <v>8358</v>
      </c>
      <c r="C3587" s="5" t="s">
        <v>29</v>
      </c>
      <c r="D3587" s="5" t="s">
        <v>30</v>
      </c>
      <c r="E3587" s="5" t="s">
        <v>273</v>
      </c>
      <c r="F3587" s="9">
        <v>8</v>
      </c>
      <c r="G3587" s="9">
        <v>91</v>
      </c>
      <c r="H3587" s="5" t="s">
        <v>20</v>
      </c>
      <c r="I3587" s="5" t="s">
        <v>8359</v>
      </c>
      <c r="J3587" s="12" t="str">
        <f>HYPERLINK("https://www.boe.es/gazeta/dias/1805/01/25/pdfs/GMD-1805-8.pdf#page=11","Abrir facsímil")</f>
        <v>Abrir facsímil</v>
      </c>
      <c r="K3587" s="15" t="s">
        <v>22</v>
      </c>
    </row>
    <row r="3588" spans="1:11" ht="42" customHeight="1">
      <c r="A3588" s="4" t="s">
        <v>8360</v>
      </c>
      <c r="B3588" s="5" t="s">
        <v>8360</v>
      </c>
      <c r="C3588" s="5" t="s">
        <v>17</v>
      </c>
      <c r="D3588" s="5" t="s">
        <v>18</v>
      </c>
      <c r="E3588" s="5" t="s">
        <v>440</v>
      </c>
      <c r="F3588" s="9">
        <v>27</v>
      </c>
      <c r="G3588" s="9">
        <v>292</v>
      </c>
      <c r="H3588" s="5" t="s">
        <v>20</v>
      </c>
      <c r="I3588" s="5" t="s">
        <v>8361</v>
      </c>
      <c r="J3588" s="12" t="str">
        <f>HYPERLINK("https://www.boe.es/gazeta/dias/1805/04/02/pdfs/GMD-1805-27.pdf#page=12","Abrir facsímil")</f>
        <v>Abrir facsímil</v>
      </c>
      <c r="K3588" s="15" t="s">
        <v>22</v>
      </c>
    </row>
    <row r="3589" spans="1:11" ht="42" customHeight="1">
      <c r="A3589" s="4" t="s">
        <v>8362</v>
      </c>
      <c r="B3589" s="5" t="s">
        <v>8363</v>
      </c>
      <c r="C3589" s="5" t="s">
        <v>35</v>
      </c>
      <c r="D3589" s="5" t="s">
        <v>36</v>
      </c>
      <c r="E3589" s="5" t="s">
        <v>506</v>
      </c>
      <c r="F3589" s="9">
        <v>80</v>
      </c>
      <c r="G3589" s="9">
        <v>849</v>
      </c>
      <c r="H3589" s="5" t="s">
        <v>20</v>
      </c>
      <c r="I3589" s="5" t="s">
        <v>8364</v>
      </c>
      <c r="J3589" s="12" t="str">
        <f>HYPERLINK("https://www.boe.es/gazeta/dias/1805/10/04/pdfs/GMD-1805-80.pdf#page=9","Abrir facsímil")</f>
        <v>Abrir facsímil</v>
      </c>
      <c r="K3589" s="15" t="s">
        <v>22</v>
      </c>
    </row>
    <row r="3590" spans="1:11" ht="42" customHeight="1">
      <c r="A3590" s="4" t="s">
        <v>8365</v>
      </c>
      <c r="B3590" s="5" t="s">
        <v>8365</v>
      </c>
      <c r="C3590" s="5" t="s">
        <v>35</v>
      </c>
      <c r="D3590" s="5" t="s">
        <v>36</v>
      </c>
      <c r="E3590" s="5" t="s">
        <v>669</v>
      </c>
      <c r="F3590" s="9">
        <v>84</v>
      </c>
      <c r="G3590" s="9">
        <v>890</v>
      </c>
      <c r="H3590" s="5" t="s">
        <v>20</v>
      </c>
      <c r="I3590" s="5" t="s">
        <v>8366</v>
      </c>
      <c r="J3590" s="12" t="str">
        <f>HYPERLINK("https://www.boe.es/gazeta/dias/1805/10/18/pdfs/GMD-1805-84.pdf#page=6","Abrir facsímil")</f>
        <v>Abrir facsímil</v>
      </c>
      <c r="K3590" s="15" t="s">
        <v>22</v>
      </c>
    </row>
    <row r="3591" spans="1:11" ht="42" customHeight="1">
      <c r="A3591" s="4" t="s">
        <v>8367</v>
      </c>
      <c r="B3591" s="5" t="s">
        <v>8368</v>
      </c>
      <c r="C3591" s="5" t="s">
        <v>85</v>
      </c>
      <c r="D3591" s="5" t="s">
        <v>86</v>
      </c>
      <c r="E3591" s="5" t="s">
        <v>76</v>
      </c>
      <c r="F3591" s="9">
        <v>66</v>
      </c>
      <c r="G3591" s="9">
        <v>708</v>
      </c>
      <c r="H3591" s="5" t="s">
        <v>20</v>
      </c>
      <c r="I3591" s="5" t="s">
        <v>8369</v>
      </c>
      <c r="J3591" s="12" t="str">
        <f>HYPERLINK("https://www.boe.es/gazeta/dias/1805/08/16/pdfs/GMD-1805-66.pdf#page=8","Abrir facsímil")</f>
        <v>Abrir facsímil</v>
      </c>
      <c r="K3591" s="15" t="s">
        <v>22</v>
      </c>
    </row>
    <row r="3592" spans="1:11" ht="42" customHeight="1">
      <c r="A3592" s="4" t="s">
        <v>8370</v>
      </c>
      <c r="B3592" s="5" t="s">
        <v>8371</v>
      </c>
      <c r="C3592" s="5" t="s">
        <v>35</v>
      </c>
      <c r="D3592" s="5" t="s">
        <v>36</v>
      </c>
      <c r="E3592" s="5" t="s">
        <v>864</v>
      </c>
      <c r="F3592" s="9">
        <v>88</v>
      </c>
      <c r="G3592" s="9">
        <v>938</v>
      </c>
      <c r="H3592" s="5" t="s">
        <v>20</v>
      </c>
      <c r="I3592" s="5" t="s">
        <v>8372</v>
      </c>
      <c r="J3592" s="12" t="str">
        <f>HYPERLINK("https://www.boe.es/gazeta/dias/1805/11/01/pdfs/GMD-1805-88.pdf#page=10","Abrir facsímil")</f>
        <v>Abrir facsímil</v>
      </c>
      <c r="K3592" s="15" t="s">
        <v>22</v>
      </c>
    </row>
    <row r="3593" spans="1:11" ht="42" customHeight="1">
      <c r="A3593" s="4" t="s">
        <v>8373</v>
      </c>
      <c r="B3593" s="5" t="s">
        <v>8374</v>
      </c>
      <c r="C3593" s="5" t="s">
        <v>35</v>
      </c>
      <c r="D3593" s="5" t="s">
        <v>36</v>
      </c>
      <c r="E3593" s="5" t="s">
        <v>290</v>
      </c>
      <c r="F3593" s="9">
        <v>36</v>
      </c>
      <c r="G3593" s="9">
        <v>389</v>
      </c>
      <c r="H3593" s="5" t="s">
        <v>20</v>
      </c>
      <c r="I3593" s="5" t="s">
        <v>8375</v>
      </c>
      <c r="J3593" s="12" t="str">
        <f>HYPERLINK("https://www.boe.es/gazeta/dias/1805/05/03/pdfs/GMD-1805-36.pdf#page=9","Abrir facsímil")</f>
        <v>Abrir facsímil</v>
      </c>
      <c r="K3593" s="15" t="s">
        <v>22</v>
      </c>
    </row>
    <row r="3594" spans="1:11" ht="42" customHeight="1">
      <c r="A3594" s="4" t="s">
        <v>8376</v>
      </c>
      <c r="B3594" s="5" t="s">
        <v>8376</v>
      </c>
      <c r="C3594" s="5" t="s">
        <v>35</v>
      </c>
      <c r="D3594" s="5" t="s">
        <v>36</v>
      </c>
      <c r="E3594" s="5" t="s">
        <v>1445</v>
      </c>
      <c r="F3594" s="9">
        <v>6</v>
      </c>
      <c r="G3594" s="9">
        <v>66</v>
      </c>
      <c r="H3594" s="5" t="s">
        <v>20</v>
      </c>
      <c r="I3594" s="5" t="s">
        <v>8377</v>
      </c>
      <c r="J3594" s="12" t="str">
        <f>HYPERLINK("https://www.boe.es/gazeta/dias/1805/01/18/pdfs/GMD-1805-6.pdf#page=10","Abrir facsímil")</f>
        <v>Abrir facsímil</v>
      </c>
      <c r="K3594" s="15" t="s">
        <v>22</v>
      </c>
    </row>
    <row r="3595" spans="1:11" ht="42" customHeight="1">
      <c r="A3595" s="4" t="s">
        <v>8378</v>
      </c>
      <c r="B3595" s="5" t="s">
        <v>8378</v>
      </c>
      <c r="C3595" s="5" t="s">
        <v>35</v>
      </c>
      <c r="D3595" s="5" t="s">
        <v>36</v>
      </c>
      <c r="E3595" s="5" t="s">
        <v>44</v>
      </c>
      <c r="F3595" s="9">
        <v>29</v>
      </c>
      <c r="G3595" s="9">
        <v>312</v>
      </c>
      <c r="H3595" s="5" t="s">
        <v>20</v>
      </c>
      <c r="I3595" s="5" t="s">
        <v>8379</v>
      </c>
      <c r="J3595" s="12" t="str">
        <f>HYPERLINK("https://www.boe.es/gazeta/dias/1805/04/09/pdfs/GMD-1805-29.pdf#page=8","Abrir facsímil")</f>
        <v>Abrir facsímil</v>
      </c>
      <c r="K3595" s="15" t="s">
        <v>22</v>
      </c>
    </row>
    <row r="3596" spans="1:11" ht="42" customHeight="1">
      <c r="A3596" s="4" t="s">
        <v>8380</v>
      </c>
      <c r="B3596" s="5" t="s">
        <v>8380</v>
      </c>
      <c r="C3596" s="5" t="s">
        <v>17</v>
      </c>
      <c r="D3596" s="5" t="s">
        <v>18</v>
      </c>
      <c r="E3596" s="5" t="s">
        <v>63</v>
      </c>
      <c r="F3596" s="9">
        <v>101</v>
      </c>
      <c r="G3596" s="9">
        <v>1092</v>
      </c>
      <c r="H3596" s="5" t="s">
        <v>20</v>
      </c>
      <c r="I3596" s="5" t="s">
        <v>8381</v>
      </c>
      <c r="J3596" s="12" t="str">
        <f>HYPERLINK("https://www.boe.es/gazeta/dias/1805/12/17/pdfs/GMD-1805-101.pdf#page=8","Abrir facsímil")</f>
        <v>Abrir facsímil</v>
      </c>
      <c r="K3596" s="15" t="s">
        <v>22</v>
      </c>
    </row>
    <row r="3597" spans="1:11" ht="42" customHeight="1">
      <c r="A3597" s="4" t="s">
        <v>8382</v>
      </c>
      <c r="B3597" s="5" t="s">
        <v>8382</v>
      </c>
      <c r="C3597" s="5" t="s">
        <v>17</v>
      </c>
      <c r="D3597" s="5" t="s">
        <v>18</v>
      </c>
      <c r="E3597" s="5" t="s">
        <v>138</v>
      </c>
      <c r="F3597" s="9">
        <v>102</v>
      </c>
      <c r="G3597" s="9">
        <v>1104</v>
      </c>
      <c r="H3597" s="5" t="s">
        <v>20</v>
      </c>
      <c r="I3597" s="5" t="s">
        <v>8383</v>
      </c>
      <c r="J3597" s="12" t="str">
        <f>HYPERLINK("https://www.boe.es/gazeta/dias/1805/12/20/pdfs/GMD-1805-102.pdf#page=8","Abrir facsímil")</f>
        <v>Abrir facsímil</v>
      </c>
      <c r="K3597" s="15" t="s">
        <v>22</v>
      </c>
    </row>
    <row r="3598" spans="1:11" ht="42" customHeight="1">
      <c r="A3598" s="4" t="s">
        <v>8384</v>
      </c>
      <c r="B3598" s="5" t="s">
        <v>8384</v>
      </c>
      <c r="C3598" s="5" t="s">
        <v>35</v>
      </c>
      <c r="D3598" s="5" t="s">
        <v>36</v>
      </c>
      <c r="E3598" s="5" t="s">
        <v>200</v>
      </c>
      <c r="F3598" s="9">
        <v>91</v>
      </c>
      <c r="G3598" s="9">
        <v>977</v>
      </c>
      <c r="H3598" s="5" t="s">
        <v>20</v>
      </c>
      <c r="I3598" s="5" t="s">
        <v>8385</v>
      </c>
      <c r="J3598" s="12" t="str">
        <f>HYPERLINK("https://www.boe.es/gazeta/dias/1805/11/12/pdfs/GMD-1805-91.pdf#page=9","Abrir facsímil")</f>
        <v>Abrir facsímil</v>
      </c>
      <c r="K3598" s="15" t="s">
        <v>22</v>
      </c>
    </row>
    <row r="3599" spans="1:11" ht="42" customHeight="1">
      <c r="A3599" s="4" t="s">
        <v>8386</v>
      </c>
      <c r="B3599" s="5" t="s">
        <v>8386</v>
      </c>
      <c r="C3599" s="5" t="s">
        <v>35</v>
      </c>
      <c r="D3599" s="5" t="s">
        <v>36</v>
      </c>
      <c r="E3599" s="5" t="s">
        <v>141</v>
      </c>
      <c r="F3599" s="9">
        <v>82</v>
      </c>
      <c r="G3599" s="9">
        <v>870</v>
      </c>
      <c r="H3599" s="5" t="s">
        <v>20</v>
      </c>
      <c r="I3599" s="5" t="s">
        <v>8387</v>
      </c>
      <c r="J3599" s="12" t="str">
        <f>HYPERLINK("https://www.boe.es/gazeta/dias/1805/10/11/pdfs/GMD-1805-82.pdf#page=10","Abrir facsímil")</f>
        <v>Abrir facsímil</v>
      </c>
      <c r="K3599" s="15" t="s">
        <v>22</v>
      </c>
    </row>
    <row r="3600" spans="1:11" ht="42" customHeight="1">
      <c r="A3600" s="4" t="s">
        <v>8388</v>
      </c>
      <c r="B3600" s="5" t="s">
        <v>8388</v>
      </c>
      <c r="C3600" s="5" t="s">
        <v>35</v>
      </c>
      <c r="D3600" s="5" t="s">
        <v>36</v>
      </c>
      <c r="E3600" s="5" t="s">
        <v>711</v>
      </c>
      <c r="F3600" s="9">
        <v>63</v>
      </c>
      <c r="G3600" s="9">
        <v>673</v>
      </c>
      <c r="H3600" s="5" t="s">
        <v>20</v>
      </c>
      <c r="I3600" s="5" t="s">
        <v>8389</v>
      </c>
      <c r="J3600" s="12" t="str">
        <f>HYPERLINK("https://www.boe.es/gazeta/dias/1805/08/06/pdfs/GMD-1805-63.pdf#page=9","Abrir facsímil")</f>
        <v>Abrir facsímil</v>
      </c>
      <c r="K3600" s="15" t="s">
        <v>22</v>
      </c>
    </row>
    <row r="3601" spans="1:11" ht="42" customHeight="1">
      <c r="A3601" s="4" t="s">
        <v>8390</v>
      </c>
      <c r="B3601" s="5" t="s">
        <v>8390</v>
      </c>
      <c r="C3601" s="5" t="s">
        <v>85</v>
      </c>
      <c r="D3601" s="5" t="s">
        <v>86</v>
      </c>
      <c r="E3601" s="5" t="s">
        <v>387</v>
      </c>
      <c r="F3601" s="9">
        <v>4</v>
      </c>
      <c r="G3601" s="9">
        <v>42</v>
      </c>
      <c r="H3601" s="5" t="s">
        <v>20</v>
      </c>
      <c r="I3601" s="5" t="s">
        <v>8391</v>
      </c>
      <c r="J3601" s="12" t="str">
        <f>HYPERLINK("https://www.boe.es/gazeta/dias/1805/01/11/pdfs/GMD-1805-4.pdf#page=10","Abrir facsímil")</f>
        <v>Abrir facsímil</v>
      </c>
      <c r="K3601" s="15" t="s">
        <v>22</v>
      </c>
    </row>
    <row r="3602" spans="1:11" ht="42" customHeight="1">
      <c r="A3602" s="4" t="s">
        <v>8392</v>
      </c>
      <c r="B3602" s="5" t="s">
        <v>8392</v>
      </c>
      <c r="C3602" s="5" t="s">
        <v>85</v>
      </c>
      <c r="D3602" s="5" t="s">
        <v>86</v>
      </c>
      <c r="E3602" s="5" t="s">
        <v>290</v>
      </c>
      <c r="F3602" s="9">
        <v>36</v>
      </c>
      <c r="G3602" s="9">
        <v>389</v>
      </c>
      <c r="H3602" s="5" t="s">
        <v>20</v>
      </c>
      <c r="I3602" s="5" t="s">
        <v>8393</v>
      </c>
      <c r="J3602" s="12" t="str">
        <f>HYPERLINK("https://www.boe.es/gazeta/dias/1805/05/03/pdfs/GMD-1805-36.pdf#page=9","Abrir facsímil")</f>
        <v>Abrir facsímil</v>
      </c>
      <c r="K3602" s="15" t="s">
        <v>22</v>
      </c>
    </row>
    <row r="3603" spans="1:11" ht="42" customHeight="1">
      <c r="A3603" s="4" t="s">
        <v>8394</v>
      </c>
      <c r="B3603" s="5" t="s">
        <v>8394</v>
      </c>
      <c r="C3603" s="5" t="s">
        <v>35</v>
      </c>
      <c r="D3603" s="5" t="s">
        <v>36</v>
      </c>
      <c r="E3603" s="5" t="s">
        <v>122</v>
      </c>
      <c r="F3603" s="9">
        <v>38</v>
      </c>
      <c r="G3603" s="9">
        <v>411</v>
      </c>
      <c r="H3603" s="5" t="s">
        <v>20</v>
      </c>
      <c r="I3603" s="5" t="s">
        <v>8395</v>
      </c>
      <c r="J3603" s="12" t="str">
        <f>HYPERLINK("https://www.boe.es/gazeta/dias/1805/05/10/pdfs/GMD-1805-38.pdf#page=7","Abrir facsímil")</f>
        <v>Abrir facsímil</v>
      </c>
      <c r="K3603" s="15" t="s">
        <v>22</v>
      </c>
    </row>
    <row r="3604" spans="1:11" ht="42" customHeight="1">
      <c r="A3604" s="4" t="s">
        <v>8396</v>
      </c>
      <c r="B3604" s="5" t="s">
        <v>8396</v>
      </c>
      <c r="C3604" s="5" t="s">
        <v>35</v>
      </c>
      <c r="D3604" s="5" t="s">
        <v>36</v>
      </c>
      <c r="E3604" s="5" t="s">
        <v>958</v>
      </c>
      <c r="F3604" s="9">
        <v>58</v>
      </c>
      <c r="G3604" s="9">
        <v>620</v>
      </c>
      <c r="H3604" s="5" t="s">
        <v>20</v>
      </c>
      <c r="I3604" s="5" t="s">
        <v>8397</v>
      </c>
      <c r="J3604" s="12" t="str">
        <f>HYPERLINK("https://www.boe.es/gazeta/dias/1805/07/19/pdfs/GMD-1805-58.pdf#page=4","Abrir facsímil")</f>
        <v>Abrir facsímil</v>
      </c>
      <c r="K3604" s="15" t="s">
        <v>22</v>
      </c>
    </row>
    <row r="3605" spans="1:11" ht="42" customHeight="1">
      <c r="A3605" s="4" t="s">
        <v>8398</v>
      </c>
      <c r="B3605" s="5" t="s">
        <v>8398</v>
      </c>
      <c r="C3605" s="5" t="s">
        <v>52</v>
      </c>
      <c r="D3605" s="5" t="s">
        <v>53</v>
      </c>
      <c r="E3605" s="5" t="s">
        <v>82</v>
      </c>
      <c r="F3605" s="9">
        <v>25</v>
      </c>
      <c r="G3605" s="9" t="s">
        <v>222</v>
      </c>
      <c r="H3605" s="5" t="s">
        <v>20</v>
      </c>
      <c r="I3605" s="5" t="s">
        <v>8399</v>
      </c>
      <c r="J3605" s="12" t="str">
        <f>HYPERLINK("https://www.boe.es/gazeta/dias/1805/03/26/pdfs/GMD-C-1805-25.pdf#page=1","Abrir facsímil")</f>
        <v>Abrir facsímil</v>
      </c>
      <c r="K3605" s="15" t="s">
        <v>22</v>
      </c>
    </row>
    <row r="3606" spans="1:11" ht="42" customHeight="1">
      <c r="A3606" s="4" t="s">
        <v>8400</v>
      </c>
      <c r="B3606" s="5" t="s">
        <v>8400</v>
      </c>
      <c r="C3606" s="5" t="s">
        <v>29</v>
      </c>
      <c r="D3606" s="5" t="s">
        <v>30</v>
      </c>
      <c r="E3606" s="5" t="s">
        <v>273</v>
      </c>
      <c r="F3606" s="9">
        <v>8</v>
      </c>
      <c r="G3606" s="9">
        <v>91</v>
      </c>
      <c r="H3606" s="5" t="s">
        <v>20</v>
      </c>
      <c r="I3606" s="5" t="s">
        <v>8401</v>
      </c>
      <c r="J3606" s="12" t="str">
        <f>HYPERLINK("https://www.boe.es/gazeta/dias/1805/01/25/pdfs/GMD-1805-8.pdf#page=11","Abrir facsímil")</f>
        <v>Abrir facsímil</v>
      </c>
      <c r="K3606" s="15" t="s">
        <v>22</v>
      </c>
    </row>
    <row r="3607" spans="1:11" ht="42" customHeight="1">
      <c r="A3607" s="4" t="s">
        <v>8402</v>
      </c>
      <c r="B3607" s="5" t="s">
        <v>8402</v>
      </c>
      <c r="C3607" s="5" t="s">
        <v>17</v>
      </c>
      <c r="D3607" s="5" t="s">
        <v>18</v>
      </c>
      <c r="E3607" s="5" t="s">
        <v>495</v>
      </c>
      <c r="F3607" s="9">
        <v>103</v>
      </c>
      <c r="G3607" s="9">
        <v>1115</v>
      </c>
      <c r="H3607" s="5" t="s">
        <v>20</v>
      </c>
      <c r="I3607" s="5" t="s">
        <v>8403</v>
      </c>
      <c r="J3607" s="12" t="str">
        <f>HYPERLINK("https://www.boe.es/gazeta/dias/1805/12/24/pdfs/GMD-1805-103.pdf#page=7","Abrir facsímil")</f>
        <v>Abrir facsímil</v>
      </c>
      <c r="K3607" s="15" t="s">
        <v>22</v>
      </c>
    </row>
    <row r="3608" spans="1:11" ht="42" customHeight="1">
      <c r="A3608" s="4" t="s">
        <v>8404</v>
      </c>
      <c r="B3608" s="5" t="s">
        <v>8404</v>
      </c>
      <c r="C3608" s="5" t="s">
        <v>17</v>
      </c>
      <c r="D3608" s="5" t="s">
        <v>18</v>
      </c>
      <c r="E3608" s="5" t="s">
        <v>1432</v>
      </c>
      <c r="F3608" s="9">
        <v>53</v>
      </c>
      <c r="G3608" s="9">
        <v>571</v>
      </c>
      <c r="H3608" s="5" t="s">
        <v>20</v>
      </c>
      <c r="I3608" s="5" t="s">
        <v>8405</v>
      </c>
      <c r="J3608" s="12" t="str">
        <f>HYPERLINK("https://www.boe.es/gazeta/dias/1805/07/02/pdfs/GMD-1805-53.pdf#page=7","Abrir facsímil")</f>
        <v>Abrir facsímil</v>
      </c>
      <c r="K3608" s="15" t="s">
        <v>22</v>
      </c>
    </row>
    <row r="3609" spans="1:11" ht="42" customHeight="1">
      <c r="A3609" s="4" t="s">
        <v>8406</v>
      </c>
      <c r="B3609" s="5" t="s">
        <v>8406</v>
      </c>
      <c r="C3609" s="5" t="s">
        <v>35</v>
      </c>
      <c r="D3609" s="5" t="s">
        <v>36</v>
      </c>
      <c r="E3609" s="5" t="s">
        <v>87</v>
      </c>
      <c r="F3609" s="9">
        <v>14</v>
      </c>
      <c r="G3609" s="9">
        <v>146</v>
      </c>
      <c r="H3609" s="5" t="s">
        <v>20</v>
      </c>
      <c r="I3609" s="5" t="s">
        <v>8407</v>
      </c>
      <c r="J3609" s="12" t="str">
        <f>HYPERLINK("https://www.boe.es/gazeta/dias/1805/02/15/pdfs/GMD-1805-14.pdf#page=6","Abrir facsímil")</f>
        <v>Abrir facsímil</v>
      </c>
      <c r="K3609" s="15" t="s">
        <v>22</v>
      </c>
    </row>
    <row r="3610" spans="1:11" ht="42" customHeight="1">
      <c r="A3610" s="4" t="s">
        <v>8408</v>
      </c>
      <c r="B3610" s="5" t="s">
        <v>8408</v>
      </c>
      <c r="C3610" s="5" t="s">
        <v>35</v>
      </c>
      <c r="D3610" s="5" t="s">
        <v>36</v>
      </c>
      <c r="E3610" s="5" t="s">
        <v>138</v>
      </c>
      <c r="F3610" s="9">
        <v>102</v>
      </c>
      <c r="G3610" s="9">
        <v>1104</v>
      </c>
      <c r="H3610" s="5" t="s">
        <v>20</v>
      </c>
      <c r="I3610" s="5" t="s">
        <v>8409</v>
      </c>
      <c r="J3610" s="12" t="str">
        <f>HYPERLINK("https://www.boe.es/gazeta/dias/1805/12/20/pdfs/GMD-1805-102.pdf#page=8","Abrir facsímil")</f>
        <v>Abrir facsímil</v>
      </c>
      <c r="K3610" s="15" t="s">
        <v>22</v>
      </c>
    </row>
    <row r="3611" spans="1:11" ht="42" customHeight="1">
      <c r="A3611" s="4" t="s">
        <v>8410</v>
      </c>
      <c r="B3611" s="5" t="s">
        <v>8411</v>
      </c>
      <c r="C3611" s="5" t="s">
        <v>35</v>
      </c>
      <c r="D3611" s="5" t="s">
        <v>36</v>
      </c>
      <c r="E3611" s="5" t="s">
        <v>226</v>
      </c>
      <c r="F3611" s="9">
        <v>73</v>
      </c>
      <c r="G3611" s="9">
        <v>774</v>
      </c>
      <c r="H3611" s="5" t="s">
        <v>20</v>
      </c>
      <c r="I3611" s="5" t="s">
        <v>8412</v>
      </c>
      <c r="J3611" s="12" t="str">
        <f>HYPERLINK("https://www.boe.es/gazeta/dias/1805/09/10/pdfs/GMD-1805-73.pdf#page=6","Abrir facsímil")</f>
        <v>Abrir facsímil</v>
      </c>
      <c r="K3611" s="15" t="s">
        <v>22</v>
      </c>
    </row>
    <row r="3612" spans="1:11" ht="42" customHeight="1">
      <c r="A3612" s="4" t="s">
        <v>8413</v>
      </c>
      <c r="B3612" s="5" t="s">
        <v>8413</v>
      </c>
      <c r="C3612" s="5" t="s">
        <v>29</v>
      </c>
      <c r="D3612" s="5" t="s">
        <v>30</v>
      </c>
      <c r="E3612" s="5" t="s">
        <v>958</v>
      </c>
      <c r="F3612" s="9">
        <v>58</v>
      </c>
      <c r="G3612" s="9">
        <v>624</v>
      </c>
      <c r="H3612" s="5" t="s">
        <v>20</v>
      </c>
      <c r="I3612" s="5" t="s">
        <v>8414</v>
      </c>
      <c r="J3612" s="12" t="str">
        <f>HYPERLINK("https://www.boe.es/gazeta/dias/1805/07/19/pdfs/GMD-1805-58.pdf#page=8","Abrir facsímil")</f>
        <v>Abrir facsímil</v>
      </c>
      <c r="K3612" s="15" t="s">
        <v>22</v>
      </c>
    </row>
    <row r="3613" spans="1:11" ht="42" customHeight="1">
      <c r="A3613" s="4" t="s">
        <v>8415</v>
      </c>
      <c r="B3613" s="5" t="s">
        <v>8415</v>
      </c>
      <c r="C3613" s="5" t="s">
        <v>35</v>
      </c>
      <c r="D3613" s="5" t="s">
        <v>36</v>
      </c>
      <c r="E3613" s="5" t="s">
        <v>91</v>
      </c>
      <c r="F3613" s="9">
        <v>28</v>
      </c>
      <c r="G3613" s="9">
        <v>301</v>
      </c>
      <c r="H3613" s="5" t="s">
        <v>20</v>
      </c>
      <c r="I3613" s="5" t="s">
        <v>8416</v>
      </c>
      <c r="J3613" s="12" t="str">
        <f>HYPERLINK("https://www.boe.es/gazeta/dias/1805/04/05/pdfs/GMD-1805-28.pdf#page=9","Abrir facsímil")</f>
        <v>Abrir facsímil</v>
      </c>
      <c r="K3613" s="15" t="s">
        <v>22</v>
      </c>
    </row>
    <row r="3614" spans="1:11" ht="42" customHeight="1">
      <c r="A3614" s="4" t="s">
        <v>8417</v>
      </c>
      <c r="B3614" s="5" t="s">
        <v>8417</v>
      </c>
      <c r="C3614" s="5" t="s">
        <v>35</v>
      </c>
      <c r="D3614" s="5" t="s">
        <v>36</v>
      </c>
      <c r="E3614" s="5" t="s">
        <v>91</v>
      </c>
      <c r="F3614" s="9">
        <v>28</v>
      </c>
      <c r="G3614" s="9">
        <v>300</v>
      </c>
      <c r="H3614" s="5" t="s">
        <v>20</v>
      </c>
      <c r="I3614" s="5" t="s">
        <v>8418</v>
      </c>
      <c r="J3614" s="12" t="str">
        <f>HYPERLINK("https://www.boe.es/gazeta/dias/1805/04/05/pdfs/GMD-1805-28.pdf#page=8","Abrir facsímil")</f>
        <v>Abrir facsímil</v>
      </c>
      <c r="K3614" s="15" t="s">
        <v>22</v>
      </c>
    </row>
    <row r="3615" spans="1:11" ht="42" customHeight="1">
      <c r="A3615" s="4" t="s">
        <v>8419</v>
      </c>
      <c r="B3615" s="5" t="s">
        <v>8419</v>
      </c>
      <c r="C3615" s="5" t="s">
        <v>52</v>
      </c>
      <c r="D3615" s="5" t="s">
        <v>53</v>
      </c>
      <c r="E3615" s="5" t="s">
        <v>144</v>
      </c>
      <c r="F3615" s="9">
        <v>85</v>
      </c>
      <c r="G3615" s="9" t="s">
        <v>1002</v>
      </c>
      <c r="H3615" s="5" t="s">
        <v>20</v>
      </c>
      <c r="I3615" s="5" t="s">
        <v>8420</v>
      </c>
      <c r="J3615" s="12" t="str">
        <f>HYPERLINK("https://www.boe.es/gazeta/dias/1805/10/22/pdfs/GMD-C-1805-85.pdf#page=7","Abrir facsímil")</f>
        <v>Abrir facsímil</v>
      </c>
      <c r="K3615" s="15" t="s">
        <v>22</v>
      </c>
    </row>
    <row r="3616" spans="1:11" ht="42" customHeight="1">
      <c r="A3616" s="4" t="s">
        <v>8421</v>
      </c>
      <c r="B3616" s="5" t="s">
        <v>8422</v>
      </c>
      <c r="C3616" s="5" t="s">
        <v>85</v>
      </c>
      <c r="D3616" s="5" t="s">
        <v>86</v>
      </c>
      <c r="E3616" s="5" t="s">
        <v>711</v>
      </c>
      <c r="F3616" s="9">
        <v>63</v>
      </c>
      <c r="G3616" s="9">
        <v>674</v>
      </c>
      <c r="H3616" s="5" t="s">
        <v>20</v>
      </c>
      <c r="I3616" s="5" t="s">
        <v>8423</v>
      </c>
      <c r="J3616" s="12" t="str">
        <f>HYPERLINK("https://www.boe.es/gazeta/dias/1805/08/06/pdfs/GMD-1805-63.pdf#page=10","Abrir facsímil")</f>
        <v>Abrir facsímil</v>
      </c>
      <c r="K3616" s="15" t="s">
        <v>22</v>
      </c>
    </row>
    <row r="3617" spans="1:11" ht="42" customHeight="1">
      <c r="A3617" s="4" t="s">
        <v>8421</v>
      </c>
      <c r="B3617" s="5" t="s">
        <v>8422</v>
      </c>
      <c r="C3617" s="5" t="s">
        <v>35</v>
      </c>
      <c r="D3617" s="5" t="s">
        <v>36</v>
      </c>
      <c r="E3617" s="5" t="s">
        <v>409</v>
      </c>
      <c r="F3617" s="9">
        <v>69</v>
      </c>
      <c r="G3617" s="9">
        <v>739</v>
      </c>
      <c r="H3617" s="5" t="s">
        <v>20</v>
      </c>
      <c r="I3617" s="5" t="s">
        <v>8424</v>
      </c>
      <c r="J3617" s="12" t="str">
        <f>HYPERLINK("https://www.boe.es/gazeta/dias/1805/08/27/pdfs/GMD-1805-69.pdf#page=7","Abrir facsímil")</f>
        <v>Abrir facsímil</v>
      </c>
      <c r="K3617" s="15" t="s">
        <v>22</v>
      </c>
    </row>
    <row r="3618" spans="1:11" ht="42" customHeight="1">
      <c r="A3618" s="4" t="s">
        <v>8425</v>
      </c>
      <c r="B3618" s="5" t="s">
        <v>8425</v>
      </c>
      <c r="C3618" s="5" t="s">
        <v>35</v>
      </c>
      <c r="D3618" s="5" t="s">
        <v>36</v>
      </c>
      <c r="E3618" s="5" t="s">
        <v>1187</v>
      </c>
      <c r="F3618" s="9">
        <v>40</v>
      </c>
      <c r="G3618" s="9">
        <v>431</v>
      </c>
      <c r="H3618" s="5" t="s">
        <v>20</v>
      </c>
      <c r="I3618" s="5" t="s">
        <v>8426</v>
      </c>
      <c r="J3618" s="12" t="str">
        <f>HYPERLINK("https://www.boe.es/gazeta/dias/1805/05/17/pdfs/GMD-1805-40.pdf#page=7","Abrir facsímil")</f>
        <v>Abrir facsímil</v>
      </c>
      <c r="K3618" s="15" t="s">
        <v>22</v>
      </c>
    </row>
    <row r="3619" spans="1:11" ht="42" customHeight="1">
      <c r="A3619" s="4" t="s">
        <v>8427</v>
      </c>
      <c r="B3619" s="5" t="s">
        <v>8427</v>
      </c>
      <c r="C3619" s="5" t="s">
        <v>17</v>
      </c>
      <c r="D3619" s="5" t="s">
        <v>18</v>
      </c>
      <c r="E3619" s="5" t="s">
        <v>649</v>
      </c>
      <c r="F3619" s="9">
        <v>7</v>
      </c>
      <c r="G3619" s="9">
        <v>74</v>
      </c>
      <c r="H3619" s="5" t="s">
        <v>20</v>
      </c>
      <c r="I3619" s="5" t="s">
        <v>8428</v>
      </c>
      <c r="J3619" s="12" t="str">
        <f>HYPERLINK("https://www.boe.es/gazeta/dias/1805/01/22/pdfs/GMD-1805-7.pdf#page=6","Abrir facsímil")</f>
        <v>Abrir facsímil</v>
      </c>
      <c r="K3619" s="15" t="s">
        <v>22</v>
      </c>
    </row>
    <row r="3620" spans="1:11" ht="42" customHeight="1">
      <c r="A3620" s="4" t="s">
        <v>8429</v>
      </c>
      <c r="B3620" s="5" t="s">
        <v>8429</v>
      </c>
      <c r="C3620" s="5" t="s">
        <v>29</v>
      </c>
      <c r="D3620" s="5" t="s">
        <v>30</v>
      </c>
      <c r="E3620" s="5" t="s">
        <v>27</v>
      </c>
      <c r="F3620" s="9">
        <v>37</v>
      </c>
      <c r="G3620" s="9">
        <v>404</v>
      </c>
      <c r="H3620" s="5" t="s">
        <v>20</v>
      </c>
      <c r="I3620" s="5" t="s">
        <v>8430</v>
      </c>
      <c r="J3620" s="12" t="str">
        <f>HYPERLINK("https://www.boe.es/gazeta/dias/1805/05/07/pdfs/GMD-1805-37.pdf#page=12","Abrir facsímil")</f>
        <v>Abrir facsímil</v>
      </c>
      <c r="K3620" s="15" t="s">
        <v>22</v>
      </c>
    </row>
    <row r="3621" spans="1:11" ht="42" customHeight="1">
      <c r="A3621" s="4" t="s">
        <v>8431</v>
      </c>
      <c r="B3621" s="5" t="s">
        <v>8432</v>
      </c>
      <c r="C3621" s="5" t="s">
        <v>85</v>
      </c>
      <c r="D3621" s="5" t="s">
        <v>86</v>
      </c>
      <c r="E3621" s="5" t="s">
        <v>567</v>
      </c>
      <c r="F3621" s="9">
        <v>49</v>
      </c>
      <c r="G3621" s="9">
        <v>529</v>
      </c>
      <c r="H3621" s="5" t="s">
        <v>20</v>
      </c>
      <c r="I3621" s="5" t="s">
        <v>8433</v>
      </c>
      <c r="J3621" s="12" t="str">
        <f>HYPERLINK("https://www.boe.es/gazeta/dias/1805/06/18/pdfs/GMD-1805-49.pdf#page=5","Abrir facsímil")</f>
        <v>Abrir facsímil</v>
      </c>
      <c r="K3621" s="15" t="s">
        <v>22</v>
      </c>
    </row>
    <row r="3622" spans="1:11" ht="42" customHeight="1">
      <c r="A3622" s="4" t="s">
        <v>8434</v>
      </c>
      <c r="B3622" s="5" t="s">
        <v>8434</v>
      </c>
      <c r="C3622" s="5" t="s">
        <v>35</v>
      </c>
      <c r="D3622" s="5" t="s">
        <v>36</v>
      </c>
      <c r="E3622" s="5" t="s">
        <v>63</v>
      </c>
      <c r="F3622" s="9">
        <v>101</v>
      </c>
      <c r="G3622" s="9">
        <v>1092</v>
      </c>
      <c r="H3622" s="5" t="s">
        <v>20</v>
      </c>
      <c r="I3622" s="5" t="s">
        <v>8435</v>
      </c>
      <c r="J3622" s="12" t="str">
        <f>HYPERLINK("https://www.boe.es/gazeta/dias/1805/12/17/pdfs/GMD-1805-101.pdf#page=8","Abrir facsímil")</f>
        <v>Abrir facsímil</v>
      </c>
      <c r="K3622" s="15" t="s">
        <v>22</v>
      </c>
    </row>
    <row r="3623" spans="1:11" ht="42" customHeight="1">
      <c r="A3623" s="4" t="s">
        <v>8436</v>
      </c>
      <c r="B3623" s="5" t="s">
        <v>8436</v>
      </c>
      <c r="C3623" s="5" t="s">
        <v>35</v>
      </c>
      <c r="D3623" s="5" t="s">
        <v>36</v>
      </c>
      <c r="E3623" s="5" t="s">
        <v>188</v>
      </c>
      <c r="F3623" s="9">
        <v>68</v>
      </c>
      <c r="G3623" s="9">
        <v>729</v>
      </c>
      <c r="H3623" s="5" t="s">
        <v>20</v>
      </c>
      <c r="I3623" s="5" t="s">
        <v>8437</v>
      </c>
      <c r="J3623" s="12" t="str">
        <f>HYPERLINK("https://www.boe.es/gazeta/dias/1805/08/23/pdfs/GMD-1805-68.pdf#page=9","Abrir facsímil")</f>
        <v>Abrir facsímil</v>
      </c>
      <c r="K3623" s="15" t="s">
        <v>22</v>
      </c>
    </row>
    <row r="3624" spans="1:11" ht="42" customHeight="1">
      <c r="A3624" s="4" t="s">
        <v>8438</v>
      </c>
      <c r="B3624" s="5" t="s">
        <v>8438</v>
      </c>
      <c r="C3624" s="5" t="s">
        <v>35</v>
      </c>
      <c r="D3624" s="5" t="s">
        <v>36</v>
      </c>
      <c r="E3624" s="5" t="s">
        <v>138</v>
      </c>
      <c r="F3624" s="9">
        <v>102</v>
      </c>
      <c r="G3624" s="9">
        <v>1104</v>
      </c>
      <c r="H3624" s="5" t="s">
        <v>20</v>
      </c>
      <c r="I3624" s="5" t="s">
        <v>8439</v>
      </c>
      <c r="J3624" s="12" t="str">
        <f>HYPERLINK("https://www.boe.es/gazeta/dias/1805/12/20/pdfs/GMD-1805-102.pdf#page=8","Abrir facsímil")</f>
        <v>Abrir facsímil</v>
      </c>
      <c r="K3624" s="15" t="s">
        <v>22</v>
      </c>
    </row>
    <row r="3625" spans="1:11" ht="42" customHeight="1">
      <c r="A3625" s="4" t="s">
        <v>8440</v>
      </c>
      <c r="B3625" s="5" t="s">
        <v>8440</v>
      </c>
      <c r="C3625" s="5" t="s">
        <v>184</v>
      </c>
      <c r="D3625" s="5" t="s">
        <v>86</v>
      </c>
      <c r="E3625" s="5" t="s">
        <v>76</v>
      </c>
      <c r="F3625" s="9">
        <v>66</v>
      </c>
      <c r="G3625" s="9">
        <v>709</v>
      </c>
      <c r="H3625" s="5" t="s">
        <v>20</v>
      </c>
      <c r="I3625" s="5" t="s">
        <v>8441</v>
      </c>
      <c r="J3625" s="12" t="str">
        <f>HYPERLINK("https://www.boe.es/gazeta/dias/1805/08/16/pdfs/GMD-1805-66.pdf#page=9","Abrir facsímil")</f>
        <v>Abrir facsímil</v>
      </c>
      <c r="K3625" s="15" t="s">
        <v>22</v>
      </c>
    </row>
    <row r="3626" spans="1:11" ht="42" customHeight="1">
      <c r="A3626" s="4" t="s">
        <v>8442</v>
      </c>
      <c r="B3626" s="5" t="s">
        <v>8442</v>
      </c>
      <c r="C3626" s="5" t="s">
        <v>85</v>
      </c>
      <c r="D3626" s="5" t="s">
        <v>86</v>
      </c>
      <c r="E3626" s="5" t="s">
        <v>335</v>
      </c>
      <c r="F3626" s="9">
        <v>79</v>
      </c>
      <c r="G3626" s="9">
        <v>838</v>
      </c>
      <c r="H3626" s="5" t="s">
        <v>20</v>
      </c>
      <c r="I3626" s="5" t="s">
        <v>8443</v>
      </c>
      <c r="J3626" s="12" t="str">
        <f>HYPERLINK("https://www.boe.es/gazeta/dias/1805/10/01/pdfs/GMD-1805-79.pdf#page=10","Abrir facsímil")</f>
        <v>Abrir facsímil</v>
      </c>
      <c r="K3626" s="15" t="s">
        <v>22</v>
      </c>
    </row>
    <row r="3627" spans="1:11" ht="42" customHeight="1">
      <c r="A3627" s="4" t="s">
        <v>8444</v>
      </c>
      <c r="B3627" s="5" t="s">
        <v>8444</v>
      </c>
      <c r="C3627" s="5" t="s">
        <v>52</v>
      </c>
      <c r="D3627" s="5" t="s">
        <v>53</v>
      </c>
      <c r="E3627" s="5" t="s">
        <v>82</v>
      </c>
      <c r="F3627" s="9">
        <v>25</v>
      </c>
      <c r="G3627" s="9" t="s">
        <v>222</v>
      </c>
      <c r="H3627" s="5" t="s">
        <v>20</v>
      </c>
      <c r="I3627" s="5" t="s">
        <v>8445</v>
      </c>
      <c r="J3627" s="12" t="str">
        <f>HYPERLINK("https://www.boe.es/gazeta/dias/1805/03/26/pdfs/GMD-C-1805-25.pdf#page=1","Abrir facsímil")</f>
        <v>Abrir facsímil</v>
      </c>
      <c r="K3627" s="15" t="s">
        <v>22</v>
      </c>
    </row>
    <row r="3628" spans="1:11" ht="42" customHeight="1">
      <c r="A3628" s="4" t="s">
        <v>8446</v>
      </c>
      <c r="B3628" s="5" t="s">
        <v>8446</v>
      </c>
      <c r="C3628" s="5" t="s">
        <v>52</v>
      </c>
      <c r="D3628" s="5" t="s">
        <v>53</v>
      </c>
      <c r="E3628" s="5" t="s">
        <v>144</v>
      </c>
      <c r="F3628" s="9">
        <v>85</v>
      </c>
      <c r="G3628" s="9" t="s">
        <v>475</v>
      </c>
      <c r="H3628" s="5" t="s">
        <v>20</v>
      </c>
      <c r="I3628" s="5" t="s">
        <v>8447</v>
      </c>
      <c r="J3628" s="12" t="str">
        <f>HYPERLINK("https://www.boe.es/gazeta/dias/1805/10/22/pdfs/GMD-C-1805-85.pdf#page=5","Abrir facsímil")</f>
        <v>Abrir facsímil</v>
      </c>
      <c r="K3628" s="15" t="s">
        <v>22</v>
      </c>
    </row>
    <row r="3629" spans="1:11" ht="42" customHeight="1">
      <c r="A3629" s="4" t="s">
        <v>8448</v>
      </c>
      <c r="B3629" s="5" t="s">
        <v>8448</v>
      </c>
      <c r="C3629" s="5" t="s">
        <v>184</v>
      </c>
      <c r="D3629" s="5" t="s">
        <v>86</v>
      </c>
      <c r="E3629" s="5" t="s">
        <v>181</v>
      </c>
      <c r="F3629" s="9">
        <v>90</v>
      </c>
      <c r="G3629" s="9">
        <v>966</v>
      </c>
      <c r="H3629" s="5" t="s">
        <v>20</v>
      </c>
      <c r="I3629" s="5" t="s">
        <v>8449</v>
      </c>
      <c r="J3629" s="12" t="str">
        <f>HYPERLINK("https://www.boe.es/gazeta/dias/1805/11/08/pdfs/GMD-1805-90.pdf#page=10","Abrir facsímil")</f>
        <v>Abrir facsímil</v>
      </c>
      <c r="K3629" s="15" t="s">
        <v>22</v>
      </c>
    </row>
    <row r="3630" spans="1:11" ht="42" customHeight="1">
      <c r="A3630" s="4" t="s">
        <v>8450</v>
      </c>
      <c r="B3630" s="5" t="s">
        <v>8450</v>
      </c>
      <c r="C3630" s="5" t="s">
        <v>35</v>
      </c>
      <c r="D3630" s="5" t="s">
        <v>36</v>
      </c>
      <c r="E3630" s="5" t="s">
        <v>141</v>
      </c>
      <c r="F3630" s="9">
        <v>82</v>
      </c>
      <c r="G3630" s="9">
        <v>870</v>
      </c>
      <c r="H3630" s="5" t="s">
        <v>20</v>
      </c>
      <c r="I3630" s="5" t="s">
        <v>8451</v>
      </c>
      <c r="J3630" s="12" t="str">
        <f>HYPERLINK("https://www.boe.es/gazeta/dias/1805/10/11/pdfs/GMD-1805-82.pdf#page=10","Abrir facsímil")</f>
        <v>Abrir facsímil</v>
      </c>
      <c r="K3630" s="15" t="s">
        <v>22</v>
      </c>
    </row>
    <row r="3631" spans="1:11" ht="42" customHeight="1">
      <c r="A3631" s="4" t="s">
        <v>8452</v>
      </c>
      <c r="B3631" s="5" t="s">
        <v>8452</v>
      </c>
      <c r="C3631" s="5" t="s">
        <v>85</v>
      </c>
      <c r="D3631" s="5" t="s">
        <v>86</v>
      </c>
      <c r="E3631" s="5" t="s">
        <v>290</v>
      </c>
      <c r="F3631" s="9">
        <v>36</v>
      </c>
      <c r="G3631" s="9">
        <v>388</v>
      </c>
      <c r="H3631" s="5" t="s">
        <v>20</v>
      </c>
      <c r="I3631" s="5" t="s">
        <v>8453</v>
      </c>
      <c r="J3631" s="12" t="str">
        <f>HYPERLINK("https://www.boe.es/gazeta/dias/1805/05/03/pdfs/GMD-1805-36.pdf#page=8","Abrir facsímil")</f>
        <v>Abrir facsímil</v>
      </c>
      <c r="K3631" s="15" t="s">
        <v>22</v>
      </c>
    </row>
    <row r="3632" spans="1:11" ht="42" customHeight="1">
      <c r="A3632" s="4" t="s">
        <v>8454</v>
      </c>
      <c r="B3632" s="5" t="s">
        <v>8454</v>
      </c>
      <c r="C3632" s="5" t="s">
        <v>35</v>
      </c>
      <c r="D3632" s="5" t="s">
        <v>36</v>
      </c>
      <c r="E3632" s="5" t="s">
        <v>107</v>
      </c>
      <c r="F3632" s="9">
        <v>19</v>
      </c>
      <c r="G3632" s="9">
        <v>198</v>
      </c>
      <c r="H3632" s="5" t="s">
        <v>20</v>
      </c>
      <c r="I3632" s="5" t="s">
        <v>8455</v>
      </c>
      <c r="J3632" s="12" t="str">
        <f>HYPERLINK("https://www.boe.es/gazeta/dias/1805/03/05/pdfs/GMD-1805-19.pdf#page=10","Abrir facsímil")</f>
        <v>Abrir facsímil</v>
      </c>
      <c r="K3632" s="15" t="s">
        <v>22</v>
      </c>
    </row>
    <row r="3633" spans="1:11" ht="42" customHeight="1">
      <c r="A3633" s="4" t="s">
        <v>8456</v>
      </c>
      <c r="B3633" s="5" t="s">
        <v>8456</v>
      </c>
      <c r="C3633" s="5" t="s">
        <v>29</v>
      </c>
      <c r="D3633" s="5" t="s">
        <v>30</v>
      </c>
      <c r="E3633" s="5" t="s">
        <v>196</v>
      </c>
      <c r="F3633" s="9">
        <v>67</v>
      </c>
      <c r="G3633" s="9">
        <v>720</v>
      </c>
      <c r="H3633" s="5" t="s">
        <v>20</v>
      </c>
      <c r="I3633" s="5" t="s">
        <v>8457</v>
      </c>
      <c r="J3633" s="12" t="str">
        <f>HYPERLINK("https://www.boe.es/gazeta/dias/1805/08/20/pdfs/GMD-1805-67.pdf#page=8","Abrir facsímil")</f>
        <v>Abrir facsímil</v>
      </c>
      <c r="K3633" s="15" t="s">
        <v>22</v>
      </c>
    </row>
    <row r="3634" spans="1:11" ht="42" customHeight="1">
      <c r="A3634" s="4" t="s">
        <v>8458</v>
      </c>
      <c r="B3634" s="5" t="s">
        <v>8458</v>
      </c>
      <c r="C3634" s="5" t="s">
        <v>85</v>
      </c>
      <c r="D3634" s="5" t="s">
        <v>86</v>
      </c>
      <c r="E3634" s="5" t="s">
        <v>512</v>
      </c>
      <c r="F3634" s="9">
        <v>100</v>
      </c>
      <c r="G3634" s="9">
        <v>1083</v>
      </c>
      <c r="H3634" s="5" t="s">
        <v>20</v>
      </c>
      <c r="I3634" s="5" t="s">
        <v>8459</v>
      </c>
      <c r="J3634" s="12" t="str">
        <f>HYPERLINK("https://www.boe.es/gazeta/dias/1805/12/13/pdfs/GMD-1805-100.pdf#page=11","Abrir facsímil")</f>
        <v>Abrir facsímil</v>
      </c>
      <c r="K3634" s="15" t="s">
        <v>22</v>
      </c>
    </row>
    <row r="3635" spans="1:11" ht="42" customHeight="1">
      <c r="A3635" s="4" t="s">
        <v>8460</v>
      </c>
      <c r="B3635" s="5" t="s">
        <v>8460</v>
      </c>
      <c r="C3635" s="5" t="s">
        <v>35</v>
      </c>
      <c r="D3635" s="5" t="s">
        <v>36</v>
      </c>
      <c r="E3635" s="5" t="s">
        <v>24</v>
      </c>
      <c r="F3635" s="9">
        <v>11</v>
      </c>
      <c r="G3635" s="9">
        <v>121</v>
      </c>
      <c r="H3635" s="5" t="s">
        <v>20</v>
      </c>
      <c r="I3635" s="5" t="s">
        <v>8461</v>
      </c>
      <c r="J3635" s="12" t="str">
        <f>HYPERLINK("https://www.boe.es/gazeta/dias/1805/02/05/pdfs/GMD-1805-11.pdf#page=9","Abrir facsímil")</f>
        <v>Abrir facsímil</v>
      </c>
      <c r="K3635" s="15" t="s">
        <v>22</v>
      </c>
    </row>
    <row r="3636" spans="1:11" ht="42" customHeight="1">
      <c r="A3636" s="4" t="s">
        <v>8462</v>
      </c>
      <c r="B3636" s="5" t="s">
        <v>8462</v>
      </c>
      <c r="C3636" s="5" t="s">
        <v>35</v>
      </c>
      <c r="D3636" s="5" t="s">
        <v>36</v>
      </c>
      <c r="E3636" s="5" t="s">
        <v>217</v>
      </c>
      <c r="F3636" s="9">
        <v>96</v>
      </c>
      <c r="G3636" s="9">
        <v>1029</v>
      </c>
      <c r="H3636" s="5" t="s">
        <v>20</v>
      </c>
      <c r="I3636" s="5" t="s">
        <v>8463</v>
      </c>
      <c r="J3636" s="12" t="str">
        <f>HYPERLINK("https://www.boe.es/gazeta/dias/1805/11/29/pdfs/GMD-1805-96.pdf#page=5","Abrir facsímil")</f>
        <v>Abrir facsímil</v>
      </c>
      <c r="K3636" s="15" t="s">
        <v>22</v>
      </c>
    </row>
    <row r="3637" spans="1:11" ht="42" customHeight="1">
      <c r="A3637" s="4" t="s">
        <v>8464</v>
      </c>
      <c r="B3637" s="5" t="s">
        <v>8464</v>
      </c>
      <c r="C3637" s="5" t="s">
        <v>17</v>
      </c>
      <c r="D3637" s="5" t="s">
        <v>18</v>
      </c>
      <c r="E3637" s="5" t="s">
        <v>196</v>
      </c>
      <c r="F3637" s="9">
        <v>67</v>
      </c>
      <c r="G3637" s="9">
        <v>717</v>
      </c>
      <c r="H3637" s="5" t="s">
        <v>20</v>
      </c>
      <c r="I3637" s="5" t="s">
        <v>8465</v>
      </c>
      <c r="J3637" s="12" t="str">
        <f>HYPERLINK("https://www.boe.es/gazeta/dias/1805/08/20/pdfs/GMD-1805-67.pdf#page=5","Abrir facsímil")</f>
        <v>Abrir facsímil</v>
      </c>
      <c r="K3637" s="15" t="s">
        <v>22</v>
      </c>
    </row>
    <row r="3638" spans="1:11" ht="42" customHeight="1">
      <c r="A3638" s="4" t="s">
        <v>8464</v>
      </c>
      <c r="B3638" s="5" t="s">
        <v>8464</v>
      </c>
      <c r="C3638" s="5" t="s">
        <v>35</v>
      </c>
      <c r="D3638" s="5" t="s">
        <v>36</v>
      </c>
      <c r="E3638" s="5" t="s">
        <v>426</v>
      </c>
      <c r="F3638" s="9">
        <v>75</v>
      </c>
      <c r="G3638" s="9">
        <v>798</v>
      </c>
      <c r="H3638" s="5" t="s">
        <v>20</v>
      </c>
      <c r="I3638" s="5" t="s">
        <v>8466</v>
      </c>
      <c r="J3638" s="12" t="str">
        <f>HYPERLINK("https://www.boe.es/gazeta/dias/1805/09/17/pdfs/GMD-1805-75.pdf#page=10","Abrir facsímil")</f>
        <v>Abrir facsímil</v>
      </c>
      <c r="K3638" s="15" t="s">
        <v>22</v>
      </c>
    </row>
    <row r="3639" spans="1:11" ht="42" customHeight="1">
      <c r="A3639" s="4" t="s">
        <v>8467</v>
      </c>
      <c r="B3639" s="5" t="s">
        <v>8467</v>
      </c>
      <c r="C3639" s="5" t="s">
        <v>35</v>
      </c>
      <c r="D3639" s="5" t="s">
        <v>36</v>
      </c>
      <c r="E3639" s="5" t="s">
        <v>144</v>
      </c>
      <c r="F3639" s="9">
        <v>85</v>
      </c>
      <c r="G3639" s="9">
        <v>902</v>
      </c>
      <c r="H3639" s="5" t="s">
        <v>20</v>
      </c>
      <c r="I3639" s="5" t="s">
        <v>8468</v>
      </c>
      <c r="J3639" s="12" t="str">
        <f>HYPERLINK("https://www.boe.es/gazeta/dias/1805/10/22/pdfs/GMD-1805-85.pdf#page=10","Abrir facsímil")</f>
        <v>Abrir facsímil</v>
      </c>
      <c r="K3639" s="15" t="s">
        <v>22</v>
      </c>
    </row>
    <row r="3640" spans="1:11" ht="42" customHeight="1">
      <c r="A3640" s="4" t="s">
        <v>8469</v>
      </c>
      <c r="B3640" s="5" t="s">
        <v>8469</v>
      </c>
      <c r="C3640" s="5" t="s">
        <v>85</v>
      </c>
      <c r="D3640" s="5" t="s">
        <v>86</v>
      </c>
      <c r="E3640" s="5" t="s">
        <v>44</v>
      </c>
      <c r="F3640" s="9">
        <v>29</v>
      </c>
      <c r="G3640" s="9">
        <v>312</v>
      </c>
      <c r="H3640" s="5" t="s">
        <v>20</v>
      </c>
      <c r="I3640" s="5" t="s">
        <v>8470</v>
      </c>
      <c r="J3640" s="12" t="str">
        <f>HYPERLINK("https://www.boe.es/gazeta/dias/1805/04/09/pdfs/GMD-1805-29.pdf#page=8","Abrir facsímil")</f>
        <v>Abrir facsímil</v>
      </c>
      <c r="K3640" s="15" t="s">
        <v>22</v>
      </c>
    </row>
    <row r="3641" spans="1:11" ht="42" customHeight="1">
      <c r="A3641" s="4" t="s">
        <v>8469</v>
      </c>
      <c r="B3641" s="5" t="s">
        <v>8469</v>
      </c>
      <c r="C3641" s="5" t="s">
        <v>35</v>
      </c>
      <c r="D3641" s="5" t="s">
        <v>36</v>
      </c>
      <c r="E3641" s="5" t="s">
        <v>303</v>
      </c>
      <c r="F3641" s="9">
        <v>57</v>
      </c>
      <c r="G3641" s="9">
        <v>612</v>
      </c>
      <c r="H3641" s="5" t="s">
        <v>20</v>
      </c>
      <c r="I3641" s="5" t="s">
        <v>8471</v>
      </c>
      <c r="J3641" s="12" t="str">
        <f>HYPERLINK("https://www.boe.es/gazeta/dias/1805/07/16/pdfs/GMD-1805-57.pdf#page=8","Abrir facsímil")</f>
        <v>Abrir facsímil</v>
      </c>
      <c r="K3641" s="15" t="s">
        <v>22</v>
      </c>
    </row>
    <row r="3642" spans="1:11" ht="42" customHeight="1">
      <c r="A3642" s="4" t="s">
        <v>8472</v>
      </c>
      <c r="B3642" s="5" t="s">
        <v>8473</v>
      </c>
      <c r="C3642" s="5" t="s">
        <v>17</v>
      </c>
      <c r="D3642" s="5" t="s">
        <v>18</v>
      </c>
      <c r="E3642" s="5" t="s">
        <v>27</v>
      </c>
      <c r="F3642" s="9">
        <v>37</v>
      </c>
      <c r="G3642" s="9">
        <v>402</v>
      </c>
      <c r="H3642" s="5" t="s">
        <v>20</v>
      </c>
      <c r="I3642" s="5" t="s">
        <v>8474</v>
      </c>
      <c r="J3642" s="12" t="str">
        <f>HYPERLINK("https://www.boe.es/gazeta/dias/1805/05/07/pdfs/GMD-1805-37.pdf#page=10","Abrir facsímil")</f>
        <v>Abrir facsímil</v>
      </c>
      <c r="K3642" s="15" t="s">
        <v>22</v>
      </c>
    </row>
    <row r="3643" spans="1:11" ht="42" customHeight="1">
      <c r="A3643" s="4" t="s">
        <v>8475</v>
      </c>
      <c r="B3643" s="5" t="s">
        <v>8475</v>
      </c>
      <c r="C3643" s="5" t="s">
        <v>52</v>
      </c>
      <c r="D3643" s="5" t="s">
        <v>53</v>
      </c>
      <c r="E3643" s="5" t="s">
        <v>54</v>
      </c>
      <c r="F3643" s="9">
        <v>99</v>
      </c>
      <c r="G3643" s="9" t="s">
        <v>145</v>
      </c>
      <c r="H3643" s="5" t="s">
        <v>20</v>
      </c>
      <c r="I3643" s="5" t="s">
        <v>8476</v>
      </c>
      <c r="J3643" s="12" t="str">
        <f>HYPERLINK("https://www.boe.es/gazeta/dias/1805/12/10/pdfs/GMD-C-1805-99.pdf#page=2","Abrir facsímil")</f>
        <v>Abrir facsímil</v>
      </c>
      <c r="K3643" s="15" t="s">
        <v>22</v>
      </c>
    </row>
    <row r="3644" spans="1:11" ht="42" customHeight="1">
      <c r="A3644" s="4" t="s">
        <v>8477</v>
      </c>
      <c r="B3644" s="5" t="s">
        <v>8477</v>
      </c>
      <c r="C3644" s="5" t="s">
        <v>35</v>
      </c>
      <c r="D3644" s="5" t="s">
        <v>36</v>
      </c>
      <c r="E3644" s="5" t="s">
        <v>103</v>
      </c>
      <c r="F3644" s="9">
        <v>30</v>
      </c>
      <c r="G3644" s="9">
        <v>323</v>
      </c>
      <c r="H3644" s="5" t="s">
        <v>20</v>
      </c>
      <c r="I3644" s="5" t="s">
        <v>8478</v>
      </c>
      <c r="J3644" s="12" t="str">
        <f>HYPERLINK("https://www.boe.es/gazeta/dias/1805/04/12/pdfs/GMD-1805-30.pdf#page=7","Abrir facsímil")</f>
        <v>Abrir facsímil</v>
      </c>
      <c r="K3644" s="15" t="s">
        <v>22</v>
      </c>
    </row>
    <row r="3645" spans="1:11" ht="42" customHeight="1">
      <c r="A3645" s="4" t="s">
        <v>8479</v>
      </c>
      <c r="B3645" s="5" t="s">
        <v>8479</v>
      </c>
      <c r="C3645" s="5" t="s">
        <v>17</v>
      </c>
      <c r="D3645" s="5" t="s">
        <v>18</v>
      </c>
      <c r="E3645" s="5" t="s">
        <v>506</v>
      </c>
      <c r="F3645" s="9">
        <v>80</v>
      </c>
      <c r="G3645" s="9">
        <v>849</v>
      </c>
      <c r="H3645" s="5" t="s">
        <v>20</v>
      </c>
      <c r="I3645" s="5" t="s">
        <v>8480</v>
      </c>
      <c r="J3645" s="12" t="str">
        <f>HYPERLINK("https://www.boe.es/gazeta/dias/1805/10/04/pdfs/GMD-1805-80.pdf#page=9","Abrir facsímil")</f>
        <v>Abrir facsímil</v>
      </c>
      <c r="K3645" s="15" t="s">
        <v>22</v>
      </c>
    </row>
    <row r="3646" spans="1:11" ht="42" customHeight="1">
      <c r="A3646" s="4" t="s">
        <v>8481</v>
      </c>
      <c r="B3646" s="5" t="s">
        <v>8481</v>
      </c>
      <c r="C3646" s="5" t="s">
        <v>85</v>
      </c>
      <c r="D3646" s="5" t="s">
        <v>86</v>
      </c>
      <c r="E3646" s="5" t="s">
        <v>107</v>
      </c>
      <c r="F3646" s="9">
        <v>19</v>
      </c>
      <c r="G3646" s="9">
        <v>198</v>
      </c>
      <c r="H3646" s="5" t="s">
        <v>20</v>
      </c>
      <c r="I3646" s="5" t="s">
        <v>8482</v>
      </c>
      <c r="J3646" s="12" t="str">
        <f>HYPERLINK("https://www.boe.es/gazeta/dias/1805/03/05/pdfs/GMD-1805-19.pdf#page=10","Abrir facsímil")</f>
        <v>Abrir facsímil</v>
      </c>
      <c r="K3646" s="15" t="s">
        <v>22</v>
      </c>
    </row>
    <row r="3647" spans="1:11" ht="42" customHeight="1">
      <c r="A3647" s="4" t="s">
        <v>8483</v>
      </c>
      <c r="B3647" s="5" t="s">
        <v>8483</v>
      </c>
      <c r="C3647" s="5" t="s">
        <v>35</v>
      </c>
      <c r="D3647" s="5" t="s">
        <v>36</v>
      </c>
      <c r="E3647" s="5" t="s">
        <v>303</v>
      </c>
      <c r="F3647" s="9">
        <v>57</v>
      </c>
      <c r="G3647" s="9">
        <v>610</v>
      </c>
      <c r="H3647" s="5" t="s">
        <v>20</v>
      </c>
      <c r="I3647" s="5" t="s">
        <v>8484</v>
      </c>
      <c r="J3647" s="12" t="str">
        <f>HYPERLINK("https://www.boe.es/gazeta/dias/1805/07/16/pdfs/GMD-1805-57.pdf#page=6","Abrir facsímil")</f>
        <v>Abrir facsímil</v>
      </c>
      <c r="K3647" s="15" t="s">
        <v>22</v>
      </c>
    </row>
    <row r="3648" spans="1:11" ht="42" customHeight="1">
      <c r="A3648" s="4" t="s">
        <v>8483</v>
      </c>
      <c r="B3648" s="5" t="s">
        <v>8483</v>
      </c>
      <c r="C3648" s="5" t="s">
        <v>52</v>
      </c>
      <c r="D3648" s="5" t="s">
        <v>53</v>
      </c>
      <c r="E3648" s="5" t="s">
        <v>54</v>
      </c>
      <c r="F3648" s="9">
        <v>99</v>
      </c>
      <c r="G3648" s="9" t="s">
        <v>145</v>
      </c>
      <c r="H3648" s="5" t="s">
        <v>20</v>
      </c>
      <c r="I3648" s="5" t="s">
        <v>8485</v>
      </c>
      <c r="J3648" s="12" t="str">
        <f>HYPERLINK("https://www.boe.es/gazeta/dias/1805/12/10/pdfs/GMD-C-1805-99.pdf#page=2","Abrir facsímil")</f>
        <v>Abrir facsímil</v>
      </c>
      <c r="K3648" s="15" t="s">
        <v>22</v>
      </c>
    </row>
    <row r="3649" spans="1:11" ht="42" customHeight="1">
      <c r="A3649" s="4" t="s">
        <v>8486</v>
      </c>
      <c r="B3649" s="5" t="s">
        <v>8486</v>
      </c>
      <c r="C3649" s="5" t="s">
        <v>35</v>
      </c>
      <c r="D3649" s="5" t="s">
        <v>36</v>
      </c>
      <c r="E3649" s="5" t="s">
        <v>163</v>
      </c>
      <c r="F3649" s="9">
        <v>77</v>
      </c>
      <c r="G3649" s="9">
        <v>816</v>
      </c>
      <c r="H3649" s="5" t="s">
        <v>20</v>
      </c>
      <c r="I3649" s="5" t="s">
        <v>8487</v>
      </c>
      <c r="J3649" s="12" t="str">
        <f>HYPERLINK("https://www.boe.es/gazeta/dias/1805/09/24/pdfs/GMD-1805-77.pdf#page=8","Abrir facsímil")</f>
        <v>Abrir facsímil</v>
      </c>
      <c r="K3649" s="15" t="s">
        <v>22</v>
      </c>
    </row>
    <row r="3650" spans="1:11" ht="42" customHeight="1">
      <c r="A3650" s="4" t="s">
        <v>8488</v>
      </c>
      <c r="B3650" s="5" t="s">
        <v>8488</v>
      </c>
      <c r="C3650" s="5" t="s">
        <v>85</v>
      </c>
      <c r="D3650" s="5" t="s">
        <v>86</v>
      </c>
      <c r="E3650" s="5" t="s">
        <v>711</v>
      </c>
      <c r="F3650" s="9">
        <v>63</v>
      </c>
      <c r="G3650" s="9">
        <v>673</v>
      </c>
      <c r="H3650" s="5" t="s">
        <v>20</v>
      </c>
      <c r="I3650" s="5" t="s">
        <v>8489</v>
      </c>
      <c r="J3650" s="12" t="str">
        <f>HYPERLINK("https://www.boe.es/gazeta/dias/1805/08/06/pdfs/GMD-1805-63.pdf#page=9","Abrir facsímil")</f>
        <v>Abrir facsímil</v>
      </c>
      <c r="K3650" s="15" t="s">
        <v>22</v>
      </c>
    </row>
    <row r="3651" spans="1:11" ht="42" customHeight="1">
      <c r="A3651" s="4" t="s">
        <v>8490</v>
      </c>
      <c r="B3651" s="5" t="s">
        <v>8490</v>
      </c>
      <c r="C3651" s="5" t="s">
        <v>35</v>
      </c>
      <c r="D3651" s="5" t="s">
        <v>36</v>
      </c>
      <c r="E3651" s="5" t="s">
        <v>422</v>
      </c>
      <c r="F3651" s="9">
        <v>74</v>
      </c>
      <c r="G3651" s="9">
        <v>786</v>
      </c>
      <c r="H3651" s="5" t="s">
        <v>20</v>
      </c>
      <c r="I3651" s="5" t="s">
        <v>8491</v>
      </c>
      <c r="J3651" s="12" t="str">
        <f>HYPERLINK("https://www.boe.es/gazeta/dias/1805/09/13/pdfs/GMD-1805-74.pdf#page=10","Abrir facsímil")</f>
        <v>Abrir facsímil</v>
      </c>
      <c r="K3651" s="15" t="s">
        <v>22</v>
      </c>
    </row>
    <row r="3652" spans="1:11" ht="42" customHeight="1">
      <c r="A3652" s="4" t="s">
        <v>8492</v>
      </c>
      <c r="B3652" s="5" t="s">
        <v>8492</v>
      </c>
      <c r="C3652" s="5" t="s">
        <v>17</v>
      </c>
      <c r="D3652" s="5" t="s">
        <v>18</v>
      </c>
      <c r="E3652" s="5" t="s">
        <v>300</v>
      </c>
      <c r="F3652" s="9">
        <v>81</v>
      </c>
      <c r="G3652" s="9">
        <v>859</v>
      </c>
      <c r="H3652" s="5" t="s">
        <v>20</v>
      </c>
      <c r="I3652" s="5" t="s">
        <v>8493</v>
      </c>
      <c r="J3652" s="12" t="str">
        <f>HYPERLINK("https://www.boe.es/gazeta/dias/1805/10/08/pdfs/GMD-1805-81.pdf#page=7","Abrir facsímil")</f>
        <v>Abrir facsímil</v>
      </c>
      <c r="K3652" s="15" t="s">
        <v>22</v>
      </c>
    </row>
    <row r="3653" spans="1:11" ht="42" customHeight="1">
      <c r="A3653" s="4" t="s">
        <v>8494</v>
      </c>
      <c r="B3653" s="5" t="s">
        <v>8495</v>
      </c>
      <c r="C3653" s="5" t="s">
        <v>35</v>
      </c>
      <c r="D3653" s="5" t="s">
        <v>36</v>
      </c>
      <c r="E3653" s="5" t="s">
        <v>138</v>
      </c>
      <c r="F3653" s="9">
        <v>102</v>
      </c>
      <c r="G3653" s="9">
        <v>1102</v>
      </c>
      <c r="H3653" s="5" t="s">
        <v>20</v>
      </c>
      <c r="I3653" s="5" t="s">
        <v>8496</v>
      </c>
      <c r="J3653" s="12" t="str">
        <f>HYPERLINK("https://www.boe.es/gazeta/dias/1805/12/20/pdfs/GMD-1805-102.pdf#page=6","Abrir facsímil")</f>
        <v>Abrir facsímil</v>
      </c>
      <c r="K3653" s="15" t="s">
        <v>22</v>
      </c>
    </row>
    <row r="3654" spans="1:11" ht="42" customHeight="1">
      <c r="A3654" s="4" t="s">
        <v>8497</v>
      </c>
      <c r="B3654" s="5" t="s">
        <v>8497</v>
      </c>
      <c r="C3654" s="5" t="s">
        <v>29</v>
      </c>
      <c r="D3654" s="5" t="s">
        <v>30</v>
      </c>
      <c r="E3654" s="5" t="s">
        <v>440</v>
      </c>
      <c r="F3654" s="9">
        <v>27</v>
      </c>
      <c r="G3654" s="9">
        <v>292</v>
      </c>
      <c r="H3654" s="5" t="s">
        <v>20</v>
      </c>
      <c r="I3654" s="5" t="s">
        <v>8498</v>
      </c>
      <c r="J3654" s="12" t="str">
        <f>HYPERLINK("https://www.boe.es/gazeta/dias/1805/04/02/pdfs/GMD-1805-27.pdf#page=12","Abrir facsímil")</f>
        <v>Abrir facsímil</v>
      </c>
      <c r="K3654" s="15" t="s">
        <v>22</v>
      </c>
    </row>
    <row r="3655" spans="1:11" ht="42" customHeight="1">
      <c r="A3655" s="4" t="s">
        <v>8497</v>
      </c>
      <c r="B3655" s="5" t="s">
        <v>8497</v>
      </c>
      <c r="C3655" s="5" t="s">
        <v>17</v>
      </c>
      <c r="D3655" s="5" t="s">
        <v>18</v>
      </c>
      <c r="E3655" s="5" t="s">
        <v>669</v>
      </c>
      <c r="F3655" s="9">
        <v>84</v>
      </c>
      <c r="G3655" s="9">
        <v>890</v>
      </c>
      <c r="H3655" s="5" t="s">
        <v>20</v>
      </c>
      <c r="I3655" s="5" t="s">
        <v>8499</v>
      </c>
      <c r="J3655" s="12" t="str">
        <f>HYPERLINK("https://www.boe.es/gazeta/dias/1805/10/18/pdfs/GMD-1805-84.pdf#page=6","Abrir facsímil")</f>
        <v>Abrir facsímil</v>
      </c>
      <c r="K3655" s="15" t="s">
        <v>22</v>
      </c>
    </row>
    <row r="3656" spans="1:11" ht="42" customHeight="1">
      <c r="A3656" s="4" t="s">
        <v>8500</v>
      </c>
      <c r="B3656" s="5" t="s">
        <v>8500</v>
      </c>
      <c r="C3656" s="5" t="s">
        <v>35</v>
      </c>
      <c r="D3656" s="5" t="s">
        <v>36</v>
      </c>
      <c r="E3656" s="5" t="s">
        <v>854</v>
      </c>
      <c r="F3656" s="9">
        <v>46</v>
      </c>
      <c r="G3656" s="9">
        <v>499</v>
      </c>
      <c r="H3656" s="5" t="s">
        <v>20</v>
      </c>
      <c r="I3656" s="5" t="s">
        <v>8501</v>
      </c>
      <c r="J3656" s="12" t="str">
        <f>HYPERLINK("https://www.boe.es/gazeta/dias/1805/06/07/pdfs/GMD-1805-46.pdf#page=11","Abrir facsímil")</f>
        <v>Abrir facsímil</v>
      </c>
      <c r="K3656" s="15" t="s">
        <v>22</v>
      </c>
    </row>
    <row r="3657" spans="1:11" ht="42" customHeight="1">
      <c r="A3657" s="4" t="s">
        <v>8502</v>
      </c>
      <c r="B3657" s="5" t="s">
        <v>8502</v>
      </c>
      <c r="C3657" s="5" t="s">
        <v>52</v>
      </c>
      <c r="D3657" s="5" t="s">
        <v>53</v>
      </c>
      <c r="E3657" s="5" t="s">
        <v>144</v>
      </c>
      <c r="F3657" s="9">
        <v>85</v>
      </c>
      <c r="G3657" s="9" t="s">
        <v>55</v>
      </c>
      <c r="H3657" s="5" t="s">
        <v>20</v>
      </c>
      <c r="I3657" s="5" t="s">
        <v>8503</v>
      </c>
      <c r="J3657" s="12" t="str">
        <f>HYPERLINK("https://www.boe.es/gazeta/dias/1805/10/22/pdfs/GMD-C-1805-85.pdf#page=4","Abrir facsímil")</f>
        <v>Abrir facsímil</v>
      </c>
      <c r="K3657" s="15" t="s">
        <v>22</v>
      </c>
    </row>
    <row r="3658" spans="1:11" ht="42" customHeight="1">
      <c r="A3658" s="4" t="s">
        <v>8504</v>
      </c>
      <c r="B3658" s="5" t="s">
        <v>8504</v>
      </c>
      <c r="C3658" s="5" t="s">
        <v>29</v>
      </c>
      <c r="D3658" s="5" t="s">
        <v>30</v>
      </c>
      <c r="E3658" s="5" t="s">
        <v>440</v>
      </c>
      <c r="F3658" s="9">
        <v>27</v>
      </c>
      <c r="G3658" s="9">
        <v>291</v>
      </c>
      <c r="H3658" s="5" t="s">
        <v>20</v>
      </c>
      <c r="I3658" s="5" t="s">
        <v>8505</v>
      </c>
      <c r="J3658" s="12" t="str">
        <f>HYPERLINK("https://www.boe.es/gazeta/dias/1805/04/02/pdfs/GMD-1805-27.pdf#page=11","Abrir facsímil")</f>
        <v>Abrir facsímil</v>
      </c>
      <c r="K3658" s="15" t="s">
        <v>22</v>
      </c>
    </row>
    <row r="3659" spans="1:11" ht="42" customHeight="1">
      <c r="A3659" s="4" t="s">
        <v>8506</v>
      </c>
      <c r="B3659" s="5" t="s">
        <v>8506</v>
      </c>
      <c r="C3659" s="5" t="s">
        <v>85</v>
      </c>
      <c r="D3659" s="5" t="s">
        <v>86</v>
      </c>
      <c r="E3659" s="5" t="s">
        <v>181</v>
      </c>
      <c r="F3659" s="9">
        <v>90</v>
      </c>
      <c r="G3659" s="9">
        <v>964</v>
      </c>
      <c r="H3659" s="5" t="s">
        <v>20</v>
      </c>
      <c r="I3659" s="5" t="s">
        <v>8507</v>
      </c>
      <c r="J3659" s="12" t="str">
        <f>HYPERLINK("https://www.boe.es/gazeta/dias/1805/11/08/pdfs/GMD-1805-90.pdf#page=8","Abrir facsímil")</f>
        <v>Abrir facsímil</v>
      </c>
      <c r="K3659" s="15" t="s">
        <v>22</v>
      </c>
    </row>
    <row r="3660" spans="1:11" ht="42" customHeight="1">
      <c r="A3660" s="4" t="s">
        <v>8508</v>
      </c>
      <c r="B3660" s="5" t="s">
        <v>8508</v>
      </c>
      <c r="C3660" s="5" t="s">
        <v>85</v>
      </c>
      <c r="D3660" s="5" t="s">
        <v>86</v>
      </c>
      <c r="E3660" s="5" t="s">
        <v>91</v>
      </c>
      <c r="F3660" s="9">
        <v>28</v>
      </c>
      <c r="G3660" s="9">
        <v>299</v>
      </c>
      <c r="H3660" s="5" t="s">
        <v>20</v>
      </c>
      <c r="I3660" s="5" t="s">
        <v>8509</v>
      </c>
      <c r="J3660" s="12" t="str">
        <f>HYPERLINK("https://www.boe.es/gazeta/dias/1805/04/05/pdfs/GMD-1805-28.pdf#page=7","Abrir facsímil")</f>
        <v>Abrir facsímil</v>
      </c>
      <c r="K3660" s="15" t="s">
        <v>22</v>
      </c>
    </row>
    <row r="3661" spans="1:11" ht="42" customHeight="1">
      <c r="A3661" s="4" t="s">
        <v>8510</v>
      </c>
      <c r="B3661" s="5" t="s">
        <v>8510</v>
      </c>
      <c r="C3661" s="5" t="s">
        <v>85</v>
      </c>
      <c r="D3661" s="5" t="s">
        <v>86</v>
      </c>
      <c r="E3661" s="5" t="s">
        <v>144</v>
      </c>
      <c r="F3661" s="9">
        <v>85</v>
      </c>
      <c r="G3661" s="9">
        <v>902</v>
      </c>
      <c r="H3661" s="5" t="s">
        <v>20</v>
      </c>
      <c r="I3661" s="5" t="s">
        <v>8511</v>
      </c>
      <c r="J3661" s="12" t="str">
        <f>HYPERLINK("https://www.boe.es/gazeta/dias/1805/10/22/pdfs/GMD-1805-85.pdf#page=10","Abrir facsímil")</f>
        <v>Abrir facsímil</v>
      </c>
      <c r="K3661" s="15" t="s">
        <v>22</v>
      </c>
    </row>
    <row r="3662" spans="1:11" ht="42" customHeight="1">
      <c r="A3662" s="4" t="s">
        <v>8512</v>
      </c>
      <c r="B3662" s="5" t="s">
        <v>8512</v>
      </c>
      <c r="C3662" s="5" t="s">
        <v>35</v>
      </c>
      <c r="D3662" s="5" t="s">
        <v>36</v>
      </c>
      <c r="E3662" s="5" t="s">
        <v>226</v>
      </c>
      <c r="F3662" s="9">
        <v>73</v>
      </c>
      <c r="G3662" s="9">
        <v>772</v>
      </c>
      <c r="H3662" s="5" t="s">
        <v>20</v>
      </c>
      <c r="I3662" s="5" t="s">
        <v>8513</v>
      </c>
      <c r="J3662" s="12" t="str">
        <f>HYPERLINK("https://www.boe.es/gazeta/dias/1805/09/10/pdfs/GMD-1805-73.pdf#page=4","Abrir facsímil")</f>
        <v>Abrir facsímil</v>
      </c>
      <c r="K3662" s="15" t="s">
        <v>22</v>
      </c>
    </row>
    <row r="3663" spans="1:11" ht="42" customHeight="1">
      <c r="A3663" s="4" t="s">
        <v>8514</v>
      </c>
      <c r="B3663" s="5" t="s">
        <v>8514</v>
      </c>
      <c r="C3663" s="5" t="s">
        <v>35</v>
      </c>
      <c r="D3663" s="5" t="s">
        <v>36</v>
      </c>
      <c r="E3663" s="5" t="s">
        <v>850</v>
      </c>
      <c r="F3663" s="9">
        <v>42</v>
      </c>
      <c r="G3663" s="9">
        <v>452</v>
      </c>
      <c r="H3663" s="5" t="s">
        <v>20</v>
      </c>
      <c r="I3663" s="5" t="s">
        <v>8515</v>
      </c>
      <c r="J3663" s="12" t="str">
        <f>HYPERLINK("https://www.boe.es/gazeta/dias/1805/05/24/pdfs/GMD-1805-42.pdf#page=8","Abrir facsímil")</f>
        <v>Abrir facsímil</v>
      </c>
      <c r="K3663" s="15" t="s">
        <v>22</v>
      </c>
    </row>
    <row r="3664" spans="1:11" ht="42" customHeight="1">
      <c r="A3664" s="4" t="s">
        <v>8516</v>
      </c>
      <c r="B3664" s="5" t="s">
        <v>8516</v>
      </c>
      <c r="C3664" s="5" t="s">
        <v>35</v>
      </c>
      <c r="D3664" s="5" t="s">
        <v>36</v>
      </c>
      <c r="E3664" s="5" t="s">
        <v>170</v>
      </c>
      <c r="F3664" s="9">
        <v>9</v>
      </c>
      <c r="G3664" s="9">
        <v>98</v>
      </c>
      <c r="H3664" s="5" t="s">
        <v>20</v>
      </c>
      <c r="I3664" s="5" t="s">
        <v>8517</v>
      </c>
      <c r="J3664" s="12" t="str">
        <f>HYPERLINK("https://www.boe.es/gazeta/dias/1805/01/29/pdfs/GMD-1805-9.pdf#page=6","Abrir facsímil")</f>
        <v>Abrir facsímil</v>
      </c>
      <c r="K3664" s="15" t="s">
        <v>22</v>
      </c>
    </row>
    <row r="3665" spans="1:11" ht="42" customHeight="1">
      <c r="A3665" s="4" t="s">
        <v>8518</v>
      </c>
      <c r="B3665" s="5" t="s">
        <v>8518</v>
      </c>
      <c r="C3665" s="5" t="s">
        <v>35</v>
      </c>
      <c r="D3665" s="5" t="s">
        <v>36</v>
      </c>
      <c r="E3665" s="5" t="s">
        <v>365</v>
      </c>
      <c r="F3665" s="9">
        <v>3</v>
      </c>
      <c r="G3665" s="9">
        <v>29</v>
      </c>
      <c r="H3665" s="5" t="s">
        <v>20</v>
      </c>
      <c r="I3665" s="5" t="s">
        <v>8519</v>
      </c>
      <c r="J3665" s="12" t="str">
        <f>HYPERLINK("https://www.boe.es/gazeta/dias/1805/01/08/pdfs/GMD-1805-3.pdf#page=5","Abrir facsímil")</f>
        <v>Abrir facsímil</v>
      </c>
      <c r="K3665" s="15" t="s">
        <v>22</v>
      </c>
    </row>
    <row r="3666" spans="1:11" ht="42" customHeight="1">
      <c r="A3666" s="4" t="s">
        <v>8520</v>
      </c>
      <c r="B3666" s="5" t="s">
        <v>8520</v>
      </c>
      <c r="C3666" s="5" t="s">
        <v>52</v>
      </c>
      <c r="D3666" s="5" t="s">
        <v>53</v>
      </c>
      <c r="E3666" s="5" t="s">
        <v>82</v>
      </c>
      <c r="F3666" s="9">
        <v>25</v>
      </c>
      <c r="G3666" s="9" t="s">
        <v>145</v>
      </c>
      <c r="H3666" s="5" t="s">
        <v>20</v>
      </c>
      <c r="I3666" s="5" t="s">
        <v>8521</v>
      </c>
      <c r="J3666" s="12" t="str">
        <f>HYPERLINK("https://www.boe.es/gazeta/dias/1805/03/26/pdfs/GMD-C-1805-25.pdf#page=2","Abrir facsímil")</f>
        <v>Abrir facsímil</v>
      </c>
      <c r="K3666" s="15" t="s">
        <v>22</v>
      </c>
    </row>
    <row r="3667" spans="1:11" ht="42" customHeight="1">
      <c r="A3667" s="4" t="s">
        <v>8522</v>
      </c>
      <c r="B3667" s="5" t="s">
        <v>8522</v>
      </c>
      <c r="C3667" s="5" t="s">
        <v>184</v>
      </c>
      <c r="D3667" s="5" t="s">
        <v>86</v>
      </c>
      <c r="E3667" s="5" t="s">
        <v>196</v>
      </c>
      <c r="F3667" s="9">
        <v>67</v>
      </c>
      <c r="G3667" s="9">
        <v>720</v>
      </c>
      <c r="H3667" s="5" t="s">
        <v>20</v>
      </c>
      <c r="I3667" s="5" t="s">
        <v>8523</v>
      </c>
      <c r="J3667" s="12" t="str">
        <f>HYPERLINK("https://www.boe.es/gazeta/dias/1805/08/20/pdfs/GMD-1805-67.pdf#page=8","Abrir facsímil")</f>
        <v>Abrir facsímil</v>
      </c>
      <c r="K3667" s="15" t="s">
        <v>22</v>
      </c>
    </row>
    <row r="3668" spans="1:11" ht="42" customHeight="1">
      <c r="A3668" s="4" t="s">
        <v>8524</v>
      </c>
      <c r="B3668" s="5" t="s">
        <v>8524</v>
      </c>
      <c r="C3668" s="5" t="s">
        <v>35</v>
      </c>
      <c r="D3668" s="5" t="s">
        <v>36</v>
      </c>
      <c r="E3668" s="5" t="s">
        <v>363</v>
      </c>
      <c r="F3668" s="9">
        <v>1</v>
      </c>
      <c r="G3668" s="9">
        <v>10</v>
      </c>
      <c r="H3668" s="5" t="s">
        <v>20</v>
      </c>
      <c r="I3668" s="5" t="s">
        <v>8525</v>
      </c>
      <c r="J3668" s="12" t="str">
        <f>HYPERLINK("https://www.boe.es/gazeta/dias/1805/01/01/pdfs/GMD-1805-1.pdf#page=10","Abrir facsímil")</f>
        <v>Abrir facsímil</v>
      </c>
      <c r="K3668" s="15" t="s">
        <v>22</v>
      </c>
    </row>
    <row r="3669" spans="1:11" ht="42" customHeight="1">
      <c r="A3669" s="4" t="s">
        <v>8526</v>
      </c>
      <c r="B3669" s="5" t="s">
        <v>8526</v>
      </c>
      <c r="C3669" s="5" t="s">
        <v>35</v>
      </c>
      <c r="D3669" s="5" t="s">
        <v>36</v>
      </c>
      <c r="E3669" s="5" t="s">
        <v>91</v>
      </c>
      <c r="F3669" s="9">
        <v>28</v>
      </c>
      <c r="G3669" s="9">
        <v>300</v>
      </c>
      <c r="H3669" s="5" t="s">
        <v>20</v>
      </c>
      <c r="I3669" s="5" t="s">
        <v>8527</v>
      </c>
      <c r="J3669" s="12" t="str">
        <f>HYPERLINK("https://www.boe.es/gazeta/dias/1805/04/05/pdfs/GMD-1805-28.pdf#page=8","Abrir facsímil")</f>
        <v>Abrir facsímil</v>
      </c>
      <c r="K3669" s="15" t="s">
        <v>22</v>
      </c>
    </row>
    <row r="3670" spans="1:11" ht="42" customHeight="1">
      <c r="A3670" s="4" t="s">
        <v>8528</v>
      </c>
      <c r="B3670" s="5" t="s">
        <v>8529</v>
      </c>
      <c r="C3670" s="5" t="s">
        <v>35</v>
      </c>
      <c r="D3670" s="5" t="s">
        <v>36</v>
      </c>
      <c r="E3670" s="5" t="s">
        <v>711</v>
      </c>
      <c r="F3670" s="9">
        <v>63</v>
      </c>
      <c r="G3670" s="9">
        <v>673</v>
      </c>
      <c r="H3670" s="5" t="s">
        <v>20</v>
      </c>
      <c r="I3670" s="5" t="s">
        <v>8530</v>
      </c>
      <c r="J3670" s="12" t="str">
        <f>HYPERLINK("https://www.boe.es/gazeta/dias/1805/08/06/pdfs/GMD-1805-63.pdf#page=9","Abrir facsímil")</f>
        <v>Abrir facsímil</v>
      </c>
      <c r="K3670" s="15" t="s">
        <v>22</v>
      </c>
    </row>
    <row r="3671" spans="1:11" ht="42" customHeight="1">
      <c r="A3671" s="4" t="s">
        <v>8531</v>
      </c>
      <c r="B3671" s="5" t="s">
        <v>8531</v>
      </c>
      <c r="C3671" s="5" t="s">
        <v>85</v>
      </c>
      <c r="D3671" s="5" t="s">
        <v>86</v>
      </c>
      <c r="E3671" s="5" t="s">
        <v>135</v>
      </c>
      <c r="F3671" s="9">
        <v>71</v>
      </c>
      <c r="G3671" s="9">
        <v>757</v>
      </c>
      <c r="H3671" s="5" t="s">
        <v>20</v>
      </c>
      <c r="I3671" s="5" t="s">
        <v>8532</v>
      </c>
      <c r="J3671" s="12" t="str">
        <f>HYPERLINK("https://www.boe.es/gazeta/dias/1805/09/03/pdfs/GMD-1805-71.pdf#page=9","Abrir facsímil")</f>
        <v>Abrir facsímil</v>
      </c>
      <c r="K3671" s="15" t="s">
        <v>22</v>
      </c>
    </row>
    <row r="3672" spans="1:11" ht="42" customHeight="1">
      <c r="A3672" s="4" t="s">
        <v>8533</v>
      </c>
      <c r="B3672" s="5" t="s">
        <v>8533</v>
      </c>
      <c r="C3672" s="5" t="s">
        <v>52</v>
      </c>
      <c r="D3672" s="5" t="s">
        <v>53</v>
      </c>
      <c r="E3672" s="5" t="s">
        <v>54</v>
      </c>
      <c r="F3672" s="9">
        <v>99</v>
      </c>
      <c r="G3672" s="9" t="s">
        <v>222</v>
      </c>
      <c r="H3672" s="5" t="s">
        <v>20</v>
      </c>
      <c r="I3672" s="5" t="s">
        <v>8534</v>
      </c>
      <c r="J3672" s="12" t="str">
        <f>HYPERLINK("https://www.boe.es/gazeta/dias/1805/12/10/pdfs/GMD-C-1805-99.pdf#page=1","Abrir facsímil")</f>
        <v>Abrir facsímil</v>
      </c>
      <c r="K3672" s="15" t="s">
        <v>22</v>
      </c>
    </row>
    <row r="3673" spans="1:11" ht="42" customHeight="1">
      <c r="A3673" s="4" t="s">
        <v>8533</v>
      </c>
      <c r="B3673" s="5" t="s">
        <v>8533</v>
      </c>
      <c r="C3673" s="5" t="s">
        <v>52</v>
      </c>
      <c r="D3673" s="5" t="s">
        <v>53</v>
      </c>
      <c r="E3673" s="5" t="s">
        <v>54</v>
      </c>
      <c r="F3673" s="9">
        <v>99</v>
      </c>
      <c r="G3673" s="9" t="s">
        <v>159</v>
      </c>
      <c r="H3673" s="5" t="s">
        <v>20</v>
      </c>
      <c r="I3673" s="5" t="s">
        <v>8535</v>
      </c>
      <c r="J3673" s="12" t="str">
        <f>HYPERLINK("https://www.boe.es/gazeta/dias/1805/12/10/pdfs/GMD-C-1805-99.pdf#page=3","Abrir facsímil")</f>
        <v>Abrir facsímil</v>
      </c>
      <c r="K3673" s="15" t="s">
        <v>22</v>
      </c>
    </row>
    <row r="3674" spans="1:11" ht="42" customHeight="1">
      <c r="A3674" s="4" t="s">
        <v>8536</v>
      </c>
      <c r="B3674" s="5" t="s">
        <v>8536</v>
      </c>
      <c r="C3674" s="5" t="s">
        <v>29</v>
      </c>
      <c r="D3674" s="5" t="s">
        <v>30</v>
      </c>
      <c r="E3674" s="5" t="s">
        <v>63</v>
      </c>
      <c r="F3674" s="9">
        <v>101</v>
      </c>
      <c r="G3674" s="9">
        <v>1095</v>
      </c>
      <c r="H3674" s="5" t="s">
        <v>20</v>
      </c>
      <c r="I3674" s="5" t="s">
        <v>8537</v>
      </c>
      <c r="J3674" s="12" t="str">
        <f>HYPERLINK("https://www.boe.es/gazeta/dias/1805/12/17/pdfs/GMD-1805-101.pdf#page=11","Abrir facsímil")</f>
        <v>Abrir facsímil</v>
      </c>
      <c r="K3674" s="15" t="s">
        <v>22</v>
      </c>
    </row>
    <row r="3675" spans="1:11" ht="42" customHeight="1">
      <c r="A3675" s="4" t="s">
        <v>8538</v>
      </c>
      <c r="B3675" s="5" t="s">
        <v>8538</v>
      </c>
      <c r="C3675" s="5" t="s">
        <v>35</v>
      </c>
      <c r="D3675" s="5" t="s">
        <v>36</v>
      </c>
      <c r="E3675" s="5" t="s">
        <v>789</v>
      </c>
      <c r="F3675" s="9">
        <v>104</v>
      </c>
      <c r="G3675" s="9">
        <v>1128</v>
      </c>
      <c r="H3675" s="5" t="s">
        <v>20</v>
      </c>
      <c r="I3675" s="5" t="s">
        <v>8539</v>
      </c>
      <c r="J3675" s="12" t="str">
        <f>HYPERLINK("https://www.boe.es/gazeta/dias/1805/12/27/pdfs/GMD-1805-104.pdf#page=12","Abrir facsímil")</f>
        <v>Abrir facsímil</v>
      </c>
      <c r="K3675" s="15" t="s">
        <v>22</v>
      </c>
    </row>
    <row r="3676" spans="1:11" ht="42" customHeight="1">
      <c r="A3676" s="4" t="s">
        <v>8540</v>
      </c>
      <c r="B3676" s="5" t="s">
        <v>8540</v>
      </c>
      <c r="C3676" s="5" t="s">
        <v>17</v>
      </c>
      <c r="D3676" s="5" t="s">
        <v>18</v>
      </c>
      <c r="E3676" s="5" t="s">
        <v>71</v>
      </c>
      <c r="F3676" s="9">
        <v>33</v>
      </c>
      <c r="G3676" s="9">
        <v>352</v>
      </c>
      <c r="H3676" s="5" t="s">
        <v>20</v>
      </c>
      <c r="I3676" s="5" t="s">
        <v>8541</v>
      </c>
      <c r="J3676" s="12" t="str">
        <f>HYPERLINK("https://www.boe.es/gazeta/dias/1805/04/23/pdfs/GMD-1805-33.pdf#page=8","Abrir facsímil")</f>
        <v>Abrir facsímil</v>
      </c>
      <c r="K3676" s="15" t="s">
        <v>22</v>
      </c>
    </row>
    <row r="3677" spans="1:11" ht="42" customHeight="1">
      <c r="A3677" s="4" t="s">
        <v>8542</v>
      </c>
      <c r="B3677" s="5" t="s">
        <v>8542</v>
      </c>
      <c r="C3677" s="5" t="s">
        <v>17</v>
      </c>
      <c r="D3677" s="5" t="s">
        <v>18</v>
      </c>
      <c r="E3677" s="5" t="s">
        <v>76</v>
      </c>
      <c r="F3677" s="9">
        <v>66</v>
      </c>
      <c r="G3677" s="9">
        <v>710</v>
      </c>
      <c r="H3677" s="5" t="s">
        <v>20</v>
      </c>
      <c r="I3677" s="5" t="s">
        <v>8543</v>
      </c>
      <c r="J3677" s="12" t="str">
        <f>HYPERLINK("https://www.boe.es/gazeta/dias/1805/08/16/pdfs/GMD-1805-66.pdf#page=10","Abrir facsímil")</f>
        <v>Abrir facsímil</v>
      </c>
      <c r="K3677" s="15" t="s">
        <v>22</v>
      </c>
    </row>
    <row r="3678" spans="1:11" ht="42" customHeight="1">
      <c r="A3678" s="4" t="s">
        <v>8544</v>
      </c>
      <c r="B3678" s="5" t="s">
        <v>8545</v>
      </c>
      <c r="C3678" s="5" t="s">
        <v>80</v>
      </c>
      <c r="D3678" s="5" t="s">
        <v>81</v>
      </c>
      <c r="E3678" s="5" t="s">
        <v>71</v>
      </c>
      <c r="F3678" s="9">
        <v>33</v>
      </c>
      <c r="G3678" s="9">
        <v>347</v>
      </c>
      <c r="H3678" s="5" t="s">
        <v>20</v>
      </c>
      <c r="I3678" s="5" t="s">
        <v>8546</v>
      </c>
      <c r="J3678" s="12" t="str">
        <f>HYPERLINK("https://www.boe.es/gazeta/dias/1805/04/23/pdfs/GMD-1805-33.pdf#page=3","Abrir facsímil")</f>
        <v>Abrir facsímil</v>
      </c>
      <c r="K3678" s="15" t="s">
        <v>22</v>
      </c>
    </row>
    <row r="3679" spans="1:11" ht="42" customHeight="1">
      <c r="A3679" s="4" t="s">
        <v>8544</v>
      </c>
      <c r="B3679" s="5" t="s">
        <v>8545</v>
      </c>
      <c r="C3679" s="5" t="s">
        <v>184</v>
      </c>
      <c r="D3679" s="5" t="s">
        <v>86</v>
      </c>
      <c r="E3679" s="5" t="s">
        <v>48</v>
      </c>
      <c r="F3679" s="9">
        <v>35</v>
      </c>
      <c r="G3679" s="9">
        <v>371</v>
      </c>
      <c r="H3679" s="5" t="s">
        <v>20</v>
      </c>
      <c r="I3679" s="5" t="s">
        <v>8547</v>
      </c>
      <c r="J3679" s="12" t="str">
        <f>HYPERLINK("https://www.boe.es/gazeta/dias/1805/04/30/pdfs/GMD-1805-35.pdf#page=3","Abrir facsímil")</f>
        <v>Abrir facsímil</v>
      </c>
      <c r="K3679" s="15" t="s">
        <v>22</v>
      </c>
    </row>
    <row r="3680" spans="1:11" ht="42" customHeight="1">
      <c r="A3680" s="4" t="s">
        <v>8548</v>
      </c>
      <c r="B3680" s="5" t="s">
        <v>8549</v>
      </c>
      <c r="C3680" s="5" t="s">
        <v>35</v>
      </c>
      <c r="D3680" s="5" t="s">
        <v>36</v>
      </c>
      <c r="E3680" s="5" t="s">
        <v>135</v>
      </c>
      <c r="F3680" s="9">
        <v>71</v>
      </c>
      <c r="G3680" s="9">
        <v>757</v>
      </c>
      <c r="H3680" s="5" t="s">
        <v>20</v>
      </c>
      <c r="I3680" s="5" t="s">
        <v>8550</v>
      </c>
      <c r="J3680" s="12" t="str">
        <f>HYPERLINK("https://www.boe.es/gazeta/dias/1805/09/03/pdfs/GMD-1805-71.pdf#page=9","Abrir facsímil")</f>
        <v>Abrir facsímil</v>
      </c>
      <c r="K3680" s="15" t="s">
        <v>22</v>
      </c>
    </row>
    <row r="3681" spans="1:11" ht="42" customHeight="1">
      <c r="A3681" s="4" t="s">
        <v>8548</v>
      </c>
      <c r="B3681" s="5" t="s">
        <v>8549</v>
      </c>
      <c r="C3681" s="5" t="s">
        <v>35</v>
      </c>
      <c r="D3681" s="5" t="s">
        <v>36</v>
      </c>
      <c r="E3681" s="5" t="s">
        <v>99</v>
      </c>
      <c r="F3681" s="9">
        <v>83</v>
      </c>
      <c r="G3681" s="9">
        <v>882</v>
      </c>
      <c r="H3681" s="5" t="s">
        <v>20</v>
      </c>
      <c r="I3681" s="5" t="s">
        <v>8551</v>
      </c>
      <c r="J3681" s="12" t="str">
        <f>HYPERLINK("https://www.boe.es/gazeta/dias/1805/10/15/pdfs/GMD-1805-83.pdf#page=10","Abrir facsímil")</f>
        <v>Abrir facsímil</v>
      </c>
      <c r="K3681" s="15" t="s">
        <v>22</v>
      </c>
    </row>
    <row r="3682" spans="1:11" ht="42" customHeight="1">
      <c r="A3682" s="4" t="s">
        <v>8552</v>
      </c>
      <c r="B3682" s="5" t="s">
        <v>8553</v>
      </c>
      <c r="C3682" s="5" t="s">
        <v>80</v>
      </c>
      <c r="D3682" s="5" t="s">
        <v>81</v>
      </c>
      <c r="E3682" s="5" t="s">
        <v>363</v>
      </c>
      <c r="F3682" s="9">
        <v>1</v>
      </c>
      <c r="G3682" s="9">
        <v>7</v>
      </c>
      <c r="H3682" s="5" t="s">
        <v>20</v>
      </c>
      <c r="I3682" s="5" t="s">
        <v>8554</v>
      </c>
      <c r="J3682" s="12" t="str">
        <f>HYPERLINK("https://www.boe.es/gazeta/dias/1805/01/01/pdfs/GMD-1805-1.pdf#page=7","Abrir facsímil")</f>
        <v>Abrir facsímil</v>
      </c>
      <c r="K3682" s="15" t="s">
        <v>22</v>
      </c>
    </row>
    <row r="3683" spans="1:11" ht="42" customHeight="1">
      <c r="A3683" s="4" t="s">
        <v>8552</v>
      </c>
      <c r="B3683" s="5" t="s">
        <v>8553</v>
      </c>
      <c r="C3683" s="5" t="s">
        <v>17</v>
      </c>
      <c r="D3683" s="5" t="s">
        <v>18</v>
      </c>
      <c r="E3683" s="5" t="s">
        <v>649</v>
      </c>
      <c r="F3683" s="9">
        <v>7</v>
      </c>
      <c r="G3683" s="9">
        <v>72</v>
      </c>
      <c r="H3683" s="5" t="s">
        <v>20</v>
      </c>
      <c r="I3683" s="5" t="s">
        <v>8555</v>
      </c>
      <c r="J3683" s="12" t="str">
        <f>HYPERLINK("https://www.boe.es/gazeta/dias/1805/01/22/pdfs/GMD-1805-7.pdf#page=4","Abrir facsímil")</f>
        <v>Abrir facsímil</v>
      </c>
      <c r="K3683" s="15" t="s">
        <v>22</v>
      </c>
    </row>
    <row r="3684" spans="1:11" ht="42" customHeight="1">
      <c r="A3684" s="4" t="s">
        <v>8552</v>
      </c>
      <c r="B3684" s="5" t="s">
        <v>8553</v>
      </c>
      <c r="C3684" s="5" t="s">
        <v>17</v>
      </c>
      <c r="D3684" s="5" t="s">
        <v>18</v>
      </c>
      <c r="E3684" s="5" t="s">
        <v>59</v>
      </c>
      <c r="F3684" s="9">
        <v>21</v>
      </c>
      <c r="G3684" s="9">
        <v>219</v>
      </c>
      <c r="H3684" s="5" t="s">
        <v>20</v>
      </c>
      <c r="I3684" s="5" t="s">
        <v>8556</v>
      </c>
      <c r="J3684" s="12" t="str">
        <f>HYPERLINK("https://www.boe.es/gazeta/dias/1805/03/12/pdfs/GMD-1805-21.pdf#page=7","Abrir facsímil")</f>
        <v>Abrir facsímil</v>
      </c>
      <c r="K3684" s="15" t="s">
        <v>22</v>
      </c>
    </row>
    <row r="3685" spans="1:11" ht="42" customHeight="1">
      <c r="A3685" s="4" t="s">
        <v>8552</v>
      </c>
      <c r="B3685" s="5" t="s">
        <v>8553</v>
      </c>
      <c r="C3685" s="5" t="s">
        <v>80</v>
      </c>
      <c r="D3685" s="5" t="s">
        <v>81</v>
      </c>
      <c r="E3685" s="5" t="s">
        <v>44</v>
      </c>
      <c r="F3685" s="9">
        <v>29</v>
      </c>
      <c r="G3685" s="9">
        <v>309</v>
      </c>
      <c r="H3685" s="5" t="s">
        <v>20</v>
      </c>
      <c r="I3685" s="5" t="s">
        <v>8557</v>
      </c>
      <c r="J3685" s="12" t="str">
        <f>HYPERLINK("https://www.boe.es/gazeta/dias/1805/04/09/pdfs/GMD-1805-29.pdf#page=5","Abrir facsímil")</f>
        <v>Abrir facsímil</v>
      </c>
      <c r="K3685" s="15" t="s">
        <v>22</v>
      </c>
    </row>
    <row r="3686" spans="1:11" ht="42" customHeight="1">
      <c r="A3686" s="4" t="s">
        <v>8552</v>
      </c>
      <c r="B3686" s="5" t="s">
        <v>8553</v>
      </c>
      <c r="C3686" s="5" t="s">
        <v>29</v>
      </c>
      <c r="D3686" s="5" t="s">
        <v>30</v>
      </c>
      <c r="E3686" s="5" t="s">
        <v>71</v>
      </c>
      <c r="F3686" s="9">
        <v>33</v>
      </c>
      <c r="G3686" s="9">
        <v>350</v>
      </c>
      <c r="H3686" s="5" t="s">
        <v>20</v>
      </c>
      <c r="I3686" s="5" t="s">
        <v>8558</v>
      </c>
      <c r="J3686" s="12" t="str">
        <f>HYPERLINK("https://www.boe.es/gazeta/dias/1805/04/23/pdfs/GMD-1805-33.pdf#page=6","Abrir facsímil")</f>
        <v>Abrir facsímil</v>
      </c>
      <c r="K3686" s="15" t="s">
        <v>22</v>
      </c>
    </row>
    <row r="3687" spans="1:11" ht="42" customHeight="1">
      <c r="A3687" s="4" t="s">
        <v>8552</v>
      </c>
      <c r="B3687" s="5" t="s">
        <v>8553</v>
      </c>
      <c r="C3687" s="5" t="s">
        <v>17</v>
      </c>
      <c r="D3687" s="5" t="s">
        <v>18</v>
      </c>
      <c r="E3687" s="5" t="s">
        <v>290</v>
      </c>
      <c r="F3687" s="9">
        <v>36</v>
      </c>
      <c r="G3687" s="9">
        <v>387</v>
      </c>
      <c r="H3687" s="5" t="s">
        <v>20</v>
      </c>
      <c r="I3687" s="5" t="s">
        <v>8559</v>
      </c>
      <c r="J3687" s="12" t="str">
        <f>HYPERLINK("https://www.boe.es/gazeta/dias/1805/05/03/pdfs/GMD-1805-36.pdf#page=7","Abrir facsímil")</f>
        <v>Abrir facsímil</v>
      </c>
      <c r="K3687" s="15" t="s">
        <v>22</v>
      </c>
    </row>
    <row r="3688" spans="1:11" ht="42" customHeight="1">
      <c r="A3688" s="4" t="s">
        <v>8552</v>
      </c>
      <c r="B3688" s="5" t="s">
        <v>8553</v>
      </c>
      <c r="C3688" s="5" t="s">
        <v>35</v>
      </c>
      <c r="D3688" s="5" t="s">
        <v>36</v>
      </c>
      <c r="E3688" s="5" t="s">
        <v>122</v>
      </c>
      <c r="F3688" s="9">
        <v>38</v>
      </c>
      <c r="G3688" s="9">
        <v>410</v>
      </c>
      <c r="H3688" s="5" t="s">
        <v>20</v>
      </c>
      <c r="I3688" s="5" t="s">
        <v>8560</v>
      </c>
      <c r="J3688" s="12" t="str">
        <f>HYPERLINK("https://www.boe.es/gazeta/dias/1805/05/10/pdfs/GMD-1805-38.pdf#page=6","Abrir facsímil")</f>
        <v>Abrir facsímil</v>
      </c>
      <c r="K3688" s="15" t="s">
        <v>22</v>
      </c>
    </row>
    <row r="3689" spans="1:11" ht="42" customHeight="1">
      <c r="A3689" s="4" t="s">
        <v>8552</v>
      </c>
      <c r="B3689" s="5" t="s">
        <v>8553</v>
      </c>
      <c r="C3689" s="5" t="s">
        <v>17</v>
      </c>
      <c r="D3689" s="5" t="s">
        <v>18</v>
      </c>
      <c r="E3689" s="5" t="s">
        <v>1432</v>
      </c>
      <c r="F3689" s="9">
        <v>53</v>
      </c>
      <c r="G3689" s="9">
        <v>570</v>
      </c>
      <c r="H3689" s="5" t="s">
        <v>20</v>
      </c>
      <c r="I3689" s="5" t="s">
        <v>8561</v>
      </c>
      <c r="J3689" s="12" t="str">
        <f>HYPERLINK("https://www.boe.es/gazeta/dias/1805/07/02/pdfs/GMD-1805-53.pdf#page=6","Abrir facsímil")</f>
        <v>Abrir facsímil</v>
      </c>
      <c r="K3689" s="15" t="s">
        <v>22</v>
      </c>
    </row>
    <row r="3690" spans="1:11" ht="42" customHeight="1">
      <c r="A3690" s="4" t="s">
        <v>8552</v>
      </c>
      <c r="B3690" s="5" t="s">
        <v>8553</v>
      </c>
      <c r="C3690" s="5" t="s">
        <v>17</v>
      </c>
      <c r="D3690" s="5" t="s">
        <v>18</v>
      </c>
      <c r="E3690" s="5" t="s">
        <v>19</v>
      </c>
      <c r="F3690" s="9">
        <v>86</v>
      </c>
      <c r="G3690" s="9">
        <v>913</v>
      </c>
      <c r="H3690" s="5" t="s">
        <v>20</v>
      </c>
      <c r="I3690" s="5" t="s">
        <v>8562</v>
      </c>
      <c r="J3690" s="12" t="str">
        <f>HYPERLINK("https://www.boe.es/gazeta/dias/1805/10/25/pdfs/GMD-1805-86.pdf#page=9","Abrir facsímil")</f>
        <v>Abrir facsímil</v>
      </c>
      <c r="K3690" s="15" t="s">
        <v>22</v>
      </c>
    </row>
    <row r="3691" spans="1:11" ht="42" customHeight="1">
      <c r="A3691" s="4" t="s">
        <v>8552</v>
      </c>
      <c r="B3691" s="5" t="s">
        <v>8553</v>
      </c>
      <c r="C3691" s="5" t="s">
        <v>80</v>
      </c>
      <c r="D3691" s="5" t="s">
        <v>81</v>
      </c>
      <c r="E3691" s="5" t="s">
        <v>209</v>
      </c>
      <c r="F3691" s="9">
        <v>89</v>
      </c>
      <c r="G3691" s="9">
        <v>951</v>
      </c>
      <c r="H3691" s="5" t="s">
        <v>20</v>
      </c>
      <c r="I3691" s="5" t="s">
        <v>8563</v>
      </c>
      <c r="J3691" s="12" t="str">
        <f>HYPERLINK("https://www.boe.es/gazeta/dias/1805/11/05/pdfs/GMD-1805-89.pdf#page=11","Abrir facsímil")</f>
        <v>Abrir facsímil</v>
      </c>
      <c r="K3691" s="15" t="s">
        <v>22</v>
      </c>
    </row>
    <row r="3692" spans="1:11" ht="42" customHeight="1">
      <c r="A3692" s="4" t="s">
        <v>8552</v>
      </c>
      <c r="B3692" s="5" t="s">
        <v>8553</v>
      </c>
      <c r="C3692" s="5" t="s">
        <v>184</v>
      </c>
      <c r="D3692" s="5" t="s">
        <v>86</v>
      </c>
      <c r="E3692" s="5" t="s">
        <v>817</v>
      </c>
      <c r="F3692" s="9">
        <v>92</v>
      </c>
      <c r="G3692" s="9">
        <v>986</v>
      </c>
      <c r="H3692" s="5" t="s">
        <v>20</v>
      </c>
      <c r="I3692" s="5" t="s">
        <v>8564</v>
      </c>
      <c r="J3692" s="12" t="str">
        <f>HYPERLINK("https://www.boe.es/gazeta/dias/1805/11/15/pdfs/GMD-1805-92.pdf#page=6","Abrir facsímil")</f>
        <v>Abrir facsímil</v>
      </c>
      <c r="K3692" s="15" t="s">
        <v>22</v>
      </c>
    </row>
    <row r="3693" spans="1:11" ht="42" customHeight="1">
      <c r="A3693" s="4" t="s">
        <v>8552</v>
      </c>
      <c r="B3693" s="5" t="s">
        <v>8553</v>
      </c>
      <c r="C3693" s="5" t="s">
        <v>80</v>
      </c>
      <c r="D3693" s="5" t="s">
        <v>81</v>
      </c>
      <c r="E3693" s="5" t="s">
        <v>539</v>
      </c>
      <c r="F3693" s="9">
        <v>97</v>
      </c>
      <c r="G3693" s="9">
        <v>1040</v>
      </c>
      <c r="H3693" s="5" t="s">
        <v>20</v>
      </c>
      <c r="I3693" s="5" t="s">
        <v>8565</v>
      </c>
      <c r="J3693" s="12" t="str">
        <f>HYPERLINK("https://www.boe.es/gazeta/dias/1805/12/03/pdfs/GMD-1805-97.pdf#page=4","Abrir facsímil")</f>
        <v>Abrir facsímil</v>
      </c>
      <c r="K3693" s="15" t="s">
        <v>22</v>
      </c>
    </row>
    <row r="3694" spans="1:11" ht="42" customHeight="1">
      <c r="A3694" s="4" t="s">
        <v>8566</v>
      </c>
      <c r="B3694" s="5" t="s">
        <v>8567</v>
      </c>
      <c r="C3694" s="5" t="s">
        <v>85</v>
      </c>
      <c r="D3694" s="5" t="s">
        <v>86</v>
      </c>
      <c r="E3694" s="5" t="s">
        <v>24</v>
      </c>
      <c r="F3694" s="9">
        <v>11</v>
      </c>
      <c r="G3694" s="9">
        <v>123</v>
      </c>
      <c r="H3694" s="5" t="s">
        <v>20</v>
      </c>
      <c r="I3694" s="5" t="s">
        <v>8568</v>
      </c>
      <c r="J3694" s="12" t="str">
        <f>HYPERLINK("https://www.boe.es/gazeta/dias/1805/02/05/pdfs/GMD-1805-11.pdf#page=11","Abrir facsímil")</f>
        <v>Abrir facsímil</v>
      </c>
      <c r="K3694" s="15" t="s">
        <v>22</v>
      </c>
    </row>
    <row r="3695" spans="1:11" ht="42" customHeight="1">
      <c r="A3695" s="4" t="s">
        <v>8569</v>
      </c>
      <c r="B3695" s="5" t="s">
        <v>8569</v>
      </c>
      <c r="C3695" s="5" t="s">
        <v>17</v>
      </c>
      <c r="D3695" s="5" t="s">
        <v>18</v>
      </c>
      <c r="E3695" s="5" t="s">
        <v>99</v>
      </c>
      <c r="F3695" s="9">
        <v>83</v>
      </c>
      <c r="G3695" s="9">
        <v>883</v>
      </c>
      <c r="H3695" s="5" t="s">
        <v>20</v>
      </c>
      <c r="I3695" s="5" t="s">
        <v>8570</v>
      </c>
      <c r="J3695" s="12" t="str">
        <f>HYPERLINK("https://www.boe.es/gazeta/dias/1805/10/15/pdfs/GMD-1805-83.pdf#page=11","Abrir facsímil")</f>
        <v>Abrir facsímil</v>
      </c>
      <c r="K3695" s="15" t="s">
        <v>22</v>
      </c>
    </row>
    <row r="3696" spans="1:11" ht="42" customHeight="1">
      <c r="A3696" s="4" t="s">
        <v>8571</v>
      </c>
      <c r="B3696" s="5" t="s">
        <v>8572</v>
      </c>
      <c r="C3696" s="5" t="s">
        <v>17</v>
      </c>
      <c r="D3696" s="5" t="s">
        <v>18</v>
      </c>
      <c r="E3696" s="5" t="s">
        <v>286</v>
      </c>
      <c r="F3696" s="9">
        <v>48</v>
      </c>
      <c r="G3696" s="9">
        <v>524</v>
      </c>
      <c r="H3696" s="5" t="s">
        <v>20</v>
      </c>
      <c r="I3696" s="5" t="s">
        <v>8573</v>
      </c>
      <c r="J3696" s="12" t="str">
        <f>HYPERLINK("https://www.boe.es/gazeta/dias/1805/06/14/pdfs/GMD-1805-48.pdf#page=12","Abrir facsímil")</f>
        <v>Abrir facsímil</v>
      </c>
      <c r="K3696" s="15" t="s">
        <v>22</v>
      </c>
    </row>
    <row r="3697" spans="1:11" ht="42" customHeight="1">
      <c r="A3697" s="4" t="s">
        <v>8574</v>
      </c>
      <c r="B3697" s="5" t="s">
        <v>8575</v>
      </c>
      <c r="C3697" s="5" t="s">
        <v>85</v>
      </c>
      <c r="D3697" s="5" t="s">
        <v>86</v>
      </c>
      <c r="E3697" s="5" t="s">
        <v>91</v>
      </c>
      <c r="F3697" s="9">
        <v>28</v>
      </c>
      <c r="G3697" s="9">
        <v>302</v>
      </c>
      <c r="H3697" s="5" t="s">
        <v>20</v>
      </c>
      <c r="I3697" s="5" t="s">
        <v>8576</v>
      </c>
      <c r="J3697" s="12" t="str">
        <f>HYPERLINK("https://www.boe.es/gazeta/dias/1805/04/05/pdfs/GMD-1805-28.pdf#page=10","Abrir facsímil")</f>
        <v>Abrir facsímil</v>
      </c>
      <c r="K3697" s="15" t="s">
        <v>22</v>
      </c>
    </row>
    <row r="3698" spans="1:11" ht="42" customHeight="1">
      <c r="A3698" s="4" t="s">
        <v>8577</v>
      </c>
      <c r="B3698" s="5" t="s">
        <v>8577</v>
      </c>
      <c r="C3698" s="5" t="s">
        <v>85</v>
      </c>
      <c r="D3698" s="5" t="s">
        <v>86</v>
      </c>
      <c r="E3698" s="5" t="s">
        <v>120</v>
      </c>
      <c r="F3698" s="9">
        <v>24</v>
      </c>
      <c r="G3698" s="9">
        <v>255</v>
      </c>
      <c r="H3698" s="5" t="s">
        <v>20</v>
      </c>
      <c r="I3698" s="5" t="s">
        <v>8578</v>
      </c>
      <c r="J3698" s="12" t="str">
        <f>HYPERLINK("https://www.boe.es/gazeta/dias/1805/03/22/pdfs/GMD-1805-24.pdf#page=7","Abrir facsímil")</f>
        <v>Abrir facsímil</v>
      </c>
      <c r="K3698" s="15" t="s">
        <v>22</v>
      </c>
    </row>
    <row r="3699" spans="1:11" ht="42" customHeight="1">
      <c r="A3699" s="4" t="s">
        <v>8579</v>
      </c>
      <c r="B3699" s="5" t="s">
        <v>8579</v>
      </c>
      <c r="C3699" s="5" t="s">
        <v>35</v>
      </c>
      <c r="D3699" s="5" t="s">
        <v>36</v>
      </c>
      <c r="E3699" s="5" t="s">
        <v>44</v>
      </c>
      <c r="F3699" s="9">
        <v>29</v>
      </c>
      <c r="G3699" s="9">
        <v>312</v>
      </c>
      <c r="H3699" s="5" t="s">
        <v>20</v>
      </c>
      <c r="I3699" s="5" t="s">
        <v>8580</v>
      </c>
      <c r="J3699" s="12" t="str">
        <f>HYPERLINK("https://www.boe.es/gazeta/dias/1805/04/09/pdfs/GMD-1805-29.pdf#page=8","Abrir facsímil")</f>
        <v>Abrir facsímil</v>
      </c>
      <c r="K3699" s="15" t="s">
        <v>22</v>
      </c>
    </row>
    <row r="3700" spans="1:11" ht="42" customHeight="1">
      <c r="A3700" s="4" t="s">
        <v>8581</v>
      </c>
      <c r="B3700" s="5" t="s">
        <v>8581</v>
      </c>
      <c r="C3700" s="5" t="s">
        <v>85</v>
      </c>
      <c r="D3700" s="5" t="s">
        <v>86</v>
      </c>
      <c r="E3700" s="5" t="s">
        <v>273</v>
      </c>
      <c r="F3700" s="9">
        <v>8</v>
      </c>
      <c r="G3700" s="9">
        <v>88</v>
      </c>
      <c r="H3700" s="5" t="s">
        <v>20</v>
      </c>
      <c r="I3700" s="5" t="s">
        <v>8582</v>
      </c>
      <c r="J3700" s="12" t="str">
        <f>HYPERLINK("https://www.boe.es/gazeta/dias/1805/01/25/pdfs/GMD-1805-8.pdf#page=8","Abrir facsímil")</f>
        <v>Abrir facsímil</v>
      </c>
      <c r="K3700" s="15" t="s">
        <v>22</v>
      </c>
    </row>
    <row r="3701" spans="1:11" ht="42" customHeight="1">
      <c r="A3701" s="4" t="s">
        <v>8583</v>
      </c>
      <c r="B3701" s="5" t="s">
        <v>8583</v>
      </c>
      <c r="C3701" s="5" t="s">
        <v>29</v>
      </c>
      <c r="D3701" s="5" t="s">
        <v>30</v>
      </c>
      <c r="E3701" s="5" t="s">
        <v>1471</v>
      </c>
      <c r="F3701" s="9">
        <v>34</v>
      </c>
      <c r="G3701" s="9">
        <v>364</v>
      </c>
      <c r="H3701" s="5" t="s">
        <v>20</v>
      </c>
      <c r="I3701" s="5" t="s">
        <v>8584</v>
      </c>
      <c r="J3701" s="12" t="str">
        <f>HYPERLINK("https://www.boe.es/gazeta/dias/1805/04/26/pdfs/GMD-1805-34.pdf#page=8","Abrir facsímil")</f>
        <v>Abrir facsímil</v>
      </c>
      <c r="K3701" s="15" t="s">
        <v>22</v>
      </c>
    </row>
    <row r="3702" spans="1:11" ht="42" customHeight="1">
      <c r="A3702" s="4" t="s">
        <v>8585</v>
      </c>
      <c r="B3702" s="5" t="s">
        <v>8585</v>
      </c>
      <c r="C3702" s="5" t="s">
        <v>35</v>
      </c>
      <c r="D3702" s="5" t="s">
        <v>36</v>
      </c>
      <c r="E3702" s="5" t="s">
        <v>303</v>
      </c>
      <c r="F3702" s="9">
        <v>57</v>
      </c>
      <c r="G3702" s="9">
        <v>610</v>
      </c>
      <c r="H3702" s="5" t="s">
        <v>20</v>
      </c>
      <c r="I3702" s="5" t="s">
        <v>8586</v>
      </c>
      <c r="J3702" s="12" t="str">
        <f>HYPERLINK("https://www.boe.es/gazeta/dias/1805/07/16/pdfs/GMD-1805-57.pdf#page=6","Abrir facsímil")</f>
        <v>Abrir facsímil</v>
      </c>
      <c r="K3702" s="15" t="s">
        <v>22</v>
      </c>
    </row>
    <row r="3703" spans="1:11" ht="42" customHeight="1">
      <c r="A3703" s="4" t="s">
        <v>8587</v>
      </c>
      <c r="B3703" s="5" t="s">
        <v>8587</v>
      </c>
      <c r="C3703" s="5" t="s">
        <v>35</v>
      </c>
      <c r="D3703" s="5" t="s">
        <v>36</v>
      </c>
      <c r="E3703" s="5" t="s">
        <v>59</v>
      </c>
      <c r="F3703" s="9">
        <v>21</v>
      </c>
      <c r="G3703" s="9">
        <v>221</v>
      </c>
      <c r="H3703" s="5" t="s">
        <v>20</v>
      </c>
      <c r="I3703" s="5" t="s">
        <v>8588</v>
      </c>
      <c r="J3703" s="12" t="str">
        <f>HYPERLINK("https://www.boe.es/gazeta/dias/1805/03/12/pdfs/GMD-1805-21.pdf#page=9","Abrir facsímil")</f>
        <v>Abrir facsímil</v>
      </c>
      <c r="K3703" s="15" t="s">
        <v>22</v>
      </c>
    </row>
    <row r="3704" spans="1:11" ht="42" customHeight="1">
      <c r="A3704" s="4" t="s">
        <v>8589</v>
      </c>
      <c r="B3704" s="5" t="s">
        <v>8589</v>
      </c>
      <c r="C3704" s="5" t="s">
        <v>35</v>
      </c>
      <c r="D3704" s="5" t="s">
        <v>36</v>
      </c>
      <c r="E3704" s="5" t="s">
        <v>138</v>
      </c>
      <c r="F3704" s="9">
        <v>102</v>
      </c>
      <c r="G3704" s="9">
        <v>1104</v>
      </c>
      <c r="H3704" s="5" t="s">
        <v>20</v>
      </c>
      <c r="I3704" s="5" t="s">
        <v>8590</v>
      </c>
      <c r="J3704" s="12" t="str">
        <f>HYPERLINK("https://www.boe.es/gazeta/dias/1805/12/20/pdfs/GMD-1805-102.pdf#page=8","Abrir facsímil")</f>
        <v>Abrir facsímil</v>
      </c>
      <c r="K3704" s="15" t="s">
        <v>22</v>
      </c>
    </row>
    <row r="3705" spans="1:11" ht="42" customHeight="1">
      <c r="A3705" s="4" t="s">
        <v>8591</v>
      </c>
      <c r="B3705" s="5" t="s">
        <v>8591</v>
      </c>
      <c r="C3705" s="5" t="s">
        <v>80</v>
      </c>
      <c r="D3705" s="5" t="s">
        <v>81</v>
      </c>
      <c r="E3705" s="5" t="s">
        <v>37</v>
      </c>
      <c r="F3705" s="9">
        <v>54</v>
      </c>
      <c r="G3705" s="9">
        <v>573</v>
      </c>
      <c r="H3705" s="5" t="s">
        <v>20</v>
      </c>
      <c r="I3705" s="5" t="s">
        <v>8592</v>
      </c>
      <c r="J3705" s="12" t="str">
        <f>HYPERLINK("https://www.boe.es/gazeta/dias/1805/07/05/pdfs/GMD-1805-54.pdf#page=1","Abrir facsímil")</f>
        <v>Abrir facsímil</v>
      </c>
      <c r="K3705" s="15" t="s">
        <v>22</v>
      </c>
    </row>
    <row r="3706" spans="1:11" ht="42" customHeight="1">
      <c r="A3706" s="4" t="s">
        <v>8593</v>
      </c>
      <c r="B3706" s="5" t="s">
        <v>8594</v>
      </c>
      <c r="C3706" s="5" t="s">
        <v>17</v>
      </c>
      <c r="D3706" s="5" t="s">
        <v>18</v>
      </c>
      <c r="E3706" s="5" t="s">
        <v>440</v>
      </c>
      <c r="F3706" s="9">
        <v>27</v>
      </c>
      <c r="G3706" s="9">
        <v>284</v>
      </c>
      <c r="H3706" s="5" t="s">
        <v>20</v>
      </c>
      <c r="I3706" s="5" t="s">
        <v>8595</v>
      </c>
      <c r="J3706" s="12" t="str">
        <f>HYPERLINK("https://www.boe.es/gazeta/dias/1805/04/02/pdfs/GMD-1805-27.pdf#page=4","Abrir facsímil")</f>
        <v>Abrir facsímil</v>
      </c>
      <c r="K3706" s="15" t="s">
        <v>22</v>
      </c>
    </row>
    <row r="3707" spans="1:11" ht="42" customHeight="1">
      <c r="A3707" s="4" t="s">
        <v>8593</v>
      </c>
      <c r="B3707" s="5" t="s">
        <v>8594</v>
      </c>
      <c r="C3707" s="5" t="s">
        <v>80</v>
      </c>
      <c r="D3707" s="5" t="s">
        <v>81</v>
      </c>
      <c r="E3707" s="5" t="s">
        <v>733</v>
      </c>
      <c r="F3707" s="9">
        <v>45</v>
      </c>
      <c r="G3707" s="9">
        <v>483</v>
      </c>
      <c r="H3707" s="5" t="s">
        <v>20</v>
      </c>
      <c r="I3707" s="5" t="s">
        <v>8596</v>
      </c>
      <c r="J3707" s="12" t="str">
        <f>HYPERLINK("https://www.boe.es/gazeta/dias/1805/06/04/pdfs/GMD-1805-45.pdf#page=7","Abrir facsímil")</f>
        <v>Abrir facsímil</v>
      </c>
      <c r="K3707" s="15" t="s">
        <v>22</v>
      </c>
    </row>
    <row r="3708" spans="1:11" ht="42" customHeight="1">
      <c r="A3708" s="4" t="s">
        <v>8593</v>
      </c>
      <c r="B3708" s="5" t="s">
        <v>8594</v>
      </c>
      <c r="C3708" s="5" t="s">
        <v>35</v>
      </c>
      <c r="D3708" s="5" t="s">
        <v>36</v>
      </c>
      <c r="E3708" s="5" t="s">
        <v>733</v>
      </c>
      <c r="F3708" s="9">
        <v>45</v>
      </c>
      <c r="G3708" s="9">
        <v>484</v>
      </c>
      <c r="H3708" s="5" t="s">
        <v>20</v>
      </c>
      <c r="I3708" s="5" t="s">
        <v>8597</v>
      </c>
      <c r="J3708" s="12" t="str">
        <f>HYPERLINK("https://www.boe.es/gazeta/dias/1805/06/04/pdfs/GMD-1805-45.pdf#page=8","Abrir facsímil")</f>
        <v>Abrir facsímil</v>
      </c>
      <c r="K3708" s="15" t="s">
        <v>22</v>
      </c>
    </row>
    <row r="3709" spans="1:11" ht="42" customHeight="1">
      <c r="A3709" s="4" t="s">
        <v>8593</v>
      </c>
      <c r="B3709" s="5" t="s">
        <v>8594</v>
      </c>
      <c r="C3709" s="5" t="s">
        <v>29</v>
      </c>
      <c r="D3709" s="5" t="s">
        <v>30</v>
      </c>
      <c r="E3709" s="5" t="s">
        <v>213</v>
      </c>
      <c r="F3709" s="9">
        <v>56</v>
      </c>
      <c r="G3709" s="9">
        <v>598</v>
      </c>
      <c r="H3709" s="5" t="s">
        <v>20</v>
      </c>
      <c r="I3709" s="5" t="s">
        <v>8598</v>
      </c>
      <c r="J3709" s="12" t="str">
        <f>HYPERLINK("https://www.boe.es/gazeta/dias/1805/07/12/pdfs/GMD-1805-56.pdf#page=6","Abrir facsímil")</f>
        <v>Abrir facsímil</v>
      </c>
      <c r="K3709" s="15" t="s">
        <v>22</v>
      </c>
    </row>
    <row r="3710" spans="1:11" ht="42" customHeight="1">
      <c r="A3710" s="4" t="s">
        <v>8599</v>
      </c>
      <c r="B3710" s="5" t="s">
        <v>8600</v>
      </c>
      <c r="C3710" s="5" t="s">
        <v>85</v>
      </c>
      <c r="D3710" s="5" t="s">
        <v>86</v>
      </c>
      <c r="E3710" s="5" t="s">
        <v>352</v>
      </c>
      <c r="F3710" s="9">
        <v>60</v>
      </c>
      <c r="G3710" s="9">
        <v>646</v>
      </c>
      <c r="H3710" s="5" t="s">
        <v>20</v>
      </c>
      <c r="I3710" s="5" t="s">
        <v>8601</v>
      </c>
      <c r="J3710" s="12" t="str">
        <f>HYPERLINK("https://www.boe.es/gazeta/dias/1805/07/26/pdfs/GMD-1805-60.pdf#page=10","Abrir facsímil")</f>
        <v>Abrir facsímil</v>
      </c>
      <c r="K3710" s="15" t="s">
        <v>22</v>
      </c>
    </row>
    <row r="3711" spans="1:11" ht="42" customHeight="1">
      <c r="A3711" s="4" t="s">
        <v>8602</v>
      </c>
      <c r="B3711" s="5" t="s">
        <v>8603</v>
      </c>
      <c r="C3711" s="5" t="s">
        <v>85</v>
      </c>
      <c r="D3711" s="5" t="s">
        <v>86</v>
      </c>
      <c r="E3711" s="5" t="s">
        <v>711</v>
      </c>
      <c r="F3711" s="9">
        <v>63</v>
      </c>
      <c r="G3711" s="9">
        <v>673</v>
      </c>
      <c r="H3711" s="5" t="s">
        <v>20</v>
      </c>
      <c r="I3711" s="5" t="s">
        <v>8604</v>
      </c>
      <c r="J3711" s="12" t="str">
        <f>HYPERLINK("https://www.boe.es/gazeta/dias/1805/08/06/pdfs/GMD-1805-63.pdf#page=9","Abrir facsímil")</f>
        <v>Abrir facsímil</v>
      </c>
      <c r="K3711" s="15" t="s">
        <v>22</v>
      </c>
    </row>
    <row r="3712" spans="1:11" ht="42" customHeight="1">
      <c r="A3712" s="4" t="s">
        <v>8605</v>
      </c>
      <c r="B3712" s="5" t="s">
        <v>8606</v>
      </c>
      <c r="C3712" s="5" t="s">
        <v>35</v>
      </c>
      <c r="D3712" s="5" t="s">
        <v>36</v>
      </c>
      <c r="E3712" s="5" t="s">
        <v>87</v>
      </c>
      <c r="F3712" s="9">
        <v>14</v>
      </c>
      <c r="G3712" s="9">
        <v>147</v>
      </c>
      <c r="H3712" s="5" t="s">
        <v>20</v>
      </c>
      <c r="I3712" s="5" t="s">
        <v>8607</v>
      </c>
      <c r="J3712" s="12" t="str">
        <f>HYPERLINK("https://www.boe.es/gazeta/dias/1805/02/15/pdfs/GMD-1805-14.pdf#page=7","Abrir facsímil")</f>
        <v>Abrir facsímil</v>
      </c>
      <c r="K3712" s="15" t="s">
        <v>22</v>
      </c>
    </row>
    <row r="3713" spans="1:11" ht="42" customHeight="1">
      <c r="A3713" s="4" t="s">
        <v>8605</v>
      </c>
      <c r="B3713" s="5" t="s">
        <v>8606</v>
      </c>
      <c r="C3713" s="5" t="s">
        <v>17</v>
      </c>
      <c r="D3713" s="5" t="s">
        <v>18</v>
      </c>
      <c r="E3713" s="5" t="s">
        <v>290</v>
      </c>
      <c r="F3713" s="9">
        <v>36</v>
      </c>
      <c r="G3713" s="9">
        <v>389</v>
      </c>
      <c r="H3713" s="5" t="s">
        <v>20</v>
      </c>
      <c r="I3713" s="5" t="s">
        <v>8608</v>
      </c>
      <c r="J3713" s="12" t="str">
        <f>HYPERLINK("https://www.boe.es/gazeta/dias/1805/05/03/pdfs/GMD-1805-36.pdf#page=9","Abrir facsímil")</f>
        <v>Abrir facsímil</v>
      </c>
      <c r="K3713" s="15" t="s">
        <v>22</v>
      </c>
    </row>
    <row r="3714" spans="1:11" ht="42" customHeight="1">
      <c r="A3714" s="4" t="s">
        <v>8609</v>
      </c>
      <c r="B3714" s="5" t="s">
        <v>8609</v>
      </c>
      <c r="C3714" s="5" t="s">
        <v>17</v>
      </c>
      <c r="D3714" s="5" t="s">
        <v>18</v>
      </c>
      <c r="E3714" s="5" t="s">
        <v>886</v>
      </c>
      <c r="F3714" s="9">
        <v>93</v>
      </c>
      <c r="G3714" s="9">
        <v>1000</v>
      </c>
      <c r="H3714" s="5" t="s">
        <v>20</v>
      </c>
      <c r="I3714" s="5" t="s">
        <v>8610</v>
      </c>
      <c r="J3714" s="12" t="str">
        <f>HYPERLINK("https://www.boe.es/gazeta/dias/1805/11/19/pdfs/GMD-1805-93.pdf#page=12","Abrir facsímil")</f>
        <v>Abrir facsímil</v>
      </c>
      <c r="K3714" s="15" t="s">
        <v>22</v>
      </c>
    </row>
    <row r="3715" spans="1:11" ht="42" customHeight="1">
      <c r="A3715" s="4" t="s">
        <v>8611</v>
      </c>
      <c r="B3715" s="5" t="s">
        <v>8611</v>
      </c>
      <c r="C3715" s="5" t="s">
        <v>35</v>
      </c>
      <c r="D3715" s="5" t="s">
        <v>36</v>
      </c>
      <c r="E3715" s="5" t="s">
        <v>711</v>
      </c>
      <c r="F3715" s="9">
        <v>63</v>
      </c>
      <c r="G3715" s="9">
        <v>673</v>
      </c>
      <c r="H3715" s="5" t="s">
        <v>20</v>
      </c>
      <c r="I3715" s="5" t="s">
        <v>8612</v>
      </c>
      <c r="J3715" s="12" t="str">
        <f>HYPERLINK("https://www.boe.es/gazeta/dias/1805/08/06/pdfs/GMD-1805-63.pdf#page=9","Abrir facsímil")</f>
        <v>Abrir facsímil</v>
      </c>
      <c r="K3715" s="15" t="s">
        <v>22</v>
      </c>
    </row>
    <row r="3716" spans="1:11" ht="42" customHeight="1">
      <c r="A3716" s="4" t="s">
        <v>8613</v>
      </c>
      <c r="B3716" s="5" t="s">
        <v>8613</v>
      </c>
      <c r="C3716" s="5" t="s">
        <v>35</v>
      </c>
      <c r="D3716" s="5" t="s">
        <v>36</v>
      </c>
      <c r="E3716" s="5" t="s">
        <v>850</v>
      </c>
      <c r="F3716" s="9">
        <v>42</v>
      </c>
      <c r="G3716" s="9">
        <v>454</v>
      </c>
      <c r="H3716" s="5" t="s">
        <v>20</v>
      </c>
      <c r="I3716" s="5" t="s">
        <v>8614</v>
      </c>
      <c r="J3716" s="12" t="str">
        <f>HYPERLINK("https://www.boe.es/gazeta/dias/1805/05/24/pdfs/GMD-1805-42.pdf#page=10","Abrir facsímil")</f>
        <v>Abrir facsímil</v>
      </c>
      <c r="K3716" s="15" t="s">
        <v>22</v>
      </c>
    </row>
    <row r="3717" spans="1:11" ht="42" customHeight="1">
      <c r="A3717" s="4" t="s">
        <v>8613</v>
      </c>
      <c r="B3717" s="5" t="s">
        <v>8613</v>
      </c>
      <c r="C3717" s="5" t="s">
        <v>184</v>
      </c>
      <c r="D3717" s="5" t="s">
        <v>86</v>
      </c>
      <c r="E3717" s="5" t="s">
        <v>711</v>
      </c>
      <c r="F3717" s="9">
        <v>63</v>
      </c>
      <c r="G3717" s="9">
        <v>674</v>
      </c>
      <c r="H3717" s="5" t="s">
        <v>20</v>
      </c>
      <c r="I3717" s="5" t="s">
        <v>8615</v>
      </c>
      <c r="J3717" s="12" t="str">
        <f>HYPERLINK("https://www.boe.es/gazeta/dias/1805/08/06/pdfs/GMD-1805-63.pdf#page=10","Abrir facsímil")</f>
        <v>Abrir facsímil</v>
      </c>
      <c r="K3717" s="15" t="s">
        <v>22</v>
      </c>
    </row>
    <row r="3718" spans="1:11" ht="42" customHeight="1">
      <c r="A3718" s="4" t="s">
        <v>8613</v>
      </c>
      <c r="B3718" s="5" t="s">
        <v>8613</v>
      </c>
      <c r="C3718" s="5" t="s">
        <v>184</v>
      </c>
      <c r="D3718" s="5" t="s">
        <v>86</v>
      </c>
      <c r="E3718" s="5" t="s">
        <v>76</v>
      </c>
      <c r="F3718" s="9">
        <v>66</v>
      </c>
      <c r="G3718" s="9">
        <v>711</v>
      </c>
      <c r="H3718" s="5" t="s">
        <v>20</v>
      </c>
      <c r="I3718" s="5" t="s">
        <v>8616</v>
      </c>
      <c r="J3718" s="12" t="str">
        <f>HYPERLINK("https://www.boe.es/gazeta/dias/1805/08/16/pdfs/GMD-1805-66.pdf#page=11","Abrir facsímil")</f>
        <v>Abrir facsímil</v>
      </c>
      <c r="K3718" s="15" t="s">
        <v>22</v>
      </c>
    </row>
    <row r="3719" spans="1:11" ht="42" customHeight="1">
      <c r="A3719" s="4" t="s">
        <v>8617</v>
      </c>
      <c r="B3719" s="5" t="s">
        <v>8617</v>
      </c>
      <c r="C3719" s="5" t="s">
        <v>85</v>
      </c>
      <c r="D3719" s="5" t="s">
        <v>86</v>
      </c>
      <c r="E3719" s="5" t="s">
        <v>99</v>
      </c>
      <c r="F3719" s="9">
        <v>83</v>
      </c>
      <c r="G3719" s="9">
        <v>882</v>
      </c>
      <c r="H3719" s="5" t="s">
        <v>20</v>
      </c>
      <c r="I3719" s="5" t="s">
        <v>8618</v>
      </c>
      <c r="J3719" s="12" t="str">
        <f>HYPERLINK("https://www.boe.es/gazeta/dias/1805/10/15/pdfs/GMD-1805-83.pdf#page=10","Abrir facsímil")</f>
        <v>Abrir facsímil</v>
      </c>
      <c r="K3719" s="15" t="s">
        <v>22</v>
      </c>
    </row>
    <row r="3720" spans="1:11" ht="42" customHeight="1">
      <c r="A3720" s="4" t="s">
        <v>8619</v>
      </c>
      <c r="B3720" s="5" t="s">
        <v>8619</v>
      </c>
      <c r="C3720" s="5" t="s">
        <v>17</v>
      </c>
      <c r="D3720" s="5" t="s">
        <v>18</v>
      </c>
      <c r="E3720" s="5" t="s">
        <v>649</v>
      </c>
      <c r="F3720" s="9">
        <v>7</v>
      </c>
      <c r="G3720" s="9">
        <v>74</v>
      </c>
      <c r="H3720" s="5" t="s">
        <v>20</v>
      </c>
      <c r="I3720" s="5" t="s">
        <v>8620</v>
      </c>
      <c r="J3720" s="12" t="str">
        <f>HYPERLINK("https://www.boe.es/gazeta/dias/1805/01/22/pdfs/GMD-1805-7.pdf#page=6","Abrir facsímil")</f>
        <v>Abrir facsímil</v>
      </c>
      <c r="K3720" s="15" t="s">
        <v>22</v>
      </c>
    </row>
    <row r="3721" spans="1:11" ht="42" customHeight="1">
      <c r="A3721" s="4" t="s">
        <v>8621</v>
      </c>
      <c r="B3721" s="5" t="s">
        <v>8621</v>
      </c>
      <c r="C3721" s="5" t="s">
        <v>52</v>
      </c>
      <c r="D3721" s="5" t="s">
        <v>53</v>
      </c>
      <c r="E3721" s="5" t="s">
        <v>54</v>
      </c>
      <c r="F3721" s="9">
        <v>99</v>
      </c>
      <c r="G3721" s="9" t="s">
        <v>55</v>
      </c>
      <c r="H3721" s="5" t="s">
        <v>20</v>
      </c>
      <c r="I3721" s="5" t="s">
        <v>8622</v>
      </c>
      <c r="J3721" s="12" t="str">
        <f>HYPERLINK("https://www.boe.es/gazeta/dias/1805/12/10/pdfs/GMD-C-1805-99.pdf#page=4","Abrir facsímil")</f>
        <v>Abrir facsímil</v>
      </c>
      <c r="K3721" s="15" t="s">
        <v>22</v>
      </c>
    </row>
    <row r="3722" spans="1:11" ht="42" customHeight="1">
      <c r="A3722" s="4" t="s">
        <v>8623</v>
      </c>
      <c r="B3722" s="5" t="s">
        <v>8623</v>
      </c>
      <c r="C3722" s="5" t="s">
        <v>85</v>
      </c>
      <c r="D3722" s="5" t="s">
        <v>86</v>
      </c>
      <c r="E3722" s="5" t="s">
        <v>27</v>
      </c>
      <c r="F3722" s="9">
        <v>37</v>
      </c>
      <c r="G3722" s="9">
        <v>403</v>
      </c>
      <c r="H3722" s="5" t="s">
        <v>20</v>
      </c>
      <c r="I3722" s="5" t="s">
        <v>8624</v>
      </c>
      <c r="J3722" s="12" t="str">
        <f>HYPERLINK("https://www.boe.es/gazeta/dias/1805/05/07/pdfs/GMD-1805-37.pdf#page=11","Abrir facsímil")</f>
        <v>Abrir facsímil</v>
      </c>
      <c r="K3722" s="15" t="s">
        <v>22</v>
      </c>
    </row>
    <row r="3723" spans="1:11" ht="42" customHeight="1">
      <c r="A3723" s="4" t="s">
        <v>8625</v>
      </c>
      <c r="B3723" s="5" t="s">
        <v>8625</v>
      </c>
      <c r="C3723" s="5" t="s">
        <v>52</v>
      </c>
      <c r="D3723" s="5" t="s">
        <v>53</v>
      </c>
      <c r="E3723" s="5" t="s">
        <v>144</v>
      </c>
      <c r="F3723" s="9">
        <v>85</v>
      </c>
      <c r="G3723" s="9" t="s">
        <v>1153</v>
      </c>
      <c r="H3723" s="5" t="s">
        <v>20</v>
      </c>
      <c r="I3723" s="5" t="s">
        <v>8626</v>
      </c>
      <c r="J3723" s="12" t="str">
        <f>HYPERLINK("https://www.boe.es/gazeta/dias/1805/10/22/pdfs/GMD-C-1805-85.pdf#page=8","Abrir facsímil")</f>
        <v>Abrir facsímil</v>
      </c>
      <c r="K3723" s="15" t="s">
        <v>22</v>
      </c>
    </row>
    <row r="3724" spans="1:11" ht="42" customHeight="1">
      <c r="A3724" s="4" t="s">
        <v>8627</v>
      </c>
      <c r="B3724" s="5" t="s">
        <v>8627</v>
      </c>
      <c r="C3724" s="5" t="s">
        <v>35</v>
      </c>
      <c r="D3724" s="5" t="s">
        <v>36</v>
      </c>
      <c r="E3724" s="5" t="s">
        <v>67</v>
      </c>
      <c r="F3724" s="9">
        <v>98</v>
      </c>
      <c r="G3724" s="9">
        <v>1058</v>
      </c>
      <c r="H3724" s="5" t="s">
        <v>20</v>
      </c>
      <c r="I3724" s="5" t="s">
        <v>8628</v>
      </c>
      <c r="J3724" s="12" t="str">
        <f>HYPERLINK("https://www.boe.es/gazeta/dias/1805/12/06/pdfs/GMD-1805-98.pdf#page=10","Abrir facsímil")</f>
        <v>Abrir facsímil</v>
      </c>
      <c r="K3724" s="15" t="s">
        <v>22</v>
      </c>
    </row>
    <row r="3725" spans="1:11" ht="42" customHeight="1">
      <c r="A3725" s="4" t="s">
        <v>8629</v>
      </c>
      <c r="B3725" s="5" t="s">
        <v>8630</v>
      </c>
      <c r="C3725" s="5" t="s">
        <v>80</v>
      </c>
      <c r="D3725" s="5" t="s">
        <v>81</v>
      </c>
      <c r="E3725" s="5" t="s">
        <v>207</v>
      </c>
      <c r="F3725" s="9">
        <v>76</v>
      </c>
      <c r="G3725" s="9">
        <v>801</v>
      </c>
      <c r="H3725" s="5" t="s">
        <v>20</v>
      </c>
      <c r="I3725" s="5" t="s">
        <v>8631</v>
      </c>
      <c r="J3725" s="12" t="str">
        <f>HYPERLINK("https://www.boe.es/gazeta/dias/1805/09/20/pdfs/GMD-1805-76.pdf#page=1","Abrir facsímil")</f>
        <v>Abrir facsímil</v>
      </c>
      <c r="K3725" s="15" t="s">
        <v>22</v>
      </c>
    </row>
    <row r="3726" spans="1:11" ht="42" customHeight="1">
      <c r="A3726" s="4" t="s">
        <v>8629</v>
      </c>
      <c r="B3726" s="5" t="s">
        <v>8630</v>
      </c>
      <c r="C3726" s="5" t="s">
        <v>80</v>
      </c>
      <c r="D3726" s="5" t="s">
        <v>81</v>
      </c>
      <c r="E3726" s="5" t="s">
        <v>207</v>
      </c>
      <c r="F3726" s="9">
        <v>76</v>
      </c>
      <c r="G3726" s="9">
        <v>802</v>
      </c>
      <c r="H3726" s="5" t="s">
        <v>20</v>
      </c>
      <c r="I3726" s="5" t="s">
        <v>8632</v>
      </c>
      <c r="J3726" s="12" t="str">
        <f>HYPERLINK("https://www.boe.es/gazeta/dias/1805/09/20/pdfs/GMD-1805-76.pdf#page=2","Abrir facsímil")</f>
        <v>Abrir facsímil</v>
      </c>
      <c r="K3726" s="15" t="s">
        <v>22</v>
      </c>
    </row>
    <row r="3727" spans="1:11" ht="42" customHeight="1">
      <c r="A3727" s="4" t="s">
        <v>8629</v>
      </c>
      <c r="B3727" s="5" t="s">
        <v>8630</v>
      </c>
      <c r="C3727" s="5" t="s">
        <v>80</v>
      </c>
      <c r="D3727" s="5" t="s">
        <v>81</v>
      </c>
      <c r="E3727" s="5" t="s">
        <v>335</v>
      </c>
      <c r="F3727" s="9">
        <v>79</v>
      </c>
      <c r="G3727" s="9">
        <v>835</v>
      </c>
      <c r="H3727" s="5" t="s">
        <v>20</v>
      </c>
      <c r="I3727" s="5" t="s">
        <v>8633</v>
      </c>
      <c r="J3727" s="12" t="str">
        <f>HYPERLINK("https://www.boe.es/gazeta/dias/1805/10/01/pdfs/GMD-1805-79.pdf#page=7","Abrir facsímil")</f>
        <v>Abrir facsímil</v>
      </c>
      <c r="K3727" s="15" t="s">
        <v>22</v>
      </c>
    </row>
    <row r="3728" spans="1:11" ht="42" customHeight="1">
      <c r="A3728" s="4" t="s">
        <v>8629</v>
      </c>
      <c r="B3728" s="5" t="s">
        <v>8630</v>
      </c>
      <c r="C3728" s="5" t="s">
        <v>184</v>
      </c>
      <c r="D3728" s="5" t="s">
        <v>86</v>
      </c>
      <c r="E3728" s="5" t="s">
        <v>67</v>
      </c>
      <c r="F3728" s="9">
        <v>98</v>
      </c>
      <c r="G3728" s="9">
        <v>1057</v>
      </c>
      <c r="H3728" s="5" t="s">
        <v>20</v>
      </c>
      <c r="I3728" s="5" t="s">
        <v>8634</v>
      </c>
      <c r="J3728" s="12" t="str">
        <f>HYPERLINK("https://www.boe.es/gazeta/dias/1805/12/06/pdfs/GMD-1805-98.pdf#page=9","Abrir facsímil")</f>
        <v>Abrir facsímil</v>
      </c>
      <c r="K3728" s="15" t="s">
        <v>22</v>
      </c>
    </row>
    <row r="3729" spans="1:11" ht="42" customHeight="1">
      <c r="A3729" s="4" t="s">
        <v>8635</v>
      </c>
      <c r="B3729" s="5" t="s">
        <v>8636</v>
      </c>
      <c r="C3729" s="5" t="s">
        <v>184</v>
      </c>
      <c r="D3729" s="5" t="s">
        <v>86</v>
      </c>
      <c r="E3729" s="5" t="s">
        <v>181</v>
      </c>
      <c r="F3729" s="9">
        <v>90</v>
      </c>
      <c r="G3729" s="9">
        <v>958</v>
      </c>
      <c r="H3729" s="5" t="s">
        <v>20</v>
      </c>
      <c r="I3729" s="5" t="s">
        <v>8637</v>
      </c>
      <c r="J3729" s="12" t="str">
        <f>HYPERLINK("https://www.boe.es/gazeta/dias/1805/11/08/pdfs/GMD-1805-90.pdf#page=2","Abrir facsímil")</f>
        <v>Abrir facsímil</v>
      </c>
      <c r="K3729" s="15" t="s">
        <v>22</v>
      </c>
    </row>
    <row r="3730" spans="1:11" ht="42" customHeight="1">
      <c r="A3730" s="4" t="s">
        <v>8638</v>
      </c>
      <c r="B3730" s="5" t="s">
        <v>8638</v>
      </c>
      <c r="C3730" s="5" t="s">
        <v>29</v>
      </c>
      <c r="D3730" s="5" t="s">
        <v>30</v>
      </c>
      <c r="E3730" s="5" t="s">
        <v>273</v>
      </c>
      <c r="F3730" s="9">
        <v>8</v>
      </c>
      <c r="G3730" s="9">
        <v>92</v>
      </c>
      <c r="H3730" s="5" t="s">
        <v>20</v>
      </c>
      <c r="I3730" s="5" t="s">
        <v>8639</v>
      </c>
      <c r="J3730" s="12" t="str">
        <f>HYPERLINK("https://www.boe.es/gazeta/dias/1805/01/25/pdfs/GMD-1805-8.pdf#page=12","Abrir facsímil")</f>
        <v>Abrir facsímil</v>
      </c>
      <c r="K3730" s="15" t="s">
        <v>22</v>
      </c>
    </row>
    <row r="3731" spans="1:11" ht="42" customHeight="1">
      <c r="A3731" s="4" t="s">
        <v>8640</v>
      </c>
      <c r="B3731" s="5" t="s">
        <v>8640</v>
      </c>
      <c r="C3731" s="5" t="s">
        <v>85</v>
      </c>
      <c r="D3731" s="5" t="s">
        <v>86</v>
      </c>
      <c r="E3731" s="5" t="s">
        <v>141</v>
      </c>
      <c r="F3731" s="9">
        <v>82</v>
      </c>
      <c r="G3731" s="9">
        <v>872</v>
      </c>
      <c r="H3731" s="5" t="s">
        <v>20</v>
      </c>
      <c r="I3731" s="5" t="s">
        <v>8641</v>
      </c>
      <c r="J3731" s="12" t="str">
        <f>HYPERLINK("https://www.boe.es/gazeta/dias/1805/10/11/pdfs/GMD-1805-82.pdf#page=12","Abrir facsímil")</f>
        <v>Abrir facsímil</v>
      </c>
      <c r="K3731" s="15" t="s">
        <v>22</v>
      </c>
    </row>
    <row r="3732" spans="1:11" ht="42" customHeight="1">
      <c r="A3732" s="4" t="s">
        <v>8642</v>
      </c>
      <c r="B3732" s="5" t="s">
        <v>8642</v>
      </c>
      <c r="C3732" s="5" t="s">
        <v>17</v>
      </c>
      <c r="D3732" s="5" t="s">
        <v>18</v>
      </c>
      <c r="E3732" s="5" t="s">
        <v>363</v>
      </c>
      <c r="F3732" s="9">
        <v>1</v>
      </c>
      <c r="G3732" s="9">
        <v>10</v>
      </c>
      <c r="H3732" s="5" t="s">
        <v>20</v>
      </c>
      <c r="I3732" s="5" t="s">
        <v>8643</v>
      </c>
      <c r="J3732" s="12" t="str">
        <f>HYPERLINK("https://www.boe.es/gazeta/dias/1805/01/01/pdfs/GMD-1805-1.pdf#page=10","Abrir facsímil")</f>
        <v>Abrir facsímil</v>
      </c>
      <c r="K3732" s="15" t="s">
        <v>22</v>
      </c>
    </row>
    <row r="3733" spans="1:11" ht="42" customHeight="1">
      <c r="A3733" s="4" t="s">
        <v>8644</v>
      </c>
      <c r="B3733" s="5" t="s">
        <v>8645</v>
      </c>
      <c r="C3733" s="5" t="s">
        <v>17</v>
      </c>
      <c r="D3733" s="5" t="s">
        <v>18</v>
      </c>
      <c r="E3733" s="5" t="s">
        <v>426</v>
      </c>
      <c r="F3733" s="9">
        <v>75</v>
      </c>
      <c r="G3733" s="9">
        <v>799</v>
      </c>
      <c r="H3733" s="5" t="s">
        <v>20</v>
      </c>
      <c r="I3733" s="5" t="s">
        <v>8646</v>
      </c>
      <c r="J3733" s="12" t="str">
        <f>HYPERLINK("https://www.boe.es/gazeta/dias/1805/09/17/pdfs/GMD-1805-75.pdf#page=11","Abrir facsímil")</f>
        <v>Abrir facsímil</v>
      </c>
      <c r="K3733" s="15" t="s">
        <v>22</v>
      </c>
    </row>
    <row r="3734" spans="1:11" ht="42" customHeight="1">
      <c r="A3734" s="4" t="s">
        <v>8647</v>
      </c>
      <c r="B3734" s="5" t="s">
        <v>8647</v>
      </c>
      <c r="C3734" s="5" t="s">
        <v>35</v>
      </c>
      <c r="D3734" s="5" t="s">
        <v>36</v>
      </c>
      <c r="E3734" s="5" t="s">
        <v>138</v>
      </c>
      <c r="F3734" s="9">
        <v>102</v>
      </c>
      <c r="G3734" s="9">
        <v>1104</v>
      </c>
      <c r="H3734" s="5" t="s">
        <v>20</v>
      </c>
      <c r="I3734" s="5" t="s">
        <v>8648</v>
      </c>
      <c r="J3734" s="12" t="str">
        <f>HYPERLINK("https://www.boe.es/gazeta/dias/1805/12/20/pdfs/GMD-1805-102.pdf#page=8","Abrir facsímil")</f>
        <v>Abrir facsímil</v>
      </c>
      <c r="K3734" s="15" t="s">
        <v>22</v>
      </c>
    </row>
    <row r="3735" spans="1:11" ht="42" customHeight="1">
      <c r="A3735" s="4" t="s">
        <v>8649</v>
      </c>
      <c r="B3735" s="5" t="s">
        <v>8650</v>
      </c>
      <c r="C3735" s="5" t="s">
        <v>85</v>
      </c>
      <c r="D3735" s="5" t="s">
        <v>86</v>
      </c>
      <c r="E3735" s="5" t="s">
        <v>192</v>
      </c>
      <c r="F3735" s="9">
        <v>105</v>
      </c>
      <c r="G3735" s="9">
        <v>1137</v>
      </c>
      <c r="H3735" s="5" t="s">
        <v>20</v>
      </c>
      <c r="I3735" s="5" t="s">
        <v>8651</v>
      </c>
      <c r="J3735" s="12" t="str">
        <f>HYPERLINK("https://www.boe.es/gazeta/dias/1805/12/31/pdfs/GMD-1805-105.pdf#page=9","Abrir facsímil")</f>
        <v>Abrir facsímil</v>
      </c>
      <c r="K3735" s="15" t="s">
        <v>22</v>
      </c>
    </row>
    <row r="3736" spans="1:11" ht="42" customHeight="1">
      <c r="A3736" s="4" t="s">
        <v>8652</v>
      </c>
      <c r="B3736" s="5" t="s">
        <v>8652</v>
      </c>
      <c r="C3736" s="5" t="s">
        <v>35</v>
      </c>
      <c r="D3736" s="5" t="s">
        <v>36</v>
      </c>
      <c r="E3736" s="5" t="s">
        <v>711</v>
      </c>
      <c r="F3736" s="9">
        <v>63</v>
      </c>
      <c r="G3736" s="9">
        <v>675</v>
      </c>
      <c r="H3736" s="5" t="s">
        <v>20</v>
      </c>
      <c r="I3736" s="5" t="s">
        <v>8653</v>
      </c>
      <c r="J3736" s="12" t="str">
        <f>HYPERLINK("https://www.boe.es/gazeta/dias/1805/08/06/pdfs/GMD-1805-63.pdf#page=11","Abrir facsímil")</f>
        <v>Abrir facsímil</v>
      </c>
      <c r="K3736" s="15" t="s">
        <v>22</v>
      </c>
    </row>
    <row r="3737" spans="1:11" ht="42" customHeight="1">
      <c r="A3737" s="4" t="s">
        <v>8654</v>
      </c>
      <c r="B3737" s="5" t="s">
        <v>8654</v>
      </c>
      <c r="C3737" s="5" t="s">
        <v>35</v>
      </c>
      <c r="D3737" s="5" t="s">
        <v>36</v>
      </c>
      <c r="E3737" s="5" t="s">
        <v>226</v>
      </c>
      <c r="F3737" s="9">
        <v>73</v>
      </c>
      <c r="G3737" s="9">
        <v>774</v>
      </c>
      <c r="H3737" s="5" t="s">
        <v>20</v>
      </c>
      <c r="I3737" s="5" t="s">
        <v>8655</v>
      </c>
      <c r="J3737" s="12" t="str">
        <f>HYPERLINK("https://www.boe.es/gazeta/dias/1805/09/10/pdfs/GMD-1805-73.pdf#page=6","Abrir facsímil")</f>
        <v>Abrir facsímil</v>
      </c>
      <c r="K3737" s="15" t="s">
        <v>22</v>
      </c>
    </row>
    <row r="3738" spans="1:11" ht="42" customHeight="1">
      <c r="A3738" s="4" t="s">
        <v>8656</v>
      </c>
      <c r="B3738" s="5" t="s">
        <v>8657</v>
      </c>
      <c r="C3738" s="5" t="s">
        <v>52</v>
      </c>
      <c r="D3738" s="5" t="s">
        <v>53</v>
      </c>
      <c r="E3738" s="5" t="s">
        <v>82</v>
      </c>
      <c r="F3738" s="9">
        <v>25</v>
      </c>
      <c r="G3738" s="9" t="s">
        <v>222</v>
      </c>
      <c r="H3738" s="5" t="s">
        <v>20</v>
      </c>
      <c r="I3738" s="5" t="s">
        <v>8658</v>
      </c>
      <c r="J3738" s="12" t="str">
        <f>HYPERLINK("https://www.boe.es/gazeta/dias/1805/03/26/pdfs/GMD-C-1805-25.pdf#page=1","Abrir facsímil")</f>
        <v>Abrir facsímil</v>
      </c>
      <c r="K3738" s="15" t="s">
        <v>22</v>
      </c>
    </row>
    <row r="3739" spans="1:11" ht="42" customHeight="1">
      <c r="A3739" s="4" t="s">
        <v>8659</v>
      </c>
      <c r="B3739" s="5" t="s">
        <v>8659</v>
      </c>
      <c r="C3739" s="5" t="s">
        <v>35</v>
      </c>
      <c r="D3739" s="5" t="s">
        <v>36</v>
      </c>
      <c r="E3739" s="5" t="s">
        <v>645</v>
      </c>
      <c r="F3739" s="9">
        <v>55</v>
      </c>
      <c r="G3739" s="9">
        <v>585</v>
      </c>
      <c r="H3739" s="5" t="s">
        <v>20</v>
      </c>
      <c r="I3739" s="5" t="s">
        <v>8660</v>
      </c>
      <c r="J3739" s="12" t="str">
        <f>HYPERLINK("https://www.boe.es/gazeta/dias/1805/07/09/pdfs/GMD-1805-55.pdf#page=5","Abrir facsímil")</f>
        <v>Abrir facsímil</v>
      </c>
      <c r="K3739" s="15" t="s">
        <v>22</v>
      </c>
    </row>
    <row r="3740" spans="1:11" ht="42" customHeight="1">
      <c r="A3740" s="4" t="s">
        <v>8661</v>
      </c>
      <c r="B3740" s="5" t="s">
        <v>8662</v>
      </c>
      <c r="C3740" s="5" t="s">
        <v>80</v>
      </c>
      <c r="D3740" s="5" t="s">
        <v>81</v>
      </c>
      <c r="E3740" s="5" t="s">
        <v>27</v>
      </c>
      <c r="F3740" s="9">
        <v>37</v>
      </c>
      <c r="G3740" s="9">
        <v>400</v>
      </c>
      <c r="H3740" s="5" t="s">
        <v>20</v>
      </c>
      <c r="I3740" s="5" t="s">
        <v>8663</v>
      </c>
      <c r="J3740" s="12" t="str">
        <f>HYPERLINK("https://www.boe.es/gazeta/dias/1805/05/07/pdfs/GMD-1805-37.pdf#page=8","Abrir facsímil")</f>
        <v>Abrir facsímil</v>
      </c>
      <c r="K3740" s="15" t="s">
        <v>22</v>
      </c>
    </row>
    <row r="3741" spans="1:11" ht="42" customHeight="1">
      <c r="A3741" s="4" t="s">
        <v>8664</v>
      </c>
      <c r="B3741" s="5" t="s">
        <v>8664</v>
      </c>
      <c r="C3741" s="5" t="s">
        <v>29</v>
      </c>
      <c r="D3741" s="5" t="s">
        <v>30</v>
      </c>
      <c r="E3741" s="5" t="s">
        <v>24</v>
      </c>
      <c r="F3741" s="9">
        <v>11</v>
      </c>
      <c r="G3741" s="9">
        <v>123</v>
      </c>
      <c r="H3741" s="5" t="s">
        <v>20</v>
      </c>
      <c r="I3741" s="5" t="s">
        <v>8665</v>
      </c>
      <c r="J3741" s="12" t="str">
        <f>HYPERLINK("https://www.boe.es/gazeta/dias/1805/02/05/pdfs/GMD-1805-11.pdf#page=11","Abrir facsímil")</f>
        <v>Abrir facsímil</v>
      </c>
      <c r="K3741" s="15" t="s">
        <v>22</v>
      </c>
    </row>
    <row r="3742" spans="1:11" ht="42" customHeight="1">
      <c r="A3742" s="4" t="s">
        <v>8666</v>
      </c>
      <c r="B3742" s="5" t="s">
        <v>8667</v>
      </c>
      <c r="C3742" s="5" t="s">
        <v>17</v>
      </c>
      <c r="D3742" s="5" t="s">
        <v>18</v>
      </c>
      <c r="E3742" s="5" t="s">
        <v>1292</v>
      </c>
      <c r="F3742" s="9">
        <v>43</v>
      </c>
      <c r="G3742" s="9">
        <v>463</v>
      </c>
      <c r="H3742" s="5" t="s">
        <v>20</v>
      </c>
      <c r="I3742" s="5" t="s">
        <v>8668</v>
      </c>
      <c r="J3742" s="12" t="str">
        <f>HYPERLINK("https://www.boe.es/gazeta/dias/1805/05/28/pdfs/GMD-1805-43.pdf#page=7","Abrir facsímil")</f>
        <v>Abrir facsímil</v>
      </c>
      <c r="K3742" s="15" t="s">
        <v>22</v>
      </c>
    </row>
    <row r="3743" spans="1:11" ht="42" customHeight="1">
      <c r="A3743" s="4" t="s">
        <v>8669</v>
      </c>
      <c r="B3743" s="5" t="s">
        <v>8669</v>
      </c>
      <c r="C3743" s="5" t="s">
        <v>29</v>
      </c>
      <c r="D3743" s="5" t="s">
        <v>30</v>
      </c>
      <c r="E3743" s="5" t="s">
        <v>31</v>
      </c>
      <c r="F3743" s="9">
        <v>65</v>
      </c>
      <c r="G3743" s="9">
        <v>699</v>
      </c>
      <c r="H3743" s="5" t="s">
        <v>20</v>
      </c>
      <c r="I3743" s="5" t="s">
        <v>8670</v>
      </c>
      <c r="J3743" s="12" t="str">
        <f>HYPERLINK("https://www.boe.es/gazeta/dias/1805/08/13/pdfs/GMD-1805-65.pdf#page=11","Abrir facsímil")</f>
        <v>Abrir facsímil</v>
      </c>
      <c r="K3743" s="15" t="s">
        <v>22</v>
      </c>
    </row>
    <row r="3744" spans="1:11" ht="42" customHeight="1">
      <c r="A3744" s="4" t="s">
        <v>8671</v>
      </c>
      <c r="B3744" s="5" t="s">
        <v>8671</v>
      </c>
      <c r="C3744" s="5" t="s">
        <v>35</v>
      </c>
      <c r="D3744" s="5" t="s">
        <v>36</v>
      </c>
      <c r="E3744" s="5" t="s">
        <v>24</v>
      </c>
      <c r="F3744" s="9">
        <v>11</v>
      </c>
      <c r="G3744" s="9">
        <v>121</v>
      </c>
      <c r="H3744" s="5" t="s">
        <v>20</v>
      </c>
      <c r="I3744" s="5" t="s">
        <v>8672</v>
      </c>
      <c r="J3744" s="12" t="str">
        <f>HYPERLINK("https://www.boe.es/gazeta/dias/1805/02/05/pdfs/GMD-1805-11.pdf#page=9","Abrir facsímil")</f>
        <v>Abrir facsímil</v>
      </c>
      <c r="K3744" s="15" t="s">
        <v>22</v>
      </c>
    </row>
    <row r="3745" spans="1:11" ht="42" customHeight="1">
      <c r="A3745" s="4" t="s">
        <v>8673</v>
      </c>
      <c r="B3745" s="5" t="s">
        <v>8673</v>
      </c>
      <c r="C3745" s="5" t="s">
        <v>80</v>
      </c>
      <c r="D3745" s="5" t="s">
        <v>81</v>
      </c>
      <c r="E3745" s="5" t="s">
        <v>387</v>
      </c>
      <c r="F3745" s="9">
        <v>4</v>
      </c>
      <c r="G3745" s="9">
        <v>35</v>
      </c>
      <c r="H3745" s="5" t="s">
        <v>20</v>
      </c>
      <c r="I3745" s="5" t="s">
        <v>8674</v>
      </c>
      <c r="J3745" s="12" t="str">
        <f>HYPERLINK("https://www.boe.es/gazeta/dias/1805/01/11/pdfs/GMD-1805-4.pdf#page=3","Abrir facsímil")</f>
        <v>Abrir facsímil</v>
      </c>
      <c r="K3745" s="15" t="s">
        <v>22</v>
      </c>
    </row>
    <row r="3746" spans="1:11" ht="42" customHeight="1">
      <c r="A3746" s="4" t="s">
        <v>8675</v>
      </c>
      <c r="B3746" s="5" t="s">
        <v>8676</v>
      </c>
      <c r="C3746" s="5" t="s">
        <v>80</v>
      </c>
      <c r="D3746" s="5" t="s">
        <v>81</v>
      </c>
      <c r="E3746" s="5" t="s">
        <v>99</v>
      </c>
      <c r="F3746" s="9">
        <v>83</v>
      </c>
      <c r="G3746" s="9">
        <v>873</v>
      </c>
      <c r="H3746" s="5" t="s">
        <v>20</v>
      </c>
      <c r="I3746" s="5" t="s">
        <v>8677</v>
      </c>
      <c r="J3746" s="12" t="str">
        <f>HYPERLINK("https://www.boe.es/gazeta/dias/1805/10/15/pdfs/GMD-1805-83.pdf#page=1","Abrir facsímil")</f>
        <v>Abrir facsímil</v>
      </c>
      <c r="K3746" s="15" t="s">
        <v>22</v>
      </c>
    </row>
    <row r="3747" spans="1:11" ht="42" customHeight="1">
      <c r="A3747" s="4" t="s">
        <v>8678</v>
      </c>
      <c r="B3747" s="5" t="s">
        <v>8678</v>
      </c>
      <c r="C3747" s="5" t="s">
        <v>29</v>
      </c>
      <c r="D3747" s="5" t="s">
        <v>30</v>
      </c>
      <c r="E3747" s="5" t="s">
        <v>192</v>
      </c>
      <c r="F3747" s="9">
        <v>105</v>
      </c>
      <c r="G3747" s="9">
        <v>1140</v>
      </c>
      <c r="H3747" s="5" t="s">
        <v>20</v>
      </c>
      <c r="I3747" s="5" t="s">
        <v>8679</v>
      </c>
      <c r="J3747" s="12" t="str">
        <f>HYPERLINK("https://www.boe.es/gazeta/dias/1805/12/31/pdfs/GMD-1805-105.pdf#page=12","Abrir facsímil")</f>
        <v>Abrir facsímil</v>
      </c>
      <c r="K3747" s="15" t="s">
        <v>22</v>
      </c>
    </row>
    <row r="3748" spans="1:11" ht="42" customHeight="1">
      <c r="A3748" s="4" t="s">
        <v>8680</v>
      </c>
      <c r="B3748" s="5" t="s">
        <v>8681</v>
      </c>
      <c r="C3748" s="5" t="s">
        <v>35</v>
      </c>
      <c r="D3748" s="5" t="s">
        <v>36</v>
      </c>
      <c r="E3748" s="5" t="s">
        <v>107</v>
      </c>
      <c r="F3748" s="9">
        <v>19</v>
      </c>
      <c r="G3748" s="9">
        <v>198</v>
      </c>
      <c r="H3748" s="5" t="s">
        <v>20</v>
      </c>
      <c r="I3748" s="5" t="s">
        <v>8682</v>
      </c>
      <c r="J3748" s="12" t="str">
        <f>HYPERLINK("https://www.boe.es/gazeta/dias/1805/03/05/pdfs/GMD-1805-19.pdf#page=10","Abrir facsímil")</f>
        <v>Abrir facsímil</v>
      </c>
      <c r="K3748" s="15" t="s">
        <v>22</v>
      </c>
    </row>
    <row r="3749" spans="1:11" ht="42" customHeight="1">
      <c r="A3749" s="4" t="s">
        <v>8683</v>
      </c>
      <c r="B3749" s="5" t="s">
        <v>8684</v>
      </c>
      <c r="C3749" s="5" t="s">
        <v>80</v>
      </c>
      <c r="D3749" s="5" t="s">
        <v>81</v>
      </c>
      <c r="E3749" s="5" t="s">
        <v>886</v>
      </c>
      <c r="F3749" s="9">
        <v>93</v>
      </c>
      <c r="G3749" s="9">
        <v>991</v>
      </c>
      <c r="H3749" s="5" t="s">
        <v>20</v>
      </c>
      <c r="I3749" s="5" t="s">
        <v>8685</v>
      </c>
      <c r="J3749" s="12" t="str">
        <f>HYPERLINK("https://www.boe.es/gazeta/dias/1805/11/19/pdfs/GMD-1805-93.pdf#page=3","Abrir facsímil")</f>
        <v>Abrir facsímil</v>
      </c>
      <c r="K3749" s="15" t="s">
        <v>22</v>
      </c>
    </row>
    <row r="3750" spans="1:11" ht="42" customHeight="1">
      <c r="A3750" s="4" t="s">
        <v>8686</v>
      </c>
      <c r="B3750" s="5" t="s">
        <v>8687</v>
      </c>
      <c r="C3750" s="5" t="s">
        <v>80</v>
      </c>
      <c r="D3750" s="5" t="s">
        <v>81</v>
      </c>
      <c r="E3750" s="5" t="s">
        <v>1022</v>
      </c>
      <c r="F3750" s="9">
        <v>52</v>
      </c>
      <c r="G3750" s="9">
        <v>556</v>
      </c>
      <c r="H3750" s="5" t="s">
        <v>20</v>
      </c>
      <c r="I3750" s="5" t="s">
        <v>8688</v>
      </c>
      <c r="J3750" s="12" t="str">
        <f>HYPERLINK("https://www.boe.es/gazeta/dias/1805/06/28/pdfs/GMD-1805-52.pdf#page=4","Abrir facsímil")</f>
        <v>Abrir facsímil</v>
      </c>
      <c r="K3750" s="15" t="s">
        <v>22</v>
      </c>
    </row>
    <row r="3751" spans="1:11" ht="42" customHeight="1">
      <c r="A3751" s="4" t="s">
        <v>8686</v>
      </c>
      <c r="B3751" s="5" t="s">
        <v>8687</v>
      </c>
      <c r="C3751" s="5" t="s">
        <v>80</v>
      </c>
      <c r="D3751" s="5" t="s">
        <v>81</v>
      </c>
      <c r="E3751" s="5" t="s">
        <v>409</v>
      </c>
      <c r="F3751" s="9">
        <v>69</v>
      </c>
      <c r="G3751" s="9">
        <v>735</v>
      </c>
      <c r="H3751" s="5" t="s">
        <v>20</v>
      </c>
      <c r="I3751" s="5" t="s">
        <v>8689</v>
      </c>
      <c r="J3751" s="12" t="str">
        <f>HYPERLINK("https://www.boe.es/gazeta/dias/1805/08/27/pdfs/GMD-1805-69.pdf#page=3","Abrir facsímil")</f>
        <v>Abrir facsímil</v>
      </c>
      <c r="K3751" s="15" t="s">
        <v>22</v>
      </c>
    </row>
    <row r="3752" spans="1:11" ht="42" customHeight="1">
      <c r="A3752" s="4" t="s">
        <v>8686</v>
      </c>
      <c r="B3752" s="5" t="s">
        <v>8687</v>
      </c>
      <c r="C3752" s="5" t="s">
        <v>80</v>
      </c>
      <c r="D3752" s="5" t="s">
        <v>81</v>
      </c>
      <c r="E3752" s="5" t="s">
        <v>335</v>
      </c>
      <c r="F3752" s="9">
        <v>79</v>
      </c>
      <c r="G3752" s="9">
        <v>832</v>
      </c>
      <c r="H3752" s="5" t="s">
        <v>20</v>
      </c>
      <c r="I3752" s="5" t="s">
        <v>8690</v>
      </c>
      <c r="J3752" s="12" t="str">
        <f>HYPERLINK("https://www.boe.es/gazeta/dias/1805/10/01/pdfs/GMD-1805-79.pdf#page=4","Abrir facsímil")</f>
        <v>Abrir facsímil</v>
      </c>
      <c r="K3752" s="15" t="s">
        <v>22</v>
      </c>
    </row>
    <row r="3753" spans="1:11" ht="42" customHeight="1">
      <c r="A3753" s="4" t="s">
        <v>8691</v>
      </c>
      <c r="B3753" s="5" t="s">
        <v>8692</v>
      </c>
      <c r="C3753" s="5" t="s">
        <v>35</v>
      </c>
      <c r="D3753" s="5" t="s">
        <v>36</v>
      </c>
      <c r="E3753" s="5" t="s">
        <v>399</v>
      </c>
      <c r="F3753" s="9">
        <v>39</v>
      </c>
      <c r="G3753" s="9">
        <v>417</v>
      </c>
      <c r="H3753" s="5" t="s">
        <v>20</v>
      </c>
      <c r="I3753" s="5" t="s">
        <v>8693</v>
      </c>
      <c r="J3753" s="12" t="str">
        <f>HYPERLINK("https://www.boe.es/gazeta/dias/1805/05/14/pdfs/GMD-1805-39.pdf#page=5","Abrir facsímil")</f>
        <v>Abrir facsímil</v>
      </c>
      <c r="K3753" s="15" t="s">
        <v>22</v>
      </c>
    </row>
    <row r="3754" spans="1:11" ht="42" customHeight="1">
      <c r="A3754" s="4" t="s">
        <v>8694</v>
      </c>
      <c r="B3754" s="5" t="s">
        <v>8695</v>
      </c>
      <c r="C3754" s="5" t="s">
        <v>80</v>
      </c>
      <c r="D3754" s="5" t="s">
        <v>81</v>
      </c>
      <c r="E3754" s="5" t="s">
        <v>789</v>
      </c>
      <c r="F3754" s="9">
        <v>104</v>
      </c>
      <c r="G3754" s="9">
        <v>1120</v>
      </c>
      <c r="H3754" s="5" t="s">
        <v>20</v>
      </c>
      <c r="I3754" s="5" t="s">
        <v>8696</v>
      </c>
      <c r="J3754" s="12" t="str">
        <f>HYPERLINK("https://www.boe.es/gazeta/dias/1805/12/27/pdfs/GMD-1805-104.pdf#page=4","Abrir facsímil")</f>
        <v>Abrir facsímil</v>
      </c>
      <c r="K3754" s="15" t="s">
        <v>22</v>
      </c>
    </row>
    <row r="3755" spans="1:11" ht="42" customHeight="1">
      <c r="A3755" s="4" t="s">
        <v>8697</v>
      </c>
      <c r="B3755" s="5" t="s">
        <v>8698</v>
      </c>
      <c r="C3755" s="5" t="s">
        <v>80</v>
      </c>
      <c r="D3755" s="5" t="s">
        <v>81</v>
      </c>
      <c r="E3755" s="5" t="s">
        <v>552</v>
      </c>
      <c r="F3755" s="9">
        <v>94</v>
      </c>
      <c r="G3755" s="9">
        <v>1006</v>
      </c>
      <c r="H3755" s="5" t="s">
        <v>20</v>
      </c>
      <c r="I3755" s="5" t="s">
        <v>8699</v>
      </c>
      <c r="J3755" s="12" t="str">
        <f>HYPERLINK("https://www.boe.es/gazeta/dias/1805/11/22/pdfs/GMD-1805-94.pdf#page=6","Abrir facsímil")</f>
        <v>Abrir facsímil</v>
      </c>
      <c r="K3755" s="15" t="s">
        <v>22</v>
      </c>
    </row>
    <row r="3756" spans="1:11" ht="42" customHeight="1">
      <c r="A3756" s="4" t="s">
        <v>8700</v>
      </c>
      <c r="B3756" s="5" t="s">
        <v>8701</v>
      </c>
      <c r="C3756" s="5" t="s">
        <v>17</v>
      </c>
      <c r="D3756" s="5" t="s">
        <v>18</v>
      </c>
      <c r="E3756" s="5" t="s">
        <v>787</v>
      </c>
      <c r="F3756" s="9">
        <v>95</v>
      </c>
      <c r="G3756" s="9">
        <v>1018</v>
      </c>
      <c r="H3756" s="5" t="s">
        <v>20</v>
      </c>
      <c r="I3756" s="5" t="s">
        <v>8702</v>
      </c>
      <c r="J3756" s="12" t="str">
        <f>HYPERLINK("https://www.boe.es/gazeta/dias/1805/11/26/pdfs/GMD-1805-95.pdf#page=6","Abrir facsímil")</f>
        <v>Abrir facsímil</v>
      </c>
      <c r="K3756" s="15" t="s">
        <v>22</v>
      </c>
    </row>
    <row r="3757" spans="1:11" ht="42" customHeight="1">
      <c r="A3757" s="4" t="s">
        <v>8703</v>
      </c>
      <c r="B3757" s="5" t="s">
        <v>8704</v>
      </c>
      <c r="C3757" s="5" t="s">
        <v>80</v>
      </c>
      <c r="D3757" s="5" t="s">
        <v>81</v>
      </c>
      <c r="E3757" s="5" t="s">
        <v>200</v>
      </c>
      <c r="F3757" s="9">
        <v>91</v>
      </c>
      <c r="G3757" s="9">
        <v>970</v>
      </c>
      <c r="H3757" s="5" t="s">
        <v>20</v>
      </c>
      <c r="I3757" s="5" t="s">
        <v>8705</v>
      </c>
      <c r="J3757" s="12" t="str">
        <f>HYPERLINK("https://www.boe.es/gazeta/dias/1805/11/12/pdfs/GMD-1805-91.pdf#page=2","Abrir facsímil")</f>
        <v>Abrir facsímil</v>
      </c>
      <c r="K3757" s="15" t="s">
        <v>22</v>
      </c>
    </row>
    <row r="3758" spans="1:11" ht="42" customHeight="1">
      <c r="A3758" s="4" t="s">
        <v>8706</v>
      </c>
      <c r="B3758" s="5" t="s">
        <v>8707</v>
      </c>
      <c r="C3758" s="5" t="s">
        <v>17</v>
      </c>
      <c r="D3758" s="5" t="s">
        <v>18</v>
      </c>
      <c r="E3758" s="5" t="s">
        <v>669</v>
      </c>
      <c r="F3758" s="9">
        <v>84</v>
      </c>
      <c r="G3758" s="9">
        <v>890</v>
      </c>
      <c r="H3758" s="5" t="s">
        <v>20</v>
      </c>
      <c r="I3758" s="5" t="s">
        <v>8708</v>
      </c>
      <c r="J3758" s="12" t="str">
        <f>HYPERLINK("https://www.boe.es/gazeta/dias/1805/10/18/pdfs/GMD-1805-84.pdf#page=6","Abrir facsímil")</f>
        <v>Abrir facsímil</v>
      </c>
      <c r="K3758" s="15" t="s">
        <v>22</v>
      </c>
    </row>
    <row r="3759" spans="1:11" ht="42" customHeight="1">
      <c r="A3759" s="4" t="s">
        <v>8709</v>
      </c>
      <c r="B3759" s="5" t="s">
        <v>8710</v>
      </c>
      <c r="C3759" s="5" t="s">
        <v>80</v>
      </c>
      <c r="D3759" s="5" t="s">
        <v>81</v>
      </c>
      <c r="E3759" s="5" t="s">
        <v>387</v>
      </c>
      <c r="F3759" s="9">
        <v>4</v>
      </c>
      <c r="G3759" s="9">
        <v>40</v>
      </c>
      <c r="H3759" s="5" t="s">
        <v>20</v>
      </c>
      <c r="I3759" s="5" t="s">
        <v>8711</v>
      </c>
      <c r="J3759" s="12" t="str">
        <f>HYPERLINK("https://www.boe.es/gazeta/dias/1805/01/11/pdfs/GMD-1805-4.pdf#page=8","Abrir facsímil")</f>
        <v>Abrir facsímil</v>
      </c>
      <c r="K3759" s="15" t="s">
        <v>22</v>
      </c>
    </row>
    <row r="3760" spans="1:11" ht="42" customHeight="1">
      <c r="A3760" s="4" t="s">
        <v>8712</v>
      </c>
      <c r="B3760" s="5" t="s">
        <v>8713</v>
      </c>
      <c r="C3760" s="5" t="s">
        <v>80</v>
      </c>
      <c r="D3760" s="5" t="s">
        <v>81</v>
      </c>
      <c r="E3760" s="5" t="s">
        <v>117</v>
      </c>
      <c r="F3760" s="9">
        <v>20</v>
      </c>
      <c r="G3760" s="9">
        <v>203</v>
      </c>
      <c r="H3760" s="5" t="s">
        <v>20</v>
      </c>
      <c r="I3760" s="5" t="s">
        <v>8714</v>
      </c>
      <c r="J3760" s="12" t="str">
        <f>HYPERLINK("https://www.boe.es/gazeta/dias/1805/03/08/pdfs/GMD-1805-20.pdf#page=3","Abrir facsímil")</f>
        <v>Abrir facsímil</v>
      </c>
      <c r="K3760" s="15" t="s">
        <v>22</v>
      </c>
    </row>
    <row r="3761" spans="1:11" ht="42" customHeight="1">
      <c r="A3761" s="4" t="s">
        <v>8715</v>
      </c>
      <c r="B3761" s="5" t="s">
        <v>8716</v>
      </c>
      <c r="C3761" s="5" t="s">
        <v>35</v>
      </c>
      <c r="D3761" s="5" t="s">
        <v>36</v>
      </c>
      <c r="E3761" s="5" t="s">
        <v>19</v>
      </c>
      <c r="F3761" s="9">
        <v>86</v>
      </c>
      <c r="G3761" s="9">
        <v>914</v>
      </c>
      <c r="H3761" s="5" t="s">
        <v>20</v>
      </c>
      <c r="I3761" s="5" t="s">
        <v>8717</v>
      </c>
      <c r="J3761" s="12" t="str">
        <f>HYPERLINK("https://www.boe.es/gazeta/dias/1805/10/25/pdfs/GMD-1805-86.pdf#page=10","Abrir facsímil")</f>
        <v>Abrir facsímil</v>
      </c>
      <c r="K3761" s="15" t="s">
        <v>22</v>
      </c>
    </row>
    <row r="3762" spans="1:11" ht="42" customHeight="1">
      <c r="A3762" s="4" t="s">
        <v>8718</v>
      </c>
      <c r="B3762" s="5" t="s">
        <v>8719</v>
      </c>
      <c r="C3762" s="5" t="s">
        <v>17</v>
      </c>
      <c r="D3762" s="5" t="s">
        <v>18</v>
      </c>
      <c r="E3762" s="5" t="s">
        <v>196</v>
      </c>
      <c r="F3762" s="9">
        <v>67</v>
      </c>
      <c r="G3762" s="9">
        <v>717</v>
      </c>
      <c r="H3762" s="5" t="s">
        <v>20</v>
      </c>
      <c r="I3762" s="5" t="s">
        <v>8720</v>
      </c>
      <c r="J3762" s="12" t="str">
        <f>HYPERLINK("https://www.boe.es/gazeta/dias/1805/08/20/pdfs/GMD-1805-67.pdf#page=5","Abrir facsímil")</f>
        <v>Abrir facsímil</v>
      </c>
      <c r="K3762" s="15" t="s">
        <v>22</v>
      </c>
    </row>
    <row r="3763" spans="1:11" ht="42" customHeight="1">
      <c r="A3763" s="4" t="s">
        <v>8721</v>
      </c>
      <c r="B3763" s="5" t="s">
        <v>8722</v>
      </c>
      <c r="C3763" s="5" t="s">
        <v>80</v>
      </c>
      <c r="D3763" s="5" t="s">
        <v>81</v>
      </c>
      <c r="E3763" s="5" t="s">
        <v>817</v>
      </c>
      <c r="F3763" s="9">
        <v>92</v>
      </c>
      <c r="G3763" s="9">
        <v>985</v>
      </c>
      <c r="H3763" s="5" t="s">
        <v>20</v>
      </c>
      <c r="I3763" s="5" t="s">
        <v>8723</v>
      </c>
      <c r="J3763" s="12" t="str">
        <f>HYPERLINK("https://www.boe.es/gazeta/dias/1805/11/15/pdfs/GMD-1805-92.pdf#page=5","Abrir facsímil")</f>
        <v>Abrir facsímil</v>
      </c>
      <c r="K3763" s="15" t="s">
        <v>22</v>
      </c>
    </row>
    <row r="3764" spans="1:11" ht="42" customHeight="1">
      <c r="A3764" s="4" t="s">
        <v>8724</v>
      </c>
      <c r="B3764" s="5" t="s">
        <v>8725</v>
      </c>
      <c r="C3764" s="5" t="s">
        <v>35</v>
      </c>
      <c r="D3764" s="5" t="s">
        <v>36</v>
      </c>
      <c r="E3764" s="5" t="s">
        <v>215</v>
      </c>
      <c r="F3764" s="9">
        <v>87</v>
      </c>
      <c r="G3764" s="9">
        <v>919</v>
      </c>
      <c r="H3764" s="5" t="s">
        <v>20</v>
      </c>
      <c r="I3764" s="5" t="s">
        <v>8726</v>
      </c>
      <c r="J3764" s="12" t="str">
        <f>HYPERLINK("https://www.boe.es/gazeta/dias/1805/10/29/pdfs/GMD-1805-87.pdf#page=3","Abrir facsímil")</f>
        <v>Abrir facsímil</v>
      </c>
      <c r="K3764" s="15" t="s">
        <v>22</v>
      </c>
    </row>
    <row r="3765" spans="1:11" ht="42" customHeight="1">
      <c r="A3765" s="4" t="s">
        <v>8724</v>
      </c>
      <c r="B3765" s="5" t="s">
        <v>8725</v>
      </c>
      <c r="C3765" s="5" t="s">
        <v>80</v>
      </c>
      <c r="D3765" s="5" t="s">
        <v>81</v>
      </c>
      <c r="E3765" s="5" t="s">
        <v>209</v>
      </c>
      <c r="F3765" s="9">
        <v>89</v>
      </c>
      <c r="G3765" s="9">
        <v>945</v>
      </c>
      <c r="H3765" s="5" t="s">
        <v>20</v>
      </c>
      <c r="I3765" s="5" t="s">
        <v>8727</v>
      </c>
      <c r="J3765" s="12" t="str">
        <f>HYPERLINK("https://www.boe.es/gazeta/dias/1805/11/05/pdfs/GMD-1805-89.pdf#page=5","Abrir facsímil")</f>
        <v>Abrir facsímil</v>
      </c>
      <c r="K3765" s="15" t="s">
        <v>22</v>
      </c>
    </row>
    <row r="3766" spans="1:11" ht="42" customHeight="1">
      <c r="A3766" s="4" t="s">
        <v>8728</v>
      </c>
      <c r="B3766" s="5" t="s">
        <v>8729</v>
      </c>
      <c r="C3766" s="5" t="s">
        <v>35</v>
      </c>
      <c r="D3766" s="5" t="s">
        <v>36</v>
      </c>
      <c r="E3766" s="5" t="s">
        <v>107</v>
      </c>
      <c r="F3766" s="9">
        <v>19</v>
      </c>
      <c r="G3766" s="9">
        <v>198</v>
      </c>
      <c r="H3766" s="5" t="s">
        <v>20</v>
      </c>
      <c r="I3766" s="5" t="s">
        <v>8730</v>
      </c>
      <c r="J3766" s="12" t="str">
        <f>HYPERLINK("https://www.boe.es/gazeta/dias/1805/03/05/pdfs/GMD-1805-19.pdf#page=10","Abrir facsímil")</f>
        <v>Abrir facsímil</v>
      </c>
      <c r="K3766" s="15" t="s">
        <v>22</v>
      </c>
    </row>
    <row r="3767" spans="1:11" ht="42" customHeight="1">
      <c r="A3767" s="4" t="s">
        <v>8731</v>
      </c>
      <c r="B3767" s="5" t="s">
        <v>8732</v>
      </c>
      <c r="C3767" s="5" t="s">
        <v>35</v>
      </c>
      <c r="D3767" s="5" t="s">
        <v>36</v>
      </c>
      <c r="E3767" s="5" t="s">
        <v>363</v>
      </c>
      <c r="F3767" s="9">
        <v>1</v>
      </c>
      <c r="G3767" s="9">
        <v>3</v>
      </c>
      <c r="H3767" s="5" t="s">
        <v>20</v>
      </c>
      <c r="I3767" s="5" t="s">
        <v>8733</v>
      </c>
      <c r="J3767" s="12" t="str">
        <f>HYPERLINK("https://www.boe.es/gazeta/dias/1805/01/01/pdfs/GMD-1805-1.pdf#page=3","Abrir facsímil")</f>
        <v>Abrir facsímil</v>
      </c>
      <c r="K3767" s="15" t="s">
        <v>22</v>
      </c>
    </row>
    <row r="3768" spans="1:11" ht="42" customHeight="1">
      <c r="A3768" s="4" t="s">
        <v>8734</v>
      </c>
      <c r="B3768" s="5" t="s">
        <v>8735</v>
      </c>
      <c r="C3768" s="5" t="s">
        <v>80</v>
      </c>
      <c r="D3768" s="5" t="s">
        <v>81</v>
      </c>
      <c r="E3768" s="5" t="s">
        <v>1494</v>
      </c>
      <c r="F3768" s="9">
        <v>31</v>
      </c>
      <c r="G3768" s="9">
        <v>328</v>
      </c>
      <c r="H3768" s="5" t="s">
        <v>20</v>
      </c>
      <c r="I3768" s="5" t="s">
        <v>8736</v>
      </c>
      <c r="J3768" s="12" t="str">
        <f>HYPERLINK("https://www.boe.es/gazeta/dias/1805/04/16/pdfs/GMD-1805-31.pdf#page=4","Abrir facsímil")</f>
        <v>Abrir facsímil</v>
      </c>
      <c r="K3768" s="15" t="s">
        <v>22</v>
      </c>
    </row>
    <row r="3769" spans="1:11" ht="42" customHeight="1">
      <c r="A3769" s="4" t="s">
        <v>8734</v>
      </c>
      <c r="B3769" s="5" t="s">
        <v>8735</v>
      </c>
      <c r="C3769" s="5" t="s">
        <v>80</v>
      </c>
      <c r="D3769" s="5" t="s">
        <v>81</v>
      </c>
      <c r="E3769" s="5" t="s">
        <v>1494</v>
      </c>
      <c r="F3769" s="9">
        <v>31</v>
      </c>
      <c r="G3769" s="9">
        <v>329</v>
      </c>
      <c r="H3769" s="5" t="s">
        <v>20</v>
      </c>
      <c r="I3769" s="5" t="s">
        <v>8737</v>
      </c>
      <c r="J3769" s="12" t="str">
        <f>HYPERLINK("https://www.boe.es/gazeta/dias/1805/04/16/pdfs/GMD-1805-31.pdf#page=5","Abrir facsímil")</f>
        <v>Abrir facsímil</v>
      </c>
      <c r="K3769" s="15" t="s">
        <v>22</v>
      </c>
    </row>
    <row r="3770" spans="1:11" ht="42" customHeight="1">
      <c r="A3770" s="4" t="s">
        <v>8738</v>
      </c>
      <c r="B3770" s="5" t="s">
        <v>8739</v>
      </c>
      <c r="C3770" s="5" t="s">
        <v>80</v>
      </c>
      <c r="D3770" s="5" t="s">
        <v>81</v>
      </c>
      <c r="E3770" s="5" t="s">
        <v>27</v>
      </c>
      <c r="F3770" s="9">
        <v>37</v>
      </c>
      <c r="G3770" s="9">
        <v>393</v>
      </c>
      <c r="H3770" s="5" t="s">
        <v>20</v>
      </c>
      <c r="I3770" s="5" t="s">
        <v>8740</v>
      </c>
      <c r="J3770" s="12" t="str">
        <f>HYPERLINK("https://www.boe.es/gazeta/dias/1805/05/07/pdfs/GMD-1805-37.pdf#page=1","Abrir facsímil")</f>
        <v>Abrir facsímil</v>
      </c>
      <c r="K3770" s="15" t="s">
        <v>22</v>
      </c>
    </row>
    <row r="3771" spans="1:11" ht="42" customHeight="1">
      <c r="A3771" s="4" t="s">
        <v>8741</v>
      </c>
      <c r="B3771" s="5" t="s">
        <v>8741</v>
      </c>
      <c r="C3771" s="5" t="s">
        <v>184</v>
      </c>
      <c r="D3771" s="5" t="s">
        <v>86</v>
      </c>
      <c r="E3771" s="5" t="s">
        <v>27</v>
      </c>
      <c r="F3771" s="9">
        <v>37</v>
      </c>
      <c r="G3771" s="9">
        <v>395</v>
      </c>
      <c r="H3771" s="5" t="s">
        <v>20</v>
      </c>
      <c r="I3771" s="5" t="s">
        <v>8742</v>
      </c>
      <c r="J3771" s="12" t="str">
        <f>HYPERLINK("https://www.boe.es/gazeta/dias/1805/05/07/pdfs/GMD-1805-37.pdf#page=3","Abrir facsímil")</f>
        <v>Abrir facsímil</v>
      </c>
      <c r="K3771" s="15" t="s">
        <v>22</v>
      </c>
    </row>
    <row r="3772" spans="1:11" ht="42" customHeight="1">
      <c r="A3772" s="4" t="s">
        <v>8743</v>
      </c>
      <c r="B3772" s="5" t="s">
        <v>8744</v>
      </c>
      <c r="C3772" s="5" t="s">
        <v>35</v>
      </c>
      <c r="D3772" s="5" t="s">
        <v>36</v>
      </c>
      <c r="E3772" s="5" t="s">
        <v>200</v>
      </c>
      <c r="F3772" s="9">
        <v>91</v>
      </c>
      <c r="G3772" s="9">
        <v>973</v>
      </c>
      <c r="H3772" s="5" t="s">
        <v>20</v>
      </c>
      <c r="I3772" s="5" t="s">
        <v>8745</v>
      </c>
      <c r="J3772" s="12" t="str">
        <f>HYPERLINK("https://www.boe.es/gazeta/dias/1805/11/12/pdfs/GMD-1805-91.pdf#page=5","Abrir facsímil")</f>
        <v>Abrir facsímil</v>
      </c>
      <c r="K3772" s="15" t="s">
        <v>22</v>
      </c>
    </row>
    <row r="3773" spans="1:11" ht="42" customHeight="1">
      <c r="A3773" s="4" t="s">
        <v>8746</v>
      </c>
      <c r="B3773" s="5" t="s">
        <v>8747</v>
      </c>
      <c r="C3773" s="5" t="s">
        <v>80</v>
      </c>
      <c r="D3773" s="5" t="s">
        <v>81</v>
      </c>
      <c r="E3773" s="5" t="s">
        <v>209</v>
      </c>
      <c r="F3773" s="9">
        <v>89</v>
      </c>
      <c r="G3773" s="9">
        <v>947</v>
      </c>
      <c r="H3773" s="5" t="s">
        <v>20</v>
      </c>
      <c r="I3773" s="5" t="s">
        <v>8748</v>
      </c>
      <c r="J3773" s="12" t="str">
        <f>HYPERLINK("https://www.boe.es/gazeta/dias/1805/11/05/pdfs/GMD-1805-89.pdf#page=7","Abrir facsímil")</f>
        <v>Abrir facsímil</v>
      </c>
      <c r="K3773" s="15" t="s">
        <v>22</v>
      </c>
    </row>
    <row r="3774" spans="1:11" ht="42" customHeight="1">
      <c r="A3774" s="4" t="s">
        <v>8746</v>
      </c>
      <c r="B3774" s="5" t="s">
        <v>8747</v>
      </c>
      <c r="C3774" s="5" t="s">
        <v>80</v>
      </c>
      <c r="D3774" s="5" t="s">
        <v>81</v>
      </c>
      <c r="E3774" s="5" t="s">
        <v>67</v>
      </c>
      <c r="F3774" s="9">
        <v>98</v>
      </c>
      <c r="G3774" s="9">
        <v>1057</v>
      </c>
      <c r="H3774" s="5" t="s">
        <v>20</v>
      </c>
      <c r="I3774" s="5" t="s">
        <v>8749</v>
      </c>
      <c r="J3774" s="12" t="str">
        <f>HYPERLINK("https://www.boe.es/gazeta/dias/1805/12/06/pdfs/GMD-1805-98.pdf#page=9","Abrir facsímil")</f>
        <v>Abrir facsímil</v>
      </c>
      <c r="K3774" s="15" t="s">
        <v>22</v>
      </c>
    </row>
    <row r="3775" spans="1:11" ht="42" customHeight="1">
      <c r="A3775" s="4" t="s">
        <v>8750</v>
      </c>
      <c r="B3775" s="5" t="s">
        <v>8751</v>
      </c>
      <c r="C3775" s="5" t="s">
        <v>29</v>
      </c>
      <c r="D3775" s="5" t="s">
        <v>30</v>
      </c>
      <c r="E3775" s="5" t="s">
        <v>864</v>
      </c>
      <c r="F3775" s="9">
        <v>88</v>
      </c>
      <c r="G3775" s="9">
        <v>937</v>
      </c>
      <c r="H3775" s="5" t="s">
        <v>20</v>
      </c>
      <c r="I3775" s="5" t="s">
        <v>8752</v>
      </c>
      <c r="J3775" s="12" t="str">
        <f>HYPERLINK("https://www.boe.es/gazeta/dias/1805/11/01/pdfs/GMD-1805-88.pdf#page=9","Abrir facsímil")</f>
        <v>Abrir facsímil</v>
      </c>
      <c r="K3775" s="15" t="s">
        <v>22</v>
      </c>
    </row>
    <row r="3776" spans="1:11" ht="42" customHeight="1">
      <c r="A3776" s="4" t="s">
        <v>8753</v>
      </c>
      <c r="B3776" s="5" t="s">
        <v>8753</v>
      </c>
      <c r="C3776" s="5" t="s">
        <v>17</v>
      </c>
      <c r="D3776" s="5" t="s">
        <v>18</v>
      </c>
      <c r="E3776" s="5" t="s">
        <v>1292</v>
      </c>
      <c r="F3776" s="9">
        <v>43</v>
      </c>
      <c r="G3776" s="9">
        <v>458</v>
      </c>
      <c r="H3776" s="5" t="s">
        <v>20</v>
      </c>
      <c r="I3776" s="5" t="s">
        <v>8754</v>
      </c>
      <c r="J3776" s="12" t="str">
        <f>HYPERLINK("https://www.boe.es/gazeta/dias/1805/05/28/pdfs/GMD-1805-43.pdf#page=2","Abrir facsímil")</f>
        <v>Abrir facsímil</v>
      </c>
      <c r="K3776" s="15" t="s">
        <v>22</v>
      </c>
    </row>
    <row r="3777" spans="1:11" ht="42" customHeight="1">
      <c r="A3777" s="4" t="s">
        <v>8755</v>
      </c>
      <c r="B3777" s="5" t="s">
        <v>8756</v>
      </c>
      <c r="C3777" s="5" t="s">
        <v>17</v>
      </c>
      <c r="D3777" s="5" t="s">
        <v>18</v>
      </c>
      <c r="E3777" s="5" t="s">
        <v>122</v>
      </c>
      <c r="F3777" s="9">
        <v>38</v>
      </c>
      <c r="G3777" s="9">
        <v>411</v>
      </c>
      <c r="H3777" s="5" t="s">
        <v>20</v>
      </c>
      <c r="I3777" s="5" t="s">
        <v>8757</v>
      </c>
      <c r="J3777" s="12" t="str">
        <f>HYPERLINK("https://www.boe.es/gazeta/dias/1805/05/10/pdfs/GMD-1805-38.pdf#page=7","Abrir facsímil")</f>
        <v>Abrir facsímil</v>
      </c>
      <c r="K3777" s="15" t="s">
        <v>22</v>
      </c>
    </row>
    <row r="3778" spans="1:11" ht="42" customHeight="1">
      <c r="A3778" s="4" t="s">
        <v>8758</v>
      </c>
      <c r="B3778" s="5" t="s">
        <v>8759</v>
      </c>
      <c r="C3778" s="5" t="s">
        <v>17</v>
      </c>
      <c r="D3778" s="5" t="s">
        <v>18</v>
      </c>
      <c r="E3778" s="5" t="s">
        <v>95</v>
      </c>
      <c r="F3778" s="9">
        <v>13</v>
      </c>
      <c r="G3778" s="9">
        <v>135</v>
      </c>
      <c r="H3778" s="5" t="s">
        <v>20</v>
      </c>
      <c r="I3778" s="5" t="s">
        <v>8760</v>
      </c>
      <c r="J3778" s="12" t="str">
        <f>HYPERLINK("https://www.boe.es/gazeta/dias/1805/02/12/pdfs/GMD-1805-13.pdf#page=3","Abrir facsímil")</f>
        <v>Abrir facsímil</v>
      </c>
      <c r="K3778" s="15" t="s">
        <v>22</v>
      </c>
    </row>
    <row r="3779" spans="1:11" ht="42" customHeight="1">
      <c r="A3779" s="4" t="s">
        <v>8761</v>
      </c>
      <c r="B3779" s="5" t="s">
        <v>8761</v>
      </c>
      <c r="C3779" s="5" t="s">
        <v>17</v>
      </c>
      <c r="D3779" s="5" t="s">
        <v>18</v>
      </c>
      <c r="E3779" s="5" t="s">
        <v>1432</v>
      </c>
      <c r="F3779" s="9">
        <v>53</v>
      </c>
      <c r="G3779" s="9">
        <v>565</v>
      </c>
      <c r="H3779" s="5" t="s">
        <v>20</v>
      </c>
      <c r="I3779" s="5" t="s">
        <v>8762</v>
      </c>
      <c r="J3779" s="12" t="str">
        <f>HYPERLINK("https://www.boe.es/gazeta/dias/1805/07/02/pdfs/GMD-1805-53.pdf#page=1","Abrir facsímil")</f>
        <v>Abrir facsímil</v>
      </c>
      <c r="K3779" s="15" t="s">
        <v>22</v>
      </c>
    </row>
    <row r="3780" spans="1:11" ht="42" customHeight="1">
      <c r="A3780" s="4" t="s">
        <v>8763</v>
      </c>
      <c r="B3780" s="5" t="s">
        <v>8764</v>
      </c>
      <c r="C3780" s="5" t="s">
        <v>80</v>
      </c>
      <c r="D3780" s="5" t="s">
        <v>81</v>
      </c>
      <c r="E3780" s="5" t="s">
        <v>87</v>
      </c>
      <c r="F3780" s="9">
        <v>14</v>
      </c>
      <c r="G3780" s="9">
        <v>142</v>
      </c>
      <c r="H3780" s="5" t="s">
        <v>20</v>
      </c>
      <c r="I3780" s="5" t="s">
        <v>8765</v>
      </c>
      <c r="J3780" s="12" t="str">
        <f>HYPERLINK("https://www.boe.es/gazeta/dias/1805/02/15/pdfs/GMD-1805-14.pdf#page=2","Abrir facsímil")</f>
        <v>Abrir facsímil</v>
      </c>
      <c r="K3780" s="15" t="s">
        <v>22</v>
      </c>
    </row>
    <row r="3781" spans="1:11" ht="42" customHeight="1">
      <c r="A3781" s="4" t="s">
        <v>8766</v>
      </c>
      <c r="B3781" s="5" t="s">
        <v>8767</v>
      </c>
      <c r="C3781" s="5" t="s">
        <v>85</v>
      </c>
      <c r="D3781" s="5" t="s">
        <v>86</v>
      </c>
      <c r="E3781" s="5" t="s">
        <v>63</v>
      </c>
      <c r="F3781" s="9">
        <v>101</v>
      </c>
      <c r="G3781" s="9">
        <v>1088</v>
      </c>
      <c r="H3781" s="5" t="s">
        <v>20</v>
      </c>
      <c r="I3781" s="5" t="s">
        <v>8768</v>
      </c>
      <c r="J3781" s="12" t="str">
        <f>HYPERLINK("https://www.boe.es/gazeta/dias/1805/12/17/pdfs/GMD-1805-101.pdf#page=4","Abrir facsímil")</f>
        <v>Abrir facsímil</v>
      </c>
      <c r="K3781" s="15" t="s">
        <v>22</v>
      </c>
    </row>
    <row r="3782" spans="1:11" ht="42" customHeight="1">
      <c r="A3782" s="4" t="s">
        <v>8769</v>
      </c>
      <c r="B3782" s="5" t="s">
        <v>8769</v>
      </c>
      <c r="C3782" s="5" t="s">
        <v>35</v>
      </c>
      <c r="D3782" s="5" t="s">
        <v>36</v>
      </c>
      <c r="E3782" s="5" t="s">
        <v>120</v>
      </c>
      <c r="F3782" s="9">
        <v>24</v>
      </c>
      <c r="G3782" s="9">
        <v>250</v>
      </c>
      <c r="H3782" s="5" t="s">
        <v>20</v>
      </c>
      <c r="I3782" s="5" t="s">
        <v>8770</v>
      </c>
      <c r="J3782" s="12" t="str">
        <f>HYPERLINK("https://www.boe.es/gazeta/dias/1805/03/22/pdfs/GMD-1805-24.pdf#page=2","Abrir facsímil")</f>
        <v>Abrir facsímil</v>
      </c>
      <c r="K3782" s="15" t="s">
        <v>22</v>
      </c>
    </row>
    <row r="3783" spans="1:11" ht="42" customHeight="1">
      <c r="A3783" s="4" t="s">
        <v>8769</v>
      </c>
      <c r="B3783" s="5" t="s">
        <v>8769</v>
      </c>
      <c r="C3783" s="5" t="s">
        <v>80</v>
      </c>
      <c r="D3783" s="5" t="s">
        <v>81</v>
      </c>
      <c r="E3783" s="5" t="s">
        <v>426</v>
      </c>
      <c r="F3783" s="9">
        <v>75</v>
      </c>
      <c r="G3783" s="9">
        <v>792</v>
      </c>
      <c r="H3783" s="5" t="s">
        <v>20</v>
      </c>
      <c r="I3783" s="5" t="s">
        <v>8771</v>
      </c>
      <c r="J3783" s="12" t="str">
        <f>HYPERLINK("https://www.boe.es/gazeta/dias/1805/09/17/pdfs/GMD-1805-75.pdf#page=4","Abrir facsímil")</f>
        <v>Abrir facsímil</v>
      </c>
      <c r="K3783" s="15" t="s">
        <v>22</v>
      </c>
    </row>
    <row r="3784" spans="1:11" ht="42" customHeight="1">
      <c r="A3784" s="4" t="s">
        <v>8772</v>
      </c>
      <c r="B3784" s="5" t="s">
        <v>8773</v>
      </c>
      <c r="C3784" s="5" t="s">
        <v>80</v>
      </c>
      <c r="D3784" s="5" t="s">
        <v>81</v>
      </c>
      <c r="E3784" s="5" t="s">
        <v>37</v>
      </c>
      <c r="F3784" s="9">
        <v>54</v>
      </c>
      <c r="G3784" s="9">
        <v>574</v>
      </c>
      <c r="H3784" s="5" t="s">
        <v>20</v>
      </c>
      <c r="I3784" s="5" t="s">
        <v>8774</v>
      </c>
      <c r="J3784" s="12" t="str">
        <f>HYPERLINK("https://www.boe.es/gazeta/dias/1805/07/05/pdfs/GMD-1805-54.pdf#page=2","Abrir facsímil")</f>
        <v>Abrir facsímil</v>
      </c>
      <c r="K3784" s="15" t="s">
        <v>22</v>
      </c>
    </row>
    <row r="3785" spans="1:11" ht="42" customHeight="1">
      <c r="A3785" s="4" t="s">
        <v>8775</v>
      </c>
      <c r="B3785" s="5" t="s">
        <v>8776</v>
      </c>
      <c r="C3785" s="5" t="s">
        <v>35</v>
      </c>
      <c r="D3785" s="5" t="s">
        <v>36</v>
      </c>
      <c r="E3785" s="5" t="s">
        <v>181</v>
      </c>
      <c r="F3785" s="9">
        <v>90</v>
      </c>
      <c r="G3785" s="9">
        <v>958</v>
      </c>
      <c r="H3785" s="5" t="s">
        <v>20</v>
      </c>
      <c r="I3785" s="5" t="s">
        <v>8777</v>
      </c>
      <c r="J3785" s="12" t="str">
        <f>HYPERLINK("https://www.boe.es/gazeta/dias/1805/11/08/pdfs/GMD-1805-90.pdf#page=2","Abrir facsímil")</f>
        <v>Abrir facsímil</v>
      </c>
      <c r="K3785" s="15" t="s">
        <v>22</v>
      </c>
    </row>
    <row r="3786" spans="1:11" ht="42" customHeight="1">
      <c r="A3786" s="4" t="s">
        <v>8778</v>
      </c>
      <c r="B3786" s="5" t="s">
        <v>8779</v>
      </c>
      <c r="C3786" s="5" t="s">
        <v>80</v>
      </c>
      <c r="D3786" s="5" t="s">
        <v>81</v>
      </c>
      <c r="E3786" s="5" t="s">
        <v>669</v>
      </c>
      <c r="F3786" s="9">
        <v>84</v>
      </c>
      <c r="G3786" s="9">
        <v>888</v>
      </c>
      <c r="H3786" s="5" t="s">
        <v>20</v>
      </c>
      <c r="I3786" s="5" t="s">
        <v>8780</v>
      </c>
      <c r="J3786" s="12" t="str">
        <f>HYPERLINK("https://www.boe.es/gazeta/dias/1805/10/18/pdfs/GMD-1805-84.pdf#page=4","Abrir facsímil")</f>
        <v>Abrir facsímil</v>
      </c>
      <c r="K3786" s="15" t="s">
        <v>22</v>
      </c>
    </row>
    <row r="3787" spans="1:11" ht="42" customHeight="1">
      <c r="A3787" s="4" t="s">
        <v>8781</v>
      </c>
      <c r="B3787" s="5" t="s">
        <v>8782</v>
      </c>
      <c r="C3787" s="5" t="s">
        <v>80</v>
      </c>
      <c r="D3787" s="5" t="s">
        <v>81</v>
      </c>
      <c r="E3787" s="5" t="s">
        <v>512</v>
      </c>
      <c r="F3787" s="9">
        <v>100</v>
      </c>
      <c r="G3787" s="9">
        <v>1075</v>
      </c>
      <c r="H3787" s="5" t="s">
        <v>20</v>
      </c>
      <c r="I3787" s="5" t="s">
        <v>8783</v>
      </c>
      <c r="J3787" s="12" t="str">
        <f>HYPERLINK("https://www.boe.es/gazeta/dias/1805/12/13/pdfs/GMD-1805-100.pdf#page=3","Abrir facsímil")</f>
        <v>Abrir facsímil</v>
      </c>
      <c r="K3787" s="15" t="s">
        <v>22</v>
      </c>
    </row>
    <row r="3788" spans="1:11" ht="42" customHeight="1">
      <c r="A3788" s="4" t="s">
        <v>8784</v>
      </c>
      <c r="B3788" s="5" t="s">
        <v>8785</v>
      </c>
      <c r="C3788" s="5" t="s">
        <v>35</v>
      </c>
      <c r="D3788" s="5" t="s">
        <v>36</v>
      </c>
      <c r="E3788" s="5" t="s">
        <v>63</v>
      </c>
      <c r="F3788" s="9">
        <v>101</v>
      </c>
      <c r="G3788" s="9">
        <v>1087</v>
      </c>
      <c r="H3788" s="5" t="s">
        <v>20</v>
      </c>
      <c r="I3788" s="5" t="s">
        <v>8786</v>
      </c>
      <c r="J3788" s="12" t="str">
        <f>HYPERLINK("https://www.boe.es/gazeta/dias/1805/12/17/pdfs/GMD-1805-101.pdf#page=3","Abrir facsímil")</f>
        <v>Abrir facsímil</v>
      </c>
      <c r="K3788" s="15" t="s">
        <v>22</v>
      </c>
    </row>
    <row r="3789" spans="1:11" ht="42" customHeight="1">
      <c r="A3789" s="4" t="s">
        <v>8778</v>
      </c>
      <c r="B3789" s="5" t="s">
        <v>8779</v>
      </c>
      <c r="C3789" s="5" t="s">
        <v>80</v>
      </c>
      <c r="D3789" s="5" t="s">
        <v>81</v>
      </c>
      <c r="E3789" s="5" t="s">
        <v>138</v>
      </c>
      <c r="F3789" s="9">
        <v>102</v>
      </c>
      <c r="G3789" s="9">
        <v>1098</v>
      </c>
      <c r="H3789" s="5" t="s">
        <v>20</v>
      </c>
      <c r="I3789" s="5" t="s">
        <v>8787</v>
      </c>
      <c r="J3789" s="12" t="str">
        <f>HYPERLINK("https://www.boe.es/gazeta/dias/1805/12/20/pdfs/GMD-1805-102.pdf#page=2","Abrir facsímil")</f>
        <v>Abrir facsímil</v>
      </c>
      <c r="K3789" s="15" t="s">
        <v>22</v>
      </c>
    </row>
    <row r="3790" spans="1:11" ht="42" customHeight="1">
      <c r="A3790" s="4" t="s">
        <v>8778</v>
      </c>
      <c r="B3790" s="5" t="s">
        <v>8779</v>
      </c>
      <c r="C3790" s="5" t="s">
        <v>80</v>
      </c>
      <c r="D3790" s="5" t="s">
        <v>81</v>
      </c>
      <c r="E3790" s="5" t="s">
        <v>192</v>
      </c>
      <c r="F3790" s="9">
        <v>105</v>
      </c>
      <c r="G3790" s="9">
        <v>1129</v>
      </c>
      <c r="H3790" s="5" t="s">
        <v>20</v>
      </c>
      <c r="I3790" s="5" t="s">
        <v>8788</v>
      </c>
      <c r="J3790" s="12" t="str">
        <f>HYPERLINK("https://www.boe.es/gazeta/dias/1805/12/31/pdfs/GMD-1805-105.pdf#page=1","Abrir facsímil")</f>
        <v>Abrir facsímil</v>
      </c>
      <c r="K3790" s="15" t="s">
        <v>22</v>
      </c>
    </row>
    <row r="3791" spans="1:11" ht="42" customHeight="1">
      <c r="A3791" s="4" t="s">
        <v>8789</v>
      </c>
      <c r="B3791" s="5" t="s">
        <v>8790</v>
      </c>
      <c r="C3791" s="5" t="s">
        <v>17</v>
      </c>
      <c r="D3791" s="5" t="s">
        <v>18</v>
      </c>
      <c r="E3791" s="5" t="s">
        <v>59</v>
      </c>
      <c r="F3791" s="9">
        <v>21</v>
      </c>
      <c r="G3791" s="9">
        <v>220</v>
      </c>
      <c r="H3791" s="5" t="s">
        <v>20</v>
      </c>
      <c r="I3791" s="5" t="s">
        <v>8791</v>
      </c>
      <c r="J3791" s="12" t="str">
        <f>HYPERLINK("https://www.boe.es/gazeta/dias/1805/03/12/pdfs/GMD-1805-21.pdf#page=8","Abrir facsímil")</f>
        <v>Abrir facsímil</v>
      </c>
      <c r="K3791" s="15" t="s">
        <v>22</v>
      </c>
    </row>
    <row r="3792" spans="1:11" ht="42" customHeight="1">
      <c r="A3792" s="4" t="s">
        <v>8792</v>
      </c>
      <c r="B3792" s="5" t="s">
        <v>8793</v>
      </c>
      <c r="C3792" s="5" t="s">
        <v>52</v>
      </c>
      <c r="D3792" s="5" t="s">
        <v>53</v>
      </c>
      <c r="E3792" s="5" t="s">
        <v>144</v>
      </c>
      <c r="F3792" s="9">
        <v>85</v>
      </c>
      <c r="G3792" s="9" t="s">
        <v>145</v>
      </c>
      <c r="H3792" s="5" t="s">
        <v>20</v>
      </c>
      <c r="I3792" s="5" t="s">
        <v>8794</v>
      </c>
      <c r="J3792" s="12" t="str">
        <f>HYPERLINK("https://www.boe.es/gazeta/dias/1805/10/22/pdfs/GMD-C-1805-85.pdf#page=2","Abrir facsímil")</f>
        <v>Abrir facsímil</v>
      </c>
      <c r="K3792" s="15" t="s">
        <v>22</v>
      </c>
    </row>
    <row r="3793" spans="1:11" ht="42" customHeight="1">
      <c r="A3793" s="4" t="s">
        <v>8795</v>
      </c>
      <c r="B3793" s="5" t="s">
        <v>8796</v>
      </c>
      <c r="C3793" s="5" t="s">
        <v>52</v>
      </c>
      <c r="D3793" s="5" t="s">
        <v>53</v>
      </c>
      <c r="E3793" s="5" t="s">
        <v>144</v>
      </c>
      <c r="F3793" s="9">
        <v>85</v>
      </c>
      <c r="G3793" s="9" t="s">
        <v>145</v>
      </c>
      <c r="H3793" s="5" t="s">
        <v>20</v>
      </c>
      <c r="I3793" s="5" t="s">
        <v>8797</v>
      </c>
      <c r="J3793" s="12" t="str">
        <f>HYPERLINK("https://www.boe.es/gazeta/dias/1805/10/22/pdfs/GMD-C-1805-85.pdf#page=2","Abrir facsímil")</f>
        <v>Abrir facsímil</v>
      </c>
      <c r="K3793" s="15" t="s">
        <v>22</v>
      </c>
    </row>
    <row r="3794" spans="1:11" ht="42" customHeight="1">
      <c r="A3794" s="4" t="s">
        <v>8798</v>
      </c>
      <c r="B3794" s="5" t="s">
        <v>8799</v>
      </c>
      <c r="C3794" s="5" t="s">
        <v>52</v>
      </c>
      <c r="D3794" s="5" t="s">
        <v>53</v>
      </c>
      <c r="E3794" s="5" t="s">
        <v>144</v>
      </c>
      <c r="F3794" s="9">
        <v>85</v>
      </c>
      <c r="G3794" s="9" t="s">
        <v>145</v>
      </c>
      <c r="H3794" s="5" t="s">
        <v>20</v>
      </c>
      <c r="I3794" s="5" t="s">
        <v>8800</v>
      </c>
      <c r="J3794" s="12" t="str">
        <f>HYPERLINK("https://www.boe.es/gazeta/dias/1805/10/22/pdfs/GMD-C-1805-85.pdf#page=2","Abrir facsímil")</f>
        <v>Abrir facsímil</v>
      </c>
      <c r="K3794" s="15" t="s">
        <v>22</v>
      </c>
    </row>
    <row r="3795" spans="1:11" ht="42" customHeight="1">
      <c r="A3795" s="4" t="s">
        <v>8801</v>
      </c>
      <c r="B3795" s="5" t="s">
        <v>8802</v>
      </c>
      <c r="C3795" s="5" t="s">
        <v>17</v>
      </c>
      <c r="D3795" s="5" t="s">
        <v>18</v>
      </c>
      <c r="E3795" s="5" t="s">
        <v>71</v>
      </c>
      <c r="F3795" s="9">
        <v>33</v>
      </c>
      <c r="G3795" s="9">
        <v>352</v>
      </c>
      <c r="H3795" s="5" t="s">
        <v>20</v>
      </c>
      <c r="I3795" s="5" t="s">
        <v>8803</v>
      </c>
      <c r="J3795" s="12" t="str">
        <f>HYPERLINK("https://www.boe.es/gazeta/dias/1805/04/23/pdfs/GMD-1805-33.pdf#page=8","Abrir facsímil")</f>
        <v>Abrir facsímil</v>
      </c>
      <c r="K3795" s="15" t="s">
        <v>22</v>
      </c>
    </row>
    <row r="3796" spans="1:11" ht="42" customHeight="1">
      <c r="A3796" s="4" t="s">
        <v>8804</v>
      </c>
      <c r="B3796" s="5" t="s">
        <v>8805</v>
      </c>
      <c r="C3796" s="5" t="s">
        <v>17</v>
      </c>
      <c r="D3796" s="5" t="s">
        <v>18</v>
      </c>
      <c r="E3796" s="5" t="s">
        <v>76</v>
      </c>
      <c r="F3796" s="9">
        <v>66</v>
      </c>
      <c r="G3796" s="9">
        <v>709</v>
      </c>
      <c r="H3796" s="5" t="s">
        <v>20</v>
      </c>
      <c r="I3796" s="5" t="s">
        <v>8806</v>
      </c>
      <c r="J3796" s="12" t="str">
        <f>HYPERLINK("https://www.boe.es/gazeta/dias/1805/08/16/pdfs/GMD-1805-66.pdf#page=9","Abrir facsímil")</f>
        <v>Abrir facsímil</v>
      </c>
      <c r="K3796" s="15" t="s">
        <v>22</v>
      </c>
    </row>
    <row r="3797" spans="1:11" ht="42" customHeight="1">
      <c r="A3797" s="4" t="s">
        <v>8807</v>
      </c>
      <c r="B3797" s="5" t="s">
        <v>8808</v>
      </c>
      <c r="C3797" s="5" t="s">
        <v>17</v>
      </c>
      <c r="D3797" s="5" t="s">
        <v>18</v>
      </c>
      <c r="E3797" s="5" t="s">
        <v>163</v>
      </c>
      <c r="F3797" s="9">
        <v>77</v>
      </c>
      <c r="G3797" s="9">
        <v>820</v>
      </c>
      <c r="H3797" s="5" t="s">
        <v>20</v>
      </c>
      <c r="I3797" s="5" t="s">
        <v>8809</v>
      </c>
      <c r="J3797" s="12" t="str">
        <f>HYPERLINK("https://www.boe.es/gazeta/dias/1805/09/24/pdfs/GMD-1805-77.pdf#page=12","Abrir facsímil")</f>
        <v>Abrir facsímil</v>
      </c>
      <c r="K3797" s="15" t="s">
        <v>22</v>
      </c>
    </row>
    <row r="3798" spans="1:11" ht="42" customHeight="1">
      <c r="A3798" s="4" t="s">
        <v>8810</v>
      </c>
      <c r="B3798" s="5" t="s">
        <v>8811</v>
      </c>
      <c r="C3798" s="5" t="s">
        <v>35</v>
      </c>
      <c r="D3798" s="5" t="s">
        <v>36</v>
      </c>
      <c r="E3798" s="5" t="s">
        <v>188</v>
      </c>
      <c r="F3798" s="9">
        <v>68</v>
      </c>
      <c r="G3798" s="9">
        <v>729</v>
      </c>
      <c r="H3798" s="5" t="s">
        <v>20</v>
      </c>
      <c r="I3798" s="5" t="s">
        <v>8812</v>
      </c>
      <c r="J3798" s="12" t="str">
        <f>HYPERLINK("https://www.boe.es/gazeta/dias/1805/08/23/pdfs/GMD-1805-68.pdf#page=9","Abrir facsímil")</f>
        <v>Abrir facsímil</v>
      </c>
      <c r="K3798" s="15" t="s">
        <v>22</v>
      </c>
    </row>
    <row r="3799" spans="1:11" ht="42" customHeight="1">
      <c r="A3799" s="4" t="s">
        <v>8813</v>
      </c>
      <c r="B3799" s="5" t="s">
        <v>8813</v>
      </c>
      <c r="C3799" s="5" t="s">
        <v>80</v>
      </c>
      <c r="D3799" s="5" t="s">
        <v>81</v>
      </c>
      <c r="E3799" s="5" t="s">
        <v>209</v>
      </c>
      <c r="F3799" s="9">
        <v>89</v>
      </c>
      <c r="G3799" s="9">
        <v>952</v>
      </c>
      <c r="H3799" s="5" t="s">
        <v>20</v>
      </c>
      <c r="I3799" s="5" t="s">
        <v>8814</v>
      </c>
      <c r="J3799" s="12" t="str">
        <f>HYPERLINK("https://www.boe.es/gazeta/dias/1805/11/05/pdfs/GMD-1805-89.pdf#page=12","Abrir facsímil")</f>
        <v>Abrir facsímil</v>
      </c>
      <c r="K3799" s="15" t="s">
        <v>22</v>
      </c>
    </row>
    <row r="3800" spans="1:11" ht="42" customHeight="1">
      <c r="A3800" s="4" t="s">
        <v>8815</v>
      </c>
      <c r="B3800" s="5" t="s">
        <v>8816</v>
      </c>
      <c r="C3800" s="5" t="s">
        <v>184</v>
      </c>
      <c r="D3800" s="5" t="s">
        <v>86</v>
      </c>
      <c r="E3800" s="5" t="s">
        <v>886</v>
      </c>
      <c r="F3800" s="9">
        <v>93</v>
      </c>
      <c r="G3800" s="9">
        <v>996</v>
      </c>
      <c r="H3800" s="5" t="s">
        <v>20</v>
      </c>
      <c r="I3800" s="5" t="s">
        <v>8817</v>
      </c>
      <c r="J3800" s="12" t="str">
        <f>HYPERLINK("https://www.boe.es/gazeta/dias/1805/11/19/pdfs/GMD-1805-93.pdf#page=8","Abrir facsímil")</f>
        <v>Abrir facsímil</v>
      </c>
      <c r="K3800" s="15" t="s">
        <v>22</v>
      </c>
    </row>
    <row r="3801" spans="1:11" ht="42" customHeight="1">
      <c r="A3801" s="4" t="s">
        <v>8818</v>
      </c>
      <c r="B3801" s="5" t="s">
        <v>8819</v>
      </c>
      <c r="C3801" s="5" t="s">
        <v>29</v>
      </c>
      <c r="D3801" s="5" t="s">
        <v>30</v>
      </c>
      <c r="E3801" s="5" t="s">
        <v>585</v>
      </c>
      <c r="F3801" s="9">
        <v>64</v>
      </c>
      <c r="G3801" s="9">
        <v>682</v>
      </c>
      <c r="H3801" s="5" t="s">
        <v>20</v>
      </c>
      <c r="I3801" s="5" t="s">
        <v>8820</v>
      </c>
      <c r="J3801" s="12" t="str">
        <f>HYPERLINK("https://www.boe.es/gazeta/dias/1805/08/09/pdfs/GMD-1805-64.pdf#page=6","Abrir facsímil")</f>
        <v>Abrir facsímil</v>
      </c>
      <c r="K3801" s="15" t="s">
        <v>22</v>
      </c>
    </row>
    <row r="3802" spans="1:11" ht="42" customHeight="1">
      <c r="A3802" s="4" t="s">
        <v>8818</v>
      </c>
      <c r="B3802" s="5" t="s">
        <v>8819</v>
      </c>
      <c r="C3802" s="5" t="s">
        <v>35</v>
      </c>
      <c r="D3802" s="5" t="s">
        <v>36</v>
      </c>
      <c r="E3802" s="5" t="s">
        <v>135</v>
      </c>
      <c r="F3802" s="9">
        <v>71</v>
      </c>
      <c r="G3802" s="9">
        <v>753</v>
      </c>
      <c r="H3802" s="5" t="s">
        <v>20</v>
      </c>
      <c r="I3802" s="5" t="s">
        <v>8821</v>
      </c>
      <c r="J3802" s="12" t="str">
        <f>HYPERLINK("https://www.boe.es/gazeta/dias/1805/09/03/pdfs/GMD-1805-71.pdf#page=5","Abrir facsímil")</f>
        <v>Abrir facsímil</v>
      </c>
      <c r="K3802" s="15" t="s">
        <v>22</v>
      </c>
    </row>
    <row r="3803" spans="1:11" ht="42" customHeight="1">
      <c r="A3803" s="4" t="s">
        <v>8822</v>
      </c>
      <c r="B3803" s="5" t="s">
        <v>8822</v>
      </c>
      <c r="C3803" s="5" t="s">
        <v>80</v>
      </c>
      <c r="D3803" s="5" t="s">
        <v>81</v>
      </c>
      <c r="E3803" s="5" t="s">
        <v>327</v>
      </c>
      <c r="F3803" s="9">
        <v>10</v>
      </c>
      <c r="G3803" s="9">
        <v>108</v>
      </c>
      <c r="H3803" s="5" t="s">
        <v>20</v>
      </c>
      <c r="I3803" s="5" t="s">
        <v>8823</v>
      </c>
      <c r="J3803" s="12" t="str">
        <f>HYPERLINK("https://www.boe.es/gazeta/dias/1805/02/01/pdfs/GMD-1805-10.pdf#page=4","Abrir facsímil")</f>
        <v>Abrir facsímil</v>
      </c>
      <c r="K3803" s="15" t="s">
        <v>22</v>
      </c>
    </row>
    <row r="3804" spans="1:11" ht="42" customHeight="1">
      <c r="A3804" s="4" t="s">
        <v>8824</v>
      </c>
      <c r="B3804" s="5" t="s">
        <v>8825</v>
      </c>
      <c r="C3804" s="5" t="s">
        <v>85</v>
      </c>
      <c r="D3804" s="5" t="s">
        <v>86</v>
      </c>
      <c r="E3804" s="5" t="s">
        <v>864</v>
      </c>
      <c r="F3804" s="9">
        <v>88</v>
      </c>
      <c r="G3804" s="9">
        <v>933</v>
      </c>
      <c r="H3804" s="5" t="s">
        <v>20</v>
      </c>
      <c r="I3804" s="5" t="s">
        <v>8826</v>
      </c>
      <c r="J3804" s="12" t="str">
        <f>HYPERLINK("https://www.boe.es/gazeta/dias/1805/11/01/pdfs/GMD-1805-88.pdf#page=5","Abrir facsímil")</f>
        <v>Abrir facsímil</v>
      </c>
      <c r="K3804" s="15" t="s">
        <v>22</v>
      </c>
    </row>
    <row r="3805" spans="1:11" ht="42" customHeight="1">
      <c r="A3805" s="4" t="s">
        <v>8827</v>
      </c>
      <c r="B3805" s="5" t="s">
        <v>8828</v>
      </c>
      <c r="C3805" s="5" t="s">
        <v>17</v>
      </c>
      <c r="D3805" s="5" t="s">
        <v>18</v>
      </c>
      <c r="E3805" s="5" t="s">
        <v>138</v>
      </c>
      <c r="F3805" s="9">
        <v>102</v>
      </c>
      <c r="G3805" s="9">
        <v>1104</v>
      </c>
      <c r="H3805" s="5" t="s">
        <v>20</v>
      </c>
      <c r="I3805" s="5" t="s">
        <v>8829</v>
      </c>
      <c r="J3805" s="12" t="str">
        <f>HYPERLINK("https://www.boe.es/gazeta/dias/1805/12/20/pdfs/GMD-1805-102.pdf#page=8","Abrir facsímil")</f>
        <v>Abrir facsímil</v>
      </c>
      <c r="K3805" s="15" t="s">
        <v>22</v>
      </c>
    </row>
    <row r="3806" spans="1:11" ht="42" customHeight="1">
      <c r="A3806" s="4" t="s">
        <v>8830</v>
      </c>
      <c r="B3806" s="5" t="s">
        <v>8831</v>
      </c>
      <c r="C3806" s="5" t="s">
        <v>35</v>
      </c>
      <c r="D3806" s="5" t="s">
        <v>36</v>
      </c>
      <c r="E3806" s="5" t="s">
        <v>1187</v>
      </c>
      <c r="F3806" s="9">
        <v>40</v>
      </c>
      <c r="G3806" s="9">
        <v>430</v>
      </c>
      <c r="H3806" s="5" t="s">
        <v>20</v>
      </c>
      <c r="I3806" s="5" t="s">
        <v>8832</v>
      </c>
      <c r="J3806" s="12" t="str">
        <f>HYPERLINK("https://www.boe.es/gazeta/dias/1805/05/17/pdfs/GMD-1805-40.pdf#page=6","Abrir facsímil")</f>
        <v>Abrir facsímil</v>
      </c>
      <c r="K3806" s="15" t="s">
        <v>22</v>
      </c>
    </row>
    <row r="3807" spans="1:11" ht="42" customHeight="1">
      <c r="A3807" s="4" t="s">
        <v>8833</v>
      </c>
      <c r="B3807" s="5" t="s">
        <v>8834</v>
      </c>
      <c r="C3807" s="5" t="s">
        <v>35</v>
      </c>
      <c r="D3807" s="5" t="s">
        <v>36</v>
      </c>
      <c r="E3807" s="5" t="s">
        <v>141</v>
      </c>
      <c r="F3807" s="9">
        <v>82</v>
      </c>
      <c r="G3807" s="9">
        <v>871</v>
      </c>
      <c r="H3807" s="5" t="s">
        <v>20</v>
      </c>
      <c r="I3807" s="5" t="s">
        <v>8835</v>
      </c>
      <c r="J3807" s="12" t="str">
        <f>HYPERLINK("https://www.boe.es/gazeta/dias/1805/10/11/pdfs/GMD-1805-82.pdf#page=11","Abrir facsímil")</f>
        <v>Abrir facsímil</v>
      </c>
      <c r="K3807" s="15" t="s">
        <v>22</v>
      </c>
    </row>
    <row r="3808" spans="1:11" ht="42" customHeight="1">
      <c r="A3808" s="4" t="s">
        <v>8836</v>
      </c>
      <c r="B3808" s="5" t="s">
        <v>8836</v>
      </c>
      <c r="C3808" s="5" t="s">
        <v>35</v>
      </c>
      <c r="D3808" s="5" t="s">
        <v>36</v>
      </c>
      <c r="E3808" s="5" t="s">
        <v>387</v>
      </c>
      <c r="F3808" s="9">
        <v>4</v>
      </c>
      <c r="G3808" s="9">
        <v>36</v>
      </c>
      <c r="H3808" s="5" t="s">
        <v>20</v>
      </c>
      <c r="I3808" s="5" t="s">
        <v>8837</v>
      </c>
      <c r="J3808" s="12" t="str">
        <f>HYPERLINK("https://www.boe.es/gazeta/dias/1805/01/11/pdfs/GMD-1805-4.pdf#page=4","Abrir facsímil")</f>
        <v>Abrir facsímil</v>
      </c>
      <c r="K3808" s="15" t="s">
        <v>22</v>
      </c>
    </row>
    <row r="3809" spans="1:11" ht="42" customHeight="1">
      <c r="A3809" s="4" t="s">
        <v>8838</v>
      </c>
      <c r="B3809" s="5" t="s">
        <v>8838</v>
      </c>
      <c r="C3809" s="5" t="s">
        <v>80</v>
      </c>
      <c r="D3809" s="5" t="s">
        <v>81</v>
      </c>
      <c r="E3809" s="5" t="s">
        <v>296</v>
      </c>
      <c r="F3809" s="9">
        <v>26</v>
      </c>
      <c r="G3809" s="9">
        <v>273</v>
      </c>
      <c r="H3809" s="5" t="s">
        <v>20</v>
      </c>
      <c r="I3809" s="5" t="s">
        <v>8839</v>
      </c>
      <c r="J3809" s="12" t="str">
        <f>HYPERLINK("https://www.boe.es/gazeta/dias/1805/03/29/pdfs/GMD-1805-26.pdf#page=5","Abrir facsímil")</f>
        <v>Abrir facsímil</v>
      </c>
      <c r="K3809" s="15" t="s">
        <v>22</v>
      </c>
    </row>
    <row r="3810" spans="1:11" ht="42" customHeight="1">
      <c r="A3810" s="4" t="s">
        <v>8838</v>
      </c>
      <c r="B3810" s="5" t="s">
        <v>8838</v>
      </c>
      <c r="C3810" s="5" t="s">
        <v>80</v>
      </c>
      <c r="D3810" s="5" t="s">
        <v>81</v>
      </c>
      <c r="E3810" s="5" t="s">
        <v>300</v>
      </c>
      <c r="F3810" s="9">
        <v>81</v>
      </c>
      <c r="G3810" s="9">
        <v>855</v>
      </c>
      <c r="H3810" s="5" t="s">
        <v>20</v>
      </c>
      <c r="I3810" s="5" t="s">
        <v>8840</v>
      </c>
      <c r="J3810" s="12" t="str">
        <f>HYPERLINK("https://www.boe.es/gazeta/dias/1805/10/08/pdfs/GMD-1805-81.pdf#page=3","Abrir facsímil")</f>
        <v>Abrir facsímil</v>
      </c>
      <c r="K3810" s="15" t="s">
        <v>22</v>
      </c>
    </row>
    <row r="3811" spans="1:11" ht="42" customHeight="1">
      <c r="A3811" s="4" t="s">
        <v>8838</v>
      </c>
      <c r="B3811" s="5" t="s">
        <v>8838</v>
      </c>
      <c r="C3811" s="5" t="s">
        <v>184</v>
      </c>
      <c r="D3811" s="5" t="s">
        <v>86</v>
      </c>
      <c r="E3811" s="5" t="s">
        <v>787</v>
      </c>
      <c r="F3811" s="9">
        <v>95</v>
      </c>
      <c r="G3811" s="9">
        <v>1014</v>
      </c>
      <c r="H3811" s="5" t="s">
        <v>20</v>
      </c>
      <c r="I3811" s="5" t="s">
        <v>8841</v>
      </c>
      <c r="J3811" s="12" t="str">
        <f>HYPERLINK("https://www.boe.es/gazeta/dias/1805/11/26/pdfs/GMD-1805-95.pdf#page=2","Abrir facsímil")</f>
        <v>Abrir facsímil</v>
      </c>
      <c r="K3811" s="15" t="s">
        <v>22</v>
      </c>
    </row>
    <row r="3812" spans="1:11" ht="42" customHeight="1">
      <c r="A3812" s="4" t="s">
        <v>8842</v>
      </c>
      <c r="B3812" s="5" t="s">
        <v>8842</v>
      </c>
      <c r="C3812" s="5" t="s">
        <v>17</v>
      </c>
      <c r="D3812" s="5" t="s">
        <v>18</v>
      </c>
      <c r="E3812" s="5" t="s">
        <v>352</v>
      </c>
      <c r="F3812" s="9">
        <v>60</v>
      </c>
      <c r="G3812" s="9">
        <v>644</v>
      </c>
      <c r="H3812" s="5" t="s">
        <v>20</v>
      </c>
      <c r="I3812" s="5" t="s">
        <v>8843</v>
      </c>
      <c r="J3812" s="12" t="str">
        <f>HYPERLINK("https://www.boe.es/gazeta/dias/1805/07/26/pdfs/GMD-1805-60.pdf#page=8","Abrir facsímil")</f>
        <v>Abrir facsímil</v>
      </c>
      <c r="K3812" s="15" t="s">
        <v>22</v>
      </c>
    </row>
    <row r="3813" spans="1:11" ht="42" customHeight="1">
      <c r="A3813" s="4" t="s">
        <v>8844</v>
      </c>
      <c r="B3813" s="5" t="s">
        <v>8845</v>
      </c>
      <c r="C3813" s="5" t="s">
        <v>264</v>
      </c>
      <c r="D3813" s="5" t="s">
        <v>265</v>
      </c>
      <c r="E3813" s="5" t="s">
        <v>958</v>
      </c>
      <c r="F3813" s="9">
        <v>58</v>
      </c>
      <c r="G3813" s="9" t="s">
        <v>222</v>
      </c>
      <c r="H3813" s="5" t="s">
        <v>20</v>
      </c>
      <c r="I3813" s="5" t="s">
        <v>8846</v>
      </c>
      <c r="J3813" s="12" t="str">
        <f>HYPERLINK("https://www.boe.es/gazeta/dias/1805/07/19/pdfs/GMD-C-1805-58.pdf#page=1","Abrir facsímil")</f>
        <v>Abrir facsímil</v>
      </c>
      <c r="K3813" s="15" t="s">
        <v>22</v>
      </c>
    </row>
    <row r="3814" spans="1:11" ht="42" customHeight="1">
      <c r="A3814" s="4" t="s">
        <v>8844</v>
      </c>
      <c r="B3814" s="5" t="s">
        <v>8845</v>
      </c>
      <c r="C3814" s="5" t="s">
        <v>17</v>
      </c>
      <c r="D3814" s="5" t="s">
        <v>18</v>
      </c>
      <c r="E3814" s="5" t="s">
        <v>144</v>
      </c>
      <c r="F3814" s="9">
        <v>85</v>
      </c>
      <c r="G3814" s="9">
        <v>903</v>
      </c>
      <c r="H3814" s="5" t="s">
        <v>20</v>
      </c>
      <c r="I3814" s="5" t="s">
        <v>8847</v>
      </c>
      <c r="J3814" s="12" t="str">
        <f>HYPERLINK("https://www.boe.es/gazeta/dias/1805/10/22/pdfs/GMD-1805-85.pdf#page=11","Abrir facsímil")</f>
        <v>Abrir facsímil</v>
      </c>
      <c r="K3814" s="15" t="s">
        <v>22</v>
      </c>
    </row>
    <row r="3815" spans="1:11" ht="42" customHeight="1">
      <c r="A3815" s="4" t="s">
        <v>8848</v>
      </c>
      <c r="B3815" s="5" t="s">
        <v>8849</v>
      </c>
      <c r="C3815" s="5" t="s">
        <v>184</v>
      </c>
      <c r="D3815" s="5" t="s">
        <v>86</v>
      </c>
      <c r="E3815" s="5" t="s">
        <v>854</v>
      </c>
      <c r="F3815" s="9">
        <v>46</v>
      </c>
      <c r="G3815" s="9">
        <v>495</v>
      </c>
      <c r="H3815" s="5" t="s">
        <v>20</v>
      </c>
      <c r="I3815" s="5" t="s">
        <v>8850</v>
      </c>
      <c r="J3815" s="12" t="str">
        <f>HYPERLINK("https://www.boe.es/gazeta/dias/1805/06/07/pdfs/GMD-1805-46.pdf#page=7","Abrir facsímil")</f>
        <v>Abrir facsímil</v>
      </c>
      <c r="K3815" s="15" t="s">
        <v>22</v>
      </c>
    </row>
    <row r="3816" spans="1:11" ht="42" customHeight="1">
      <c r="A3816" s="4" t="s">
        <v>8848</v>
      </c>
      <c r="B3816" s="5" t="s">
        <v>8849</v>
      </c>
      <c r="C3816" s="5" t="s">
        <v>80</v>
      </c>
      <c r="D3816" s="5" t="s">
        <v>81</v>
      </c>
      <c r="E3816" s="5" t="s">
        <v>1022</v>
      </c>
      <c r="F3816" s="9">
        <v>52</v>
      </c>
      <c r="G3816" s="9">
        <v>555</v>
      </c>
      <c r="H3816" s="5" t="s">
        <v>20</v>
      </c>
      <c r="I3816" s="5" t="s">
        <v>8851</v>
      </c>
      <c r="J3816" s="12" t="str">
        <f>HYPERLINK("https://www.boe.es/gazeta/dias/1805/06/28/pdfs/GMD-1805-52.pdf#page=3","Abrir facsímil")</f>
        <v>Abrir facsímil</v>
      </c>
      <c r="K3816" s="15" t="s">
        <v>22</v>
      </c>
    </row>
    <row r="3817" spans="1:11" ht="42" customHeight="1">
      <c r="A3817" s="4" t="s">
        <v>8852</v>
      </c>
      <c r="B3817" s="5" t="s">
        <v>8853</v>
      </c>
      <c r="C3817" s="5" t="s">
        <v>80</v>
      </c>
      <c r="D3817" s="5" t="s">
        <v>81</v>
      </c>
      <c r="E3817" s="5" t="s">
        <v>495</v>
      </c>
      <c r="F3817" s="9">
        <v>103</v>
      </c>
      <c r="G3817" s="9">
        <v>1110</v>
      </c>
      <c r="H3817" s="5" t="s">
        <v>20</v>
      </c>
      <c r="I3817" s="5" t="s">
        <v>8854</v>
      </c>
      <c r="J3817" s="12" t="str">
        <f>HYPERLINK("https://www.boe.es/gazeta/dias/1805/12/24/pdfs/GMD-1805-103.pdf#page=2","Abrir facsímil")</f>
        <v>Abrir facsímil</v>
      </c>
      <c r="K3817" s="15" t="s">
        <v>22</v>
      </c>
    </row>
    <row r="3818" spans="1:11" ht="42" customHeight="1">
      <c r="A3818" s="4" t="s">
        <v>8855</v>
      </c>
      <c r="B3818" s="5" t="s">
        <v>8856</v>
      </c>
      <c r="C3818" s="5" t="s">
        <v>17</v>
      </c>
      <c r="D3818" s="5" t="s">
        <v>18</v>
      </c>
      <c r="E3818" s="5" t="s">
        <v>71</v>
      </c>
      <c r="F3818" s="9">
        <v>33</v>
      </c>
      <c r="G3818" s="9">
        <v>348</v>
      </c>
      <c r="H3818" s="5" t="s">
        <v>20</v>
      </c>
      <c r="I3818" s="5" t="s">
        <v>8857</v>
      </c>
      <c r="J3818" s="12" t="str">
        <f>HYPERLINK("https://www.boe.es/gazeta/dias/1805/04/23/pdfs/GMD-1805-33.pdf#page=4","Abrir facsímil")</f>
        <v>Abrir facsímil</v>
      </c>
      <c r="K3818" s="15" t="s">
        <v>22</v>
      </c>
    </row>
    <row r="3819" spans="1:11" ht="42" customHeight="1">
      <c r="A3819" s="4" t="s">
        <v>8855</v>
      </c>
      <c r="B3819" s="5" t="s">
        <v>8856</v>
      </c>
      <c r="C3819" s="5" t="s">
        <v>80</v>
      </c>
      <c r="D3819" s="5" t="s">
        <v>81</v>
      </c>
      <c r="E3819" s="5" t="s">
        <v>48</v>
      </c>
      <c r="F3819" s="9">
        <v>35</v>
      </c>
      <c r="G3819" s="9">
        <v>373</v>
      </c>
      <c r="H3819" s="5" t="s">
        <v>20</v>
      </c>
      <c r="I3819" s="5" t="s">
        <v>8858</v>
      </c>
      <c r="J3819" s="12" t="str">
        <f>HYPERLINK("https://www.boe.es/gazeta/dias/1805/04/30/pdfs/GMD-1805-35.pdf#page=5","Abrir facsímil")</f>
        <v>Abrir facsímil</v>
      </c>
      <c r="K3819" s="15" t="s">
        <v>22</v>
      </c>
    </row>
    <row r="3820" spans="1:11" ht="42" customHeight="1">
      <c r="A3820" s="4" t="s">
        <v>8855</v>
      </c>
      <c r="B3820" s="5" t="s">
        <v>8856</v>
      </c>
      <c r="C3820" s="5" t="s">
        <v>29</v>
      </c>
      <c r="D3820" s="5" t="s">
        <v>30</v>
      </c>
      <c r="E3820" s="5" t="s">
        <v>27</v>
      </c>
      <c r="F3820" s="9">
        <v>37</v>
      </c>
      <c r="G3820" s="9">
        <v>399</v>
      </c>
      <c r="H3820" s="5" t="s">
        <v>20</v>
      </c>
      <c r="I3820" s="5" t="s">
        <v>8859</v>
      </c>
      <c r="J3820" s="12" t="str">
        <f>HYPERLINK("https://www.boe.es/gazeta/dias/1805/05/07/pdfs/GMD-1805-37.pdf#page=7","Abrir facsímil")</f>
        <v>Abrir facsímil</v>
      </c>
      <c r="K3820" s="15" t="s">
        <v>22</v>
      </c>
    </row>
    <row r="3821" spans="1:11" ht="42" customHeight="1">
      <c r="A3821" s="4" t="s">
        <v>8855</v>
      </c>
      <c r="B3821" s="5" t="s">
        <v>8856</v>
      </c>
      <c r="C3821" s="5" t="s">
        <v>184</v>
      </c>
      <c r="D3821" s="5" t="s">
        <v>86</v>
      </c>
      <c r="E3821" s="5" t="s">
        <v>1292</v>
      </c>
      <c r="F3821" s="9">
        <v>43</v>
      </c>
      <c r="G3821" s="9">
        <v>459</v>
      </c>
      <c r="H3821" s="5" t="s">
        <v>20</v>
      </c>
      <c r="I3821" s="5" t="s">
        <v>8860</v>
      </c>
      <c r="J3821" s="12" t="str">
        <f>HYPERLINK("https://www.boe.es/gazeta/dias/1805/05/28/pdfs/GMD-1805-43.pdf#page=3","Abrir facsímil")</f>
        <v>Abrir facsímil</v>
      </c>
      <c r="K3821" s="15" t="s">
        <v>22</v>
      </c>
    </row>
    <row r="3822" spans="1:11" ht="42" customHeight="1">
      <c r="A3822" s="4" t="s">
        <v>8855</v>
      </c>
      <c r="B3822" s="5" t="s">
        <v>8856</v>
      </c>
      <c r="C3822" s="5" t="s">
        <v>17</v>
      </c>
      <c r="D3822" s="5" t="s">
        <v>18</v>
      </c>
      <c r="E3822" s="5" t="s">
        <v>1432</v>
      </c>
      <c r="F3822" s="9">
        <v>53</v>
      </c>
      <c r="G3822" s="9">
        <v>568</v>
      </c>
      <c r="H3822" s="5" t="s">
        <v>20</v>
      </c>
      <c r="I3822" s="5" t="s">
        <v>8861</v>
      </c>
      <c r="J3822" s="12" t="str">
        <f>HYPERLINK("https://www.boe.es/gazeta/dias/1805/07/02/pdfs/GMD-1805-53.pdf#page=4","Abrir facsímil")</f>
        <v>Abrir facsímil</v>
      </c>
      <c r="K3822" s="15" t="s">
        <v>22</v>
      </c>
    </row>
    <row r="3823" spans="1:11" ht="42" customHeight="1">
      <c r="A3823" s="4" t="s">
        <v>8855</v>
      </c>
      <c r="B3823" s="5" t="s">
        <v>8856</v>
      </c>
      <c r="C3823" s="5" t="s">
        <v>80</v>
      </c>
      <c r="D3823" s="5" t="s">
        <v>81</v>
      </c>
      <c r="E3823" s="5" t="s">
        <v>426</v>
      </c>
      <c r="F3823" s="9">
        <v>75</v>
      </c>
      <c r="G3823" s="9">
        <v>794</v>
      </c>
      <c r="H3823" s="5" t="s">
        <v>20</v>
      </c>
      <c r="I3823" s="5" t="s">
        <v>8862</v>
      </c>
      <c r="J3823" s="12" t="str">
        <f>HYPERLINK("https://www.boe.es/gazeta/dias/1805/09/17/pdfs/GMD-1805-75.pdf#page=6","Abrir facsímil")</f>
        <v>Abrir facsímil</v>
      </c>
      <c r="K3823" s="15" t="s">
        <v>22</v>
      </c>
    </row>
    <row r="3824" spans="1:11" ht="42" customHeight="1">
      <c r="A3824" s="4" t="s">
        <v>8855</v>
      </c>
      <c r="B3824" s="5" t="s">
        <v>8856</v>
      </c>
      <c r="C3824" s="5" t="s">
        <v>80</v>
      </c>
      <c r="D3824" s="5" t="s">
        <v>81</v>
      </c>
      <c r="E3824" s="5" t="s">
        <v>138</v>
      </c>
      <c r="F3824" s="9">
        <v>102</v>
      </c>
      <c r="G3824" s="9">
        <v>1098</v>
      </c>
      <c r="H3824" s="5" t="s">
        <v>20</v>
      </c>
      <c r="I3824" s="5" t="s">
        <v>8863</v>
      </c>
      <c r="J3824" s="12" t="str">
        <f>HYPERLINK("https://www.boe.es/gazeta/dias/1805/12/20/pdfs/GMD-1805-102.pdf#page=2","Abrir facsímil")</f>
        <v>Abrir facsímil</v>
      </c>
      <c r="K3824" s="15" t="s">
        <v>22</v>
      </c>
    </row>
    <row r="3825" spans="1:11" ht="42" customHeight="1">
      <c r="A3825" s="4" t="s">
        <v>8864</v>
      </c>
      <c r="B3825" s="5" t="s">
        <v>8865</v>
      </c>
      <c r="C3825" s="5" t="s">
        <v>80</v>
      </c>
      <c r="D3825" s="5" t="s">
        <v>81</v>
      </c>
      <c r="E3825" s="5" t="s">
        <v>817</v>
      </c>
      <c r="F3825" s="9">
        <v>92</v>
      </c>
      <c r="G3825" s="9">
        <v>985</v>
      </c>
      <c r="H3825" s="5" t="s">
        <v>20</v>
      </c>
      <c r="I3825" s="5" t="s">
        <v>8866</v>
      </c>
      <c r="J3825" s="12" t="str">
        <f>HYPERLINK("https://www.boe.es/gazeta/dias/1805/11/15/pdfs/GMD-1805-92.pdf#page=5","Abrir facsímil")</f>
        <v>Abrir facsímil</v>
      </c>
      <c r="K3825" s="15" t="s">
        <v>22</v>
      </c>
    </row>
    <row r="3826" spans="1:11" ht="42" customHeight="1">
      <c r="A3826" s="4" t="s">
        <v>8864</v>
      </c>
      <c r="B3826" s="5" t="s">
        <v>8865</v>
      </c>
      <c r="C3826" s="5" t="s">
        <v>184</v>
      </c>
      <c r="D3826" s="5" t="s">
        <v>86</v>
      </c>
      <c r="E3826" s="5" t="s">
        <v>495</v>
      </c>
      <c r="F3826" s="9">
        <v>103</v>
      </c>
      <c r="G3826" s="9">
        <v>1110</v>
      </c>
      <c r="H3826" s="5" t="s">
        <v>20</v>
      </c>
      <c r="I3826" s="5" t="s">
        <v>8867</v>
      </c>
      <c r="J3826" s="12" t="str">
        <f>HYPERLINK("https://www.boe.es/gazeta/dias/1805/12/24/pdfs/GMD-1805-103.pdf#page=2","Abrir facsímil")</f>
        <v>Abrir facsímil</v>
      </c>
      <c r="K3826" s="15" t="s">
        <v>22</v>
      </c>
    </row>
    <row r="3827" spans="1:11" ht="42" customHeight="1">
      <c r="A3827" s="4" t="s">
        <v>8864</v>
      </c>
      <c r="B3827" s="5" t="s">
        <v>8865</v>
      </c>
      <c r="C3827" s="5" t="s">
        <v>29</v>
      </c>
      <c r="D3827" s="5" t="s">
        <v>30</v>
      </c>
      <c r="E3827" s="5" t="s">
        <v>192</v>
      </c>
      <c r="F3827" s="9">
        <v>105</v>
      </c>
      <c r="G3827" s="9">
        <v>1131</v>
      </c>
      <c r="H3827" s="5" t="s">
        <v>20</v>
      </c>
      <c r="I3827" s="5" t="s">
        <v>8868</v>
      </c>
      <c r="J3827" s="12" t="str">
        <f>HYPERLINK("https://www.boe.es/gazeta/dias/1805/12/31/pdfs/GMD-1805-105.pdf#page=3","Abrir facsímil")</f>
        <v>Abrir facsímil</v>
      </c>
      <c r="K3827" s="15" t="s">
        <v>22</v>
      </c>
    </row>
    <row r="3828" spans="1:11" ht="42" customHeight="1">
      <c r="A3828" s="4" t="s">
        <v>8869</v>
      </c>
      <c r="B3828" s="5" t="s">
        <v>8870</v>
      </c>
      <c r="C3828" s="5" t="s">
        <v>80</v>
      </c>
      <c r="D3828" s="5" t="s">
        <v>81</v>
      </c>
      <c r="E3828" s="5" t="s">
        <v>82</v>
      </c>
      <c r="F3828" s="9">
        <v>25</v>
      </c>
      <c r="G3828" s="9">
        <v>266</v>
      </c>
      <c r="H3828" s="5" t="s">
        <v>20</v>
      </c>
      <c r="I3828" s="5" t="s">
        <v>8871</v>
      </c>
      <c r="J3828" s="12" t="str">
        <f>HYPERLINK("https://www.boe.es/gazeta/dias/1805/03/26/pdfs/GMD-1805-25.pdf#page=6","Abrir facsímil")</f>
        <v>Abrir facsímil</v>
      </c>
      <c r="K3828" s="15" t="s">
        <v>22</v>
      </c>
    </row>
    <row r="3829" spans="1:11" ht="42" customHeight="1">
      <c r="A3829" s="4" t="s">
        <v>8872</v>
      </c>
      <c r="B3829" s="5" t="s">
        <v>8873</v>
      </c>
      <c r="C3829" s="5" t="s">
        <v>35</v>
      </c>
      <c r="D3829" s="5" t="s">
        <v>36</v>
      </c>
      <c r="E3829" s="5" t="s">
        <v>63</v>
      </c>
      <c r="F3829" s="9">
        <v>101</v>
      </c>
      <c r="G3829" s="9">
        <v>1091</v>
      </c>
      <c r="H3829" s="5" t="s">
        <v>20</v>
      </c>
      <c r="I3829" s="5" t="s">
        <v>8874</v>
      </c>
      <c r="J3829" s="12" t="str">
        <f>HYPERLINK("https://www.boe.es/gazeta/dias/1805/12/17/pdfs/GMD-1805-101.pdf#page=7","Abrir facsímil")</f>
        <v>Abrir facsímil</v>
      </c>
      <c r="K3829" s="15" t="s">
        <v>22</v>
      </c>
    </row>
    <row r="3830" spans="1:11" ht="42" customHeight="1">
      <c r="A3830" s="4" t="s">
        <v>8875</v>
      </c>
      <c r="B3830" s="5" t="s">
        <v>8876</v>
      </c>
      <c r="C3830" s="5" t="s">
        <v>29</v>
      </c>
      <c r="D3830" s="5" t="s">
        <v>30</v>
      </c>
      <c r="E3830" s="5" t="s">
        <v>296</v>
      </c>
      <c r="F3830" s="9">
        <v>26</v>
      </c>
      <c r="G3830" s="9">
        <v>278</v>
      </c>
      <c r="H3830" s="5" t="s">
        <v>20</v>
      </c>
      <c r="I3830" s="5" t="s">
        <v>8877</v>
      </c>
      <c r="J3830" s="12" t="str">
        <f>HYPERLINK("https://www.boe.es/gazeta/dias/1805/03/29/pdfs/GMD-1805-26.pdf#page=10","Abrir facsímil")</f>
        <v>Abrir facsímil</v>
      </c>
      <c r="K3830" s="15" t="s">
        <v>22</v>
      </c>
    </row>
    <row r="3831" spans="1:11" ht="42" customHeight="1">
      <c r="A3831" s="4" t="s">
        <v>8878</v>
      </c>
      <c r="B3831" s="5" t="s">
        <v>8878</v>
      </c>
      <c r="C3831" s="5" t="s">
        <v>80</v>
      </c>
      <c r="D3831" s="5" t="s">
        <v>81</v>
      </c>
      <c r="E3831" s="5" t="s">
        <v>506</v>
      </c>
      <c r="F3831" s="9">
        <v>80</v>
      </c>
      <c r="G3831" s="9">
        <v>842</v>
      </c>
      <c r="H3831" s="5" t="s">
        <v>20</v>
      </c>
      <c r="I3831" s="5" t="s">
        <v>8879</v>
      </c>
      <c r="J3831" s="12" t="str">
        <f>HYPERLINK("https://www.boe.es/gazeta/dias/1805/10/04/pdfs/GMD-1805-80.pdf#page=2","Abrir facsímil")</f>
        <v>Abrir facsímil</v>
      </c>
      <c r="K3831" s="15" t="s">
        <v>22</v>
      </c>
    </row>
    <row r="3832" spans="1:11" ht="42" customHeight="1">
      <c r="A3832" s="4" t="s">
        <v>8878</v>
      </c>
      <c r="B3832" s="5" t="s">
        <v>8878</v>
      </c>
      <c r="C3832" s="5" t="s">
        <v>80</v>
      </c>
      <c r="D3832" s="5" t="s">
        <v>81</v>
      </c>
      <c r="E3832" s="5" t="s">
        <v>506</v>
      </c>
      <c r="F3832" s="9">
        <v>80</v>
      </c>
      <c r="G3832" s="9">
        <v>843</v>
      </c>
      <c r="H3832" s="5" t="s">
        <v>20</v>
      </c>
      <c r="I3832" s="5" t="s">
        <v>8880</v>
      </c>
      <c r="J3832" s="12" t="str">
        <f>HYPERLINK("https://www.boe.es/gazeta/dias/1805/10/04/pdfs/GMD-1805-80.pdf#page=3","Abrir facsímil")</f>
        <v>Abrir facsímil</v>
      </c>
      <c r="K3832" s="15" t="s">
        <v>22</v>
      </c>
    </row>
    <row r="3833" spans="1:11" ht="42" customHeight="1">
      <c r="A3833" s="4" t="s">
        <v>8881</v>
      </c>
      <c r="B3833" s="5" t="s">
        <v>8882</v>
      </c>
      <c r="C3833" s="5" t="s">
        <v>29</v>
      </c>
      <c r="D3833" s="5" t="s">
        <v>30</v>
      </c>
      <c r="E3833" s="5" t="s">
        <v>1292</v>
      </c>
      <c r="F3833" s="9">
        <v>43</v>
      </c>
      <c r="G3833" s="9">
        <v>461</v>
      </c>
      <c r="H3833" s="5" t="s">
        <v>20</v>
      </c>
      <c r="I3833" s="5" t="s">
        <v>8883</v>
      </c>
      <c r="J3833" s="12" t="str">
        <f>HYPERLINK("https://www.boe.es/gazeta/dias/1805/05/28/pdfs/GMD-1805-43.pdf#page=5","Abrir facsímil")</f>
        <v>Abrir facsímil</v>
      </c>
      <c r="K3833" s="15" t="s">
        <v>22</v>
      </c>
    </row>
    <row r="3834" spans="1:11" ht="42" customHeight="1">
      <c r="A3834" s="4" t="s">
        <v>8881</v>
      </c>
      <c r="B3834" s="5" t="s">
        <v>8882</v>
      </c>
      <c r="C3834" s="5" t="s">
        <v>80</v>
      </c>
      <c r="D3834" s="5" t="s">
        <v>81</v>
      </c>
      <c r="E3834" s="5" t="s">
        <v>711</v>
      </c>
      <c r="F3834" s="9">
        <v>63</v>
      </c>
      <c r="G3834" s="9">
        <v>670</v>
      </c>
      <c r="H3834" s="5" t="s">
        <v>20</v>
      </c>
      <c r="I3834" s="5" t="s">
        <v>8884</v>
      </c>
      <c r="J3834" s="12" t="str">
        <f>HYPERLINK("https://www.boe.es/gazeta/dias/1805/08/06/pdfs/GMD-1805-63.pdf#page=6","Abrir facsímil")</f>
        <v>Abrir facsímil</v>
      </c>
      <c r="K3834" s="15" t="s">
        <v>22</v>
      </c>
    </row>
    <row r="3835" spans="1:11" ht="42" customHeight="1">
      <c r="A3835" s="4" t="s">
        <v>8881</v>
      </c>
      <c r="B3835" s="5" t="s">
        <v>8882</v>
      </c>
      <c r="C3835" s="5" t="s">
        <v>35</v>
      </c>
      <c r="D3835" s="5" t="s">
        <v>36</v>
      </c>
      <c r="E3835" s="5" t="s">
        <v>409</v>
      </c>
      <c r="F3835" s="9">
        <v>69</v>
      </c>
      <c r="G3835" s="9">
        <v>737</v>
      </c>
      <c r="H3835" s="5" t="s">
        <v>20</v>
      </c>
      <c r="I3835" s="5" t="s">
        <v>8885</v>
      </c>
      <c r="J3835" s="12" t="str">
        <f>HYPERLINK("https://www.boe.es/gazeta/dias/1805/08/27/pdfs/GMD-1805-69.pdf#page=5","Abrir facsímil")</f>
        <v>Abrir facsímil</v>
      </c>
      <c r="K3835" s="15" t="s">
        <v>22</v>
      </c>
    </row>
    <row r="3836" spans="1:11" ht="42" customHeight="1">
      <c r="A3836" s="4" t="s">
        <v>8881</v>
      </c>
      <c r="B3836" s="5" t="s">
        <v>8882</v>
      </c>
      <c r="C3836" s="5" t="s">
        <v>80</v>
      </c>
      <c r="D3836" s="5" t="s">
        <v>81</v>
      </c>
      <c r="E3836" s="5" t="s">
        <v>19</v>
      </c>
      <c r="F3836" s="9">
        <v>86</v>
      </c>
      <c r="G3836" s="9">
        <v>912</v>
      </c>
      <c r="H3836" s="5" t="s">
        <v>20</v>
      </c>
      <c r="I3836" s="5" t="s">
        <v>8886</v>
      </c>
      <c r="J3836" s="12" t="str">
        <f>HYPERLINK("https://www.boe.es/gazeta/dias/1805/10/25/pdfs/GMD-1805-86.pdf#page=8","Abrir facsímil")</f>
        <v>Abrir facsímil</v>
      </c>
      <c r="K3836" s="15" t="s">
        <v>22</v>
      </c>
    </row>
    <row r="3837" spans="1:11" ht="42" customHeight="1">
      <c r="A3837" s="4" t="s">
        <v>8881</v>
      </c>
      <c r="B3837" s="5" t="s">
        <v>8882</v>
      </c>
      <c r="C3837" s="5" t="s">
        <v>80</v>
      </c>
      <c r="D3837" s="5" t="s">
        <v>81</v>
      </c>
      <c r="E3837" s="5" t="s">
        <v>215</v>
      </c>
      <c r="F3837" s="9">
        <v>87</v>
      </c>
      <c r="G3837" s="9">
        <v>923</v>
      </c>
      <c r="H3837" s="5" t="s">
        <v>20</v>
      </c>
      <c r="I3837" s="5" t="s">
        <v>8887</v>
      </c>
      <c r="J3837" s="12" t="str">
        <f>HYPERLINK("https://www.boe.es/gazeta/dias/1805/10/29/pdfs/GMD-1805-87.pdf#page=7","Abrir facsímil")</f>
        <v>Abrir facsímil</v>
      </c>
      <c r="K3837" s="15" t="s">
        <v>22</v>
      </c>
    </row>
    <row r="3838" spans="1:11" ht="42" customHeight="1">
      <c r="A3838" s="4" t="s">
        <v>8888</v>
      </c>
      <c r="B3838" s="5" t="s">
        <v>8889</v>
      </c>
      <c r="C3838" s="5" t="s">
        <v>80</v>
      </c>
      <c r="D3838" s="5" t="s">
        <v>81</v>
      </c>
      <c r="E3838" s="5" t="s">
        <v>215</v>
      </c>
      <c r="F3838" s="9">
        <v>87</v>
      </c>
      <c r="G3838" s="9">
        <v>924</v>
      </c>
      <c r="H3838" s="5" t="s">
        <v>20</v>
      </c>
      <c r="I3838" s="5" t="s">
        <v>8890</v>
      </c>
      <c r="J3838" s="12" t="str">
        <f>HYPERLINK("https://www.boe.es/gazeta/dias/1805/10/29/pdfs/GMD-1805-87.pdf#page=8","Abrir facsímil")</f>
        <v>Abrir facsímil</v>
      </c>
      <c r="K3838" s="15" t="s">
        <v>22</v>
      </c>
    </row>
    <row r="3839" spans="1:11" ht="42" customHeight="1">
      <c r="A3839" s="4" t="s">
        <v>8881</v>
      </c>
      <c r="B3839" s="5" t="s">
        <v>8882</v>
      </c>
      <c r="C3839" s="5" t="s">
        <v>80</v>
      </c>
      <c r="D3839" s="5" t="s">
        <v>81</v>
      </c>
      <c r="E3839" s="5" t="s">
        <v>215</v>
      </c>
      <c r="F3839" s="9">
        <v>87</v>
      </c>
      <c r="G3839" s="9">
        <v>925</v>
      </c>
      <c r="H3839" s="5" t="s">
        <v>20</v>
      </c>
      <c r="I3839" s="5" t="s">
        <v>8891</v>
      </c>
      <c r="J3839" s="12" t="str">
        <f>HYPERLINK("https://www.boe.es/gazeta/dias/1805/10/29/pdfs/GMD-1805-87.pdf#page=9","Abrir facsímil")</f>
        <v>Abrir facsímil</v>
      </c>
      <c r="K3839" s="15" t="s">
        <v>22</v>
      </c>
    </row>
    <row r="3840" spans="1:11" ht="42" customHeight="1">
      <c r="A3840" s="4" t="s">
        <v>8881</v>
      </c>
      <c r="B3840" s="5" t="s">
        <v>8882</v>
      </c>
      <c r="C3840" s="5" t="s">
        <v>80</v>
      </c>
      <c r="D3840" s="5" t="s">
        <v>81</v>
      </c>
      <c r="E3840" s="5" t="s">
        <v>215</v>
      </c>
      <c r="F3840" s="9">
        <v>87</v>
      </c>
      <c r="G3840" s="9">
        <v>926</v>
      </c>
      <c r="H3840" s="5" t="s">
        <v>20</v>
      </c>
      <c r="I3840" s="5" t="s">
        <v>8892</v>
      </c>
      <c r="J3840" s="12" t="str">
        <f>HYPERLINK("https://www.boe.es/gazeta/dias/1805/10/29/pdfs/GMD-1805-87.pdf#page=10","Abrir facsímil")</f>
        <v>Abrir facsímil</v>
      </c>
      <c r="K3840" s="15" t="s">
        <v>22</v>
      </c>
    </row>
    <row r="3841" spans="1:11" ht="42" customHeight="1">
      <c r="A3841" s="4" t="s">
        <v>8881</v>
      </c>
      <c r="B3841" s="5" t="s">
        <v>8882</v>
      </c>
      <c r="C3841" s="5" t="s">
        <v>80</v>
      </c>
      <c r="D3841" s="5" t="s">
        <v>81</v>
      </c>
      <c r="E3841" s="5" t="s">
        <v>209</v>
      </c>
      <c r="F3841" s="9">
        <v>89</v>
      </c>
      <c r="G3841" s="9">
        <v>945</v>
      </c>
      <c r="H3841" s="5" t="s">
        <v>20</v>
      </c>
      <c r="I3841" s="5" t="s">
        <v>8893</v>
      </c>
      <c r="J3841" s="12" t="str">
        <f>HYPERLINK("https://www.boe.es/gazeta/dias/1805/11/05/pdfs/GMD-1805-89.pdf#page=5","Abrir facsímil")</f>
        <v>Abrir facsímil</v>
      </c>
      <c r="K3841" s="15" t="s">
        <v>22</v>
      </c>
    </row>
    <row r="3842" spans="1:11" ht="42" customHeight="1">
      <c r="A3842" s="4" t="s">
        <v>8881</v>
      </c>
      <c r="B3842" s="5" t="s">
        <v>8882</v>
      </c>
      <c r="C3842" s="5" t="s">
        <v>29</v>
      </c>
      <c r="D3842" s="5" t="s">
        <v>30</v>
      </c>
      <c r="E3842" s="5" t="s">
        <v>209</v>
      </c>
      <c r="F3842" s="9">
        <v>89</v>
      </c>
      <c r="G3842" s="9">
        <v>946</v>
      </c>
      <c r="H3842" s="5" t="s">
        <v>20</v>
      </c>
      <c r="I3842" s="5" t="s">
        <v>8894</v>
      </c>
      <c r="J3842" s="12" t="str">
        <f>HYPERLINK("https://www.boe.es/gazeta/dias/1805/11/05/pdfs/GMD-1805-89.pdf#page=6","Abrir facsímil")</f>
        <v>Abrir facsímil</v>
      </c>
      <c r="K3842" s="15" t="s">
        <v>22</v>
      </c>
    </row>
    <row r="3843" spans="1:11" ht="42" customHeight="1">
      <c r="A3843" s="4" t="s">
        <v>8881</v>
      </c>
      <c r="B3843" s="5" t="s">
        <v>8882</v>
      </c>
      <c r="C3843" s="5" t="s">
        <v>35</v>
      </c>
      <c r="D3843" s="5" t="s">
        <v>36</v>
      </c>
      <c r="E3843" s="5" t="s">
        <v>209</v>
      </c>
      <c r="F3843" s="9">
        <v>89</v>
      </c>
      <c r="G3843" s="9">
        <v>950</v>
      </c>
      <c r="H3843" s="5" t="s">
        <v>20</v>
      </c>
      <c r="I3843" s="5" t="s">
        <v>8895</v>
      </c>
      <c r="J3843" s="12" t="str">
        <f>HYPERLINK("https://www.boe.es/gazeta/dias/1805/11/05/pdfs/GMD-1805-89.pdf#page=10","Abrir facsímil")</f>
        <v>Abrir facsímil</v>
      </c>
      <c r="K3843" s="15" t="s">
        <v>22</v>
      </c>
    </row>
    <row r="3844" spans="1:11" ht="42" customHeight="1">
      <c r="A3844" s="4" t="s">
        <v>8881</v>
      </c>
      <c r="B3844" s="5" t="s">
        <v>8882</v>
      </c>
      <c r="C3844" s="5" t="s">
        <v>35</v>
      </c>
      <c r="D3844" s="5" t="s">
        <v>36</v>
      </c>
      <c r="E3844" s="5" t="s">
        <v>209</v>
      </c>
      <c r="F3844" s="9">
        <v>89</v>
      </c>
      <c r="G3844" s="9">
        <v>951</v>
      </c>
      <c r="H3844" s="5" t="s">
        <v>20</v>
      </c>
      <c r="I3844" s="5" t="s">
        <v>8896</v>
      </c>
      <c r="J3844" s="12" t="str">
        <f>HYPERLINK("https://www.boe.es/gazeta/dias/1805/11/05/pdfs/GMD-1805-89.pdf#page=11","Abrir facsímil")</f>
        <v>Abrir facsímil</v>
      </c>
      <c r="K3844" s="15" t="s">
        <v>22</v>
      </c>
    </row>
    <row r="3845" spans="1:11" ht="42" customHeight="1">
      <c r="A3845" s="4" t="s">
        <v>8881</v>
      </c>
      <c r="B3845" s="5" t="s">
        <v>8882</v>
      </c>
      <c r="C3845" s="5" t="s">
        <v>80</v>
      </c>
      <c r="D3845" s="5" t="s">
        <v>81</v>
      </c>
      <c r="E3845" s="5" t="s">
        <v>886</v>
      </c>
      <c r="F3845" s="9">
        <v>93</v>
      </c>
      <c r="G3845" s="9">
        <v>995</v>
      </c>
      <c r="H3845" s="5" t="s">
        <v>20</v>
      </c>
      <c r="I3845" s="5" t="s">
        <v>8897</v>
      </c>
      <c r="J3845" s="12" t="str">
        <f>HYPERLINK("https://www.boe.es/gazeta/dias/1805/11/19/pdfs/GMD-1805-93.pdf#page=7","Abrir facsímil")</f>
        <v>Abrir facsímil</v>
      </c>
      <c r="K3845" s="15" t="s">
        <v>22</v>
      </c>
    </row>
    <row r="3846" spans="1:11" ht="42" customHeight="1">
      <c r="A3846" s="4" t="s">
        <v>8881</v>
      </c>
      <c r="B3846" s="5" t="s">
        <v>8882</v>
      </c>
      <c r="C3846" s="5" t="s">
        <v>80</v>
      </c>
      <c r="D3846" s="5" t="s">
        <v>81</v>
      </c>
      <c r="E3846" s="5" t="s">
        <v>552</v>
      </c>
      <c r="F3846" s="9">
        <v>94</v>
      </c>
      <c r="G3846" s="9">
        <v>1005</v>
      </c>
      <c r="H3846" s="5" t="s">
        <v>20</v>
      </c>
      <c r="I3846" s="5" t="s">
        <v>8898</v>
      </c>
      <c r="J3846" s="12" t="str">
        <f>HYPERLINK("https://www.boe.es/gazeta/dias/1805/11/22/pdfs/GMD-1805-94.pdf#page=5","Abrir facsímil")</f>
        <v>Abrir facsímil</v>
      </c>
      <c r="K3846" s="15" t="s">
        <v>22</v>
      </c>
    </row>
    <row r="3847" spans="1:11" ht="42" customHeight="1">
      <c r="A3847" s="4" t="s">
        <v>8881</v>
      </c>
      <c r="B3847" s="5" t="s">
        <v>8882</v>
      </c>
      <c r="C3847" s="5" t="s">
        <v>17</v>
      </c>
      <c r="D3847" s="5" t="s">
        <v>18</v>
      </c>
      <c r="E3847" s="5" t="s">
        <v>787</v>
      </c>
      <c r="F3847" s="9">
        <v>95</v>
      </c>
      <c r="G3847" s="9">
        <v>1018</v>
      </c>
      <c r="H3847" s="5" t="s">
        <v>20</v>
      </c>
      <c r="I3847" s="5" t="s">
        <v>8899</v>
      </c>
      <c r="J3847" s="12" t="str">
        <f>HYPERLINK("https://www.boe.es/gazeta/dias/1805/11/26/pdfs/GMD-1805-95.pdf#page=6","Abrir facsímil")</f>
        <v>Abrir facsímil</v>
      </c>
      <c r="K3847" s="15" t="s">
        <v>22</v>
      </c>
    </row>
    <row r="3848" spans="1:11" ht="42" customHeight="1">
      <c r="A3848" s="4" t="s">
        <v>8881</v>
      </c>
      <c r="B3848" s="5" t="s">
        <v>8882</v>
      </c>
      <c r="C3848" s="5" t="s">
        <v>17</v>
      </c>
      <c r="D3848" s="5" t="s">
        <v>18</v>
      </c>
      <c r="E3848" s="5" t="s">
        <v>787</v>
      </c>
      <c r="F3848" s="9">
        <v>95</v>
      </c>
      <c r="G3848" s="9">
        <v>1019</v>
      </c>
      <c r="H3848" s="5" t="s">
        <v>20</v>
      </c>
      <c r="I3848" s="5" t="s">
        <v>8900</v>
      </c>
      <c r="J3848" s="12" t="str">
        <f>HYPERLINK("https://www.boe.es/gazeta/dias/1805/11/26/pdfs/GMD-1805-95.pdf#page=7","Abrir facsímil")</f>
        <v>Abrir facsímil</v>
      </c>
      <c r="K3848" s="15" t="s">
        <v>22</v>
      </c>
    </row>
    <row r="3849" spans="1:11" ht="42" customHeight="1">
      <c r="A3849" s="4" t="s">
        <v>8881</v>
      </c>
      <c r="B3849" s="5" t="s">
        <v>8882</v>
      </c>
      <c r="C3849" s="5" t="s">
        <v>80</v>
      </c>
      <c r="D3849" s="5" t="s">
        <v>81</v>
      </c>
      <c r="E3849" s="5" t="s">
        <v>512</v>
      </c>
      <c r="F3849" s="9">
        <v>100</v>
      </c>
      <c r="G3849" s="9">
        <v>1077</v>
      </c>
      <c r="H3849" s="5" t="s">
        <v>20</v>
      </c>
      <c r="I3849" s="5" t="s">
        <v>8901</v>
      </c>
      <c r="J3849" s="12" t="str">
        <f>HYPERLINK("https://www.boe.es/gazeta/dias/1805/12/13/pdfs/GMD-1805-100.pdf#page=5","Abrir facsímil")</f>
        <v>Abrir facsímil</v>
      </c>
      <c r="K3849" s="15" t="s">
        <v>22</v>
      </c>
    </row>
    <row r="3850" spans="1:11" ht="42" customHeight="1">
      <c r="A3850" s="4" t="s">
        <v>8881</v>
      </c>
      <c r="B3850" s="5" t="s">
        <v>8882</v>
      </c>
      <c r="C3850" s="5" t="s">
        <v>80</v>
      </c>
      <c r="D3850" s="5" t="s">
        <v>81</v>
      </c>
      <c r="E3850" s="5" t="s">
        <v>512</v>
      </c>
      <c r="F3850" s="9">
        <v>100</v>
      </c>
      <c r="G3850" s="9">
        <v>1079</v>
      </c>
      <c r="H3850" s="5" t="s">
        <v>20</v>
      </c>
      <c r="I3850" s="5" t="s">
        <v>8902</v>
      </c>
      <c r="J3850" s="12" t="str">
        <f>HYPERLINK("https://www.boe.es/gazeta/dias/1805/12/13/pdfs/GMD-1805-100.pdf#page=7","Abrir facsímil")</f>
        <v>Abrir facsímil</v>
      </c>
      <c r="K3850" s="15" t="s">
        <v>22</v>
      </c>
    </row>
    <row r="3851" spans="1:11" ht="42" customHeight="1">
      <c r="A3851" s="4" t="s">
        <v>8881</v>
      </c>
      <c r="B3851" s="5" t="s">
        <v>8882</v>
      </c>
      <c r="C3851" s="5" t="s">
        <v>80</v>
      </c>
      <c r="D3851" s="5" t="s">
        <v>81</v>
      </c>
      <c r="E3851" s="5" t="s">
        <v>789</v>
      </c>
      <c r="F3851" s="9">
        <v>104</v>
      </c>
      <c r="G3851" s="9">
        <v>1120</v>
      </c>
      <c r="H3851" s="5" t="s">
        <v>20</v>
      </c>
      <c r="I3851" s="5" t="s">
        <v>8903</v>
      </c>
      <c r="J3851" s="12" t="str">
        <f>HYPERLINK("https://www.boe.es/gazeta/dias/1805/12/27/pdfs/GMD-1805-104.pdf#page=4","Abrir facsímil")</f>
        <v>Abrir facsímil</v>
      </c>
      <c r="K3851" s="15" t="s">
        <v>22</v>
      </c>
    </row>
    <row r="3852" spans="1:11" ht="42" customHeight="1">
      <c r="A3852" s="4" t="s">
        <v>8881</v>
      </c>
      <c r="B3852" s="5" t="s">
        <v>8882</v>
      </c>
      <c r="C3852" s="5" t="s">
        <v>80</v>
      </c>
      <c r="D3852" s="5" t="s">
        <v>81</v>
      </c>
      <c r="E3852" s="5" t="s">
        <v>789</v>
      </c>
      <c r="F3852" s="9">
        <v>104</v>
      </c>
      <c r="G3852" s="9">
        <v>1121</v>
      </c>
      <c r="H3852" s="5" t="s">
        <v>20</v>
      </c>
      <c r="I3852" s="5" t="s">
        <v>8904</v>
      </c>
      <c r="J3852" s="12" t="str">
        <f>HYPERLINK("https://www.boe.es/gazeta/dias/1805/12/27/pdfs/GMD-1805-104.pdf#page=5","Abrir facsímil")</f>
        <v>Abrir facsímil</v>
      </c>
      <c r="K3852" s="15" t="s">
        <v>22</v>
      </c>
    </row>
    <row r="3853" spans="1:11" ht="42" customHeight="1">
      <c r="A3853" s="4" t="s">
        <v>8905</v>
      </c>
      <c r="B3853" s="5" t="s">
        <v>8906</v>
      </c>
      <c r="C3853" s="5" t="s">
        <v>52</v>
      </c>
      <c r="D3853" s="5" t="s">
        <v>53</v>
      </c>
      <c r="E3853" s="5" t="s">
        <v>144</v>
      </c>
      <c r="F3853" s="9">
        <v>85</v>
      </c>
      <c r="G3853" s="9" t="s">
        <v>1153</v>
      </c>
      <c r="H3853" s="5" t="s">
        <v>20</v>
      </c>
      <c r="I3853" s="5" t="s">
        <v>8907</v>
      </c>
      <c r="J3853" s="12" t="str">
        <f>HYPERLINK("https://www.boe.es/gazeta/dias/1805/10/22/pdfs/GMD-C-1805-85.pdf#page=8","Abrir facsímil")</f>
        <v>Abrir facsímil</v>
      </c>
      <c r="K3853" s="15" t="s">
        <v>22</v>
      </c>
    </row>
    <row r="3854" spans="1:11" ht="42" customHeight="1">
      <c r="A3854" s="4" t="s">
        <v>8908</v>
      </c>
      <c r="B3854" s="5" t="s">
        <v>8908</v>
      </c>
      <c r="C3854" s="5" t="s">
        <v>35</v>
      </c>
      <c r="D3854" s="5" t="s">
        <v>36</v>
      </c>
      <c r="E3854" s="5" t="s">
        <v>117</v>
      </c>
      <c r="F3854" s="9">
        <v>20</v>
      </c>
      <c r="G3854" s="9">
        <v>206</v>
      </c>
      <c r="H3854" s="5" t="s">
        <v>20</v>
      </c>
      <c r="I3854" s="5" t="s">
        <v>8909</v>
      </c>
      <c r="J3854" s="12" t="str">
        <f>HYPERLINK("https://www.boe.es/gazeta/dias/1805/03/08/pdfs/GMD-1805-20.pdf#page=6","Abrir facsímil")</f>
        <v>Abrir facsímil</v>
      </c>
      <c r="K3854" s="15" t="s">
        <v>22</v>
      </c>
    </row>
    <row r="3855" spans="1:11" ht="42" customHeight="1">
      <c r="A3855" s="4" t="s">
        <v>8910</v>
      </c>
      <c r="B3855" s="5" t="s">
        <v>8911</v>
      </c>
      <c r="C3855" s="5" t="s">
        <v>80</v>
      </c>
      <c r="D3855" s="5" t="s">
        <v>81</v>
      </c>
      <c r="E3855" s="5" t="s">
        <v>512</v>
      </c>
      <c r="F3855" s="9">
        <v>100</v>
      </c>
      <c r="G3855" s="9">
        <v>1078</v>
      </c>
      <c r="H3855" s="5" t="s">
        <v>20</v>
      </c>
      <c r="I3855" s="5" t="s">
        <v>8912</v>
      </c>
      <c r="J3855" s="12" t="str">
        <f>HYPERLINK("https://www.boe.es/gazeta/dias/1805/12/13/pdfs/GMD-1805-100.pdf#page=6","Abrir facsímil")</f>
        <v>Abrir facsímil</v>
      </c>
      <c r="K3855" s="15" t="s">
        <v>22</v>
      </c>
    </row>
    <row r="3856" spans="1:11" ht="42" customHeight="1">
      <c r="A3856" s="4" t="s">
        <v>8913</v>
      </c>
      <c r="B3856" s="5" t="s">
        <v>8914</v>
      </c>
      <c r="C3856" s="5" t="s">
        <v>17</v>
      </c>
      <c r="D3856" s="5" t="s">
        <v>18</v>
      </c>
      <c r="E3856" s="5" t="s">
        <v>141</v>
      </c>
      <c r="F3856" s="9">
        <v>82</v>
      </c>
      <c r="G3856" s="9">
        <v>871</v>
      </c>
      <c r="H3856" s="5" t="s">
        <v>20</v>
      </c>
      <c r="I3856" s="5" t="s">
        <v>8915</v>
      </c>
      <c r="J3856" s="12" t="str">
        <f>HYPERLINK("https://www.boe.es/gazeta/dias/1805/10/11/pdfs/GMD-1805-82.pdf#page=11","Abrir facsímil")</f>
        <v>Abrir facsímil</v>
      </c>
      <c r="K3856" s="15" t="s">
        <v>22</v>
      </c>
    </row>
    <row r="3857" spans="1:11" ht="42" customHeight="1">
      <c r="A3857" s="4" t="s">
        <v>8916</v>
      </c>
      <c r="B3857" s="5" t="s">
        <v>8917</v>
      </c>
      <c r="C3857" s="5" t="s">
        <v>35</v>
      </c>
      <c r="D3857" s="5" t="s">
        <v>36</v>
      </c>
      <c r="E3857" s="5" t="s">
        <v>141</v>
      </c>
      <c r="F3857" s="9">
        <v>82</v>
      </c>
      <c r="G3857" s="9">
        <v>870</v>
      </c>
      <c r="H3857" s="5" t="s">
        <v>20</v>
      </c>
      <c r="I3857" s="5" t="s">
        <v>8918</v>
      </c>
      <c r="J3857" s="12" t="str">
        <f>HYPERLINK("https://www.boe.es/gazeta/dias/1805/10/11/pdfs/GMD-1805-82.pdf#page=10","Abrir facsímil")</f>
        <v>Abrir facsímil</v>
      </c>
      <c r="K3857" s="15" t="s">
        <v>22</v>
      </c>
    </row>
    <row r="3858" spans="1:11" ht="42" customHeight="1">
      <c r="A3858" s="4" t="s">
        <v>8919</v>
      </c>
      <c r="B3858" s="5" t="s">
        <v>8920</v>
      </c>
      <c r="C3858" s="5" t="s">
        <v>35</v>
      </c>
      <c r="D3858" s="5" t="s">
        <v>36</v>
      </c>
      <c r="E3858" s="5" t="s">
        <v>59</v>
      </c>
      <c r="F3858" s="9">
        <v>21</v>
      </c>
      <c r="G3858" s="9">
        <v>221</v>
      </c>
      <c r="H3858" s="5" t="s">
        <v>20</v>
      </c>
      <c r="I3858" s="5" t="s">
        <v>8921</v>
      </c>
      <c r="J3858" s="12" t="str">
        <f>HYPERLINK("https://www.boe.es/gazeta/dias/1805/03/12/pdfs/GMD-1805-21.pdf#page=9","Abrir facsímil")</f>
        <v>Abrir facsímil</v>
      </c>
      <c r="K3858" s="15" t="s">
        <v>22</v>
      </c>
    </row>
    <row r="3859" spans="1:11" ht="42" customHeight="1">
      <c r="A3859" s="4" t="s">
        <v>8922</v>
      </c>
      <c r="B3859" s="5" t="s">
        <v>8923</v>
      </c>
      <c r="C3859" s="5" t="s">
        <v>35</v>
      </c>
      <c r="D3859" s="5" t="s">
        <v>36</v>
      </c>
      <c r="E3859" s="5" t="s">
        <v>539</v>
      </c>
      <c r="F3859" s="9">
        <v>97</v>
      </c>
      <c r="G3859" s="9">
        <v>1044</v>
      </c>
      <c r="H3859" s="5" t="s">
        <v>20</v>
      </c>
      <c r="I3859" s="5" t="s">
        <v>8924</v>
      </c>
      <c r="J3859" s="12" t="str">
        <f>HYPERLINK("https://www.boe.es/gazeta/dias/1805/12/03/pdfs/GMD-1805-97.pdf#page=8","Abrir facsímil")</f>
        <v>Abrir facsímil</v>
      </c>
      <c r="K3859" s="15" t="s">
        <v>22</v>
      </c>
    </row>
    <row r="3860" spans="1:11" ht="42" customHeight="1">
      <c r="A3860" s="4" t="s">
        <v>8925</v>
      </c>
      <c r="B3860" s="5" t="s">
        <v>8926</v>
      </c>
      <c r="C3860" s="5" t="s">
        <v>35</v>
      </c>
      <c r="D3860" s="5" t="s">
        <v>36</v>
      </c>
      <c r="E3860" s="5" t="s">
        <v>87</v>
      </c>
      <c r="F3860" s="9">
        <v>14</v>
      </c>
      <c r="G3860" s="9">
        <v>146</v>
      </c>
      <c r="H3860" s="5" t="s">
        <v>20</v>
      </c>
      <c r="I3860" s="5" t="s">
        <v>8927</v>
      </c>
      <c r="J3860" s="12" t="str">
        <f>HYPERLINK("https://www.boe.es/gazeta/dias/1805/02/15/pdfs/GMD-1805-14.pdf#page=6","Abrir facsímil")</f>
        <v>Abrir facsímil</v>
      </c>
      <c r="K3860" s="15" t="s">
        <v>22</v>
      </c>
    </row>
    <row r="3861" spans="1:11" ht="42" customHeight="1">
      <c r="A3861" s="4" t="s">
        <v>8928</v>
      </c>
      <c r="B3861" s="5" t="s">
        <v>8929</v>
      </c>
      <c r="C3861" s="5" t="s">
        <v>17</v>
      </c>
      <c r="D3861" s="5" t="s">
        <v>18</v>
      </c>
      <c r="E3861" s="5" t="s">
        <v>76</v>
      </c>
      <c r="F3861" s="9">
        <v>66</v>
      </c>
      <c r="G3861" s="9">
        <v>710</v>
      </c>
      <c r="H3861" s="5" t="s">
        <v>20</v>
      </c>
      <c r="I3861" s="5" t="s">
        <v>8930</v>
      </c>
      <c r="J3861" s="12" t="str">
        <f>HYPERLINK("https://www.boe.es/gazeta/dias/1805/08/16/pdfs/GMD-1805-66.pdf#page=10","Abrir facsímil")</f>
        <v>Abrir facsímil</v>
      </c>
      <c r="K3861" s="15" t="s">
        <v>22</v>
      </c>
    </row>
    <row r="3862" spans="1:11" ht="42" customHeight="1">
      <c r="A3862" s="4" t="s">
        <v>8931</v>
      </c>
      <c r="B3862" s="5" t="s">
        <v>8932</v>
      </c>
      <c r="C3862" s="5" t="s">
        <v>80</v>
      </c>
      <c r="D3862" s="5" t="s">
        <v>81</v>
      </c>
      <c r="E3862" s="5" t="s">
        <v>48</v>
      </c>
      <c r="F3862" s="9">
        <v>35</v>
      </c>
      <c r="G3862" s="9">
        <v>375</v>
      </c>
      <c r="H3862" s="5" t="s">
        <v>20</v>
      </c>
      <c r="I3862" s="5" t="s">
        <v>8933</v>
      </c>
      <c r="J3862" s="12" t="str">
        <f>HYPERLINK("https://www.boe.es/gazeta/dias/1805/04/30/pdfs/GMD-1805-35.pdf#page=7","Abrir facsímil")</f>
        <v>Abrir facsímil</v>
      </c>
      <c r="K3862" s="15" t="s">
        <v>22</v>
      </c>
    </row>
    <row r="3863" spans="1:11" ht="42" customHeight="1">
      <c r="A3863" s="4" t="s">
        <v>8934</v>
      </c>
      <c r="B3863" s="5" t="s">
        <v>8934</v>
      </c>
      <c r="C3863" s="5" t="s">
        <v>29</v>
      </c>
      <c r="D3863" s="5" t="s">
        <v>30</v>
      </c>
      <c r="E3863" s="5" t="s">
        <v>440</v>
      </c>
      <c r="F3863" s="9">
        <v>27</v>
      </c>
      <c r="G3863" s="9">
        <v>290</v>
      </c>
      <c r="H3863" s="5" t="s">
        <v>20</v>
      </c>
      <c r="I3863" s="5" t="s">
        <v>8935</v>
      </c>
      <c r="J3863" s="12" t="str">
        <f>HYPERLINK("https://www.boe.es/gazeta/dias/1805/04/02/pdfs/GMD-1805-27.pdf#page=10","Abrir facsímil")</f>
        <v>Abrir facsímil</v>
      </c>
      <c r="K3863" s="15" t="s">
        <v>22</v>
      </c>
    </row>
    <row r="3864" spans="1:11" ht="42" customHeight="1">
      <c r="A3864" s="4" t="s">
        <v>8936</v>
      </c>
      <c r="B3864" s="5" t="s">
        <v>8936</v>
      </c>
      <c r="C3864" s="5" t="s">
        <v>80</v>
      </c>
      <c r="D3864" s="5" t="s">
        <v>81</v>
      </c>
      <c r="E3864" s="5" t="s">
        <v>1132</v>
      </c>
      <c r="F3864" s="9">
        <v>72</v>
      </c>
      <c r="G3864" s="9">
        <v>763</v>
      </c>
      <c r="H3864" s="5" t="s">
        <v>20</v>
      </c>
      <c r="I3864" s="5" t="s">
        <v>8937</v>
      </c>
      <c r="J3864" s="12" t="str">
        <f>HYPERLINK("https://www.boe.es/gazeta/dias/1805/09/06/pdfs/GMD-1805-72.pdf#page=3","Abrir facsímil")</f>
        <v>Abrir facsímil</v>
      </c>
      <c r="K3864" s="15" t="s">
        <v>22</v>
      </c>
    </row>
    <row r="3865" spans="1:11" ht="42" customHeight="1">
      <c r="A3865" s="4" t="s">
        <v>8938</v>
      </c>
      <c r="B3865" s="5" t="s">
        <v>8938</v>
      </c>
      <c r="C3865" s="5" t="s">
        <v>17</v>
      </c>
      <c r="D3865" s="5" t="s">
        <v>18</v>
      </c>
      <c r="E3865" s="5" t="s">
        <v>63</v>
      </c>
      <c r="F3865" s="9">
        <v>101</v>
      </c>
      <c r="G3865" s="9">
        <v>1093</v>
      </c>
      <c r="H3865" s="5" t="s">
        <v>20</v>
      </c>
      <c r="I3865" s="5" t="s">
        <v>8939</v>
      </c>
      <c r="J3865" s="12" t="str">
        <f>HYPERLINK("https://www.boe.es/gazeta/dias/1805/12/17/pdfs/GMD-1805-101.pdf#page=9","Abrir facsímil")</f>
        <v>Abrir facsímil</v>
      </c>
      <c r="K3865" s="15" t="s">
        <v>22</v>
      </c>
    </row>
    <row r="3866" spans="1:11" ht="42" customHeight="1">
      <c r="A3866" s="4" t="s">
        <v>8940</v>
      </c>
      <c r="B3866" s="5" t="s">
        <v>8941</v>
      </c>
      <c r="C3866" s="5" t="s">
        <v>17</v>
      </c>
      <c r="D3866" s="5" t="s">
        <v>18</v>
      </c>
      <c r="E3866" s="5" t="s">
        <v>63</v>
      </c>
      <c r="F3866" s="9">
        <v>101</v>
      </c>
      <c r="G3866" s="9">
        <v>1091</v>
      </c>
      <c r="H3866" s="5" t="s">
        <v>20</v>
      </c>
      <c r="I3866" s="5" t="s">
        <v>8942</v>
      </c>
      <c r="J3866" s="12" t="str">
        <f>HYPERLINK("https://www.boe.es/gazeta/dias/1805/12/17/pdfs/GMD-1805-101.pdf#page=7","Abrir facsímil")</f>
        <v>Abrir facsímil</v>
      </c>
      <c r="K3866" s="15" t="s">
        <v>22</v>
      </c>
    </row>
    <row r="3867" spans="1:11" ht="42" customHeight="1">
      <c r="A3867" s="4" t="s">
        <v>8943</v>
      </c>
      <c r="B3867" s="5" t="s">
        <v>8944</v>
      </c>
      <c r="C3867" s="5" t="s">
        <v>17</v>
      </c>
      <c r="D3867" s="5" t="s">
        <v>18</v>
      </c>
      <c r="E3867" s="5" t="s">
        <v>120</v>
      </c>
      <c r="F3867" s="9">
        <v>24</v>
      </c>
      <c r="G3867" s="9">
        <v>252</v>
      </c>
      <c r="H3867" s="5" t="s">
        <v>20</v>
      </c>
      <c r="I3867" s="5" t="s">
        <v>8945</v>
      </c>
      <c r="J3867" s="12" t="str">
        <f>HYPERLINK("https://www.boe.es/gazeta/dias/1805/03/22/pdfs/GMD-1805-24.pdf#page=4","Abrir facsímil")</f>
        <v>Abrir facsímil</v>
      </c>
      <c r="K3867" s="15" t="s">
        <v>22</v>
      </c>
    </row>
    <row r="3868" spans="1:11" ht="42" customHeight="1">
      <c r="A3868" s="4" t="s">
        <v>8943</v>
      </c>
      <c r="B3868" s="5" t="s">
        <v>8944</v>
      </c>
      <c r="C3868" s="5" t="s">
        <v>17</v>
      </c>
      <c r="D3868" s="5" t="s">
        <v>18</v>
      </c>
      <c r="E3868" s="5" t="s">
        <v>393</v>
      </c>
      <c r="F3868" s="9">
        <v>44</v>
      </c>
      <c r="G3868" s="9">
        <v>469</v>
      </c>
      <c r="H3868" s="5" t="s">
        <v>20</v>
      </c>
      <c r="I3868" s="5" t="s">
        <v>8946</v>
      </c>
      <c r="J3868" s="12" t="str">
        <f>HYPERLINK("https://www.boe.es/gazeta/dias/1805/05/31/pdfs/GMD-1805-44.pdf#page=5","Abrir facsímil")</f>
        <v>Abrir facsímil</v>
      </c>
      <c r="K3868" s="15" t="s">
        <v>22</v>
      </c>
    </row>
    <row r="3869" spans="1:11" ht="42" customHeight="1">
      <c r="A3869" s="4" t="s">
        <v>8943</v>
      </c>
      <c r="B3869" s="5" t="s">
        <v>8944</v>
      </c>
      <c r="C3869" s="5" t="s">
        <v>17</v>
      </c>
      <c r="D3869" s="5" t="s">
        <v>18</v>
      </c>
      <c r="E3869" s="5" t="s">
        <v>831</v>
      </c>
      <c r="F3869" s="9">
        <v>62</v>
      </c>
      <c r="G3869" s="9">
        <v>662</v>
      </c>
      <c r="H3869" s="5" t="s">
        <v>20</v>
      </c>
      <c r="I3869" s="5" t="s">
        <v>8947</v>
      </c>
      <c r="J3869" s="12" t="str">
        <f>HYPERLINK("https://www.boe.es/gazeta/dias/1805/08/02/pdfs/GMD-1805-62.pdf#page=6","Abrir facsímil")</f>
        <v>Abrir facsímil</v>
      </c>
      <c r="K3869" s="15" t="s">
        <v>22</v>
      </c>
    </row>
    <row r="3870" spans="1:11" ht="42" customHeight="1">
      <c r="A3870" s="4" t="s">
        <v>8943</v>
      </c>
      <c r="B3870" s="5" t="s">
        <v>8944</v>
      </c>
      <c r="C3870" s="5" t="s">
        <v>35</v>
      </c>
      <c r="D3870" s="5" t="s">
        <v>36</v>
      </c>
      <c r="E3870" s="5" t="s">
        <v>552</v>
      </c>
      <c r="F3870" s="9">
        <v>94</v>
      </c>
      <c r="G3870" s="9">
        <v>1005</v>
      </c>
      <c r="H3870" s="5" t="s">
        <v>20</v>
      </c>
      <c r="I3870" s="5" t="s">
        <v>8948</v>
      </c>
      <c r="J3870" s="12" t="str">
        <f>HYPERLINK("https://www.boe.es/gazeta/dias/1805/11/22/pdfs/GMD-1805-94.pdf#page=5","Abrir facsímil")</f>
        <v>Abrir facsímil</v>
      </c>
      <c r="K3870" s="15" t="s">
        <v>22</v>
      </c>
    </row>
    <row r="3871" spans="1:11" ht="42" customHeight="1">
      <c r="A3871" s="4" t="s">
        <v>8949</v>
      </c>
      <c r="B3871" s="5" t="s">
        <v>8950</v>
      </c>
      <c r="C3871" s="5" t="s">
        <v>85</v>
      </c>
      <c r="D3871" s="5" t="s">
        <v>86</v>
      </c>
      <c r="E3871" s="5" t="s">
        <v>711</v>
      </c>
      <c r="F3871" s="9">
        <v>63</v>
      </c>
      <c r="G3871" s="9">
        <v>674</v>
      </c>
      <c r="H3871" s="5" t="s">
        <v>20</v>
      </c>
      <c r="I3871" s="5" t="s">
        <v>8951</v>
      </c>
      <c r="J3871" s="12" t="str">
        <f>HYPERLINK("https://www.boe.es/gazeta/dias/1805/08/06/pdfs/GMD-1805-63.pdf#page=10","Abrir facsímil")</f>
        <v>Abrir facsímil</v>
      </c>
      <c r="K3871" s="15" t="s">
        <v>22</v>
      </c>
    </row>
    <row r="3872" spans="1:11" ht="42" customHeight="1">
      <c r="A3872" s="4" t="s">
        <v>8949</v>
      </c>
      <c r="B3872" s="5" t="s">
        <v>8950</v>
      </c>
      <c r="C3872" s="5" t="s">
        <v>35</v>
      </c>
      <c r="D3872" s="5" t="s">
        <v>36</v>
      </c>
      <c r="E3872" s="5" t="s">
        <v>539</v>
      </c>
      <c r="F3872" s="9">
        <v>97</v>
      </c>
      <c r="G3872" s="9">
        <v>1044</v>
      </c>
      <c r="H3872" s="5" t="s">
        <v>20</v>
      </c>
      <c r="I3872" s="5" t="s">
        <v>8952</v>
      </c>
      <c r="J3872" s="12" t="str">
        <f>HYPERLINK("https://www.boe.es/gazeta/dias/1805/12/03/pdfs/GMD-1805-97.pdf#page=8","Abrir facsímil")</f>
        <v>Abrir facsímil</v>
      </c>
      <c r="K3872" s="15" t="s">
        <v>22</v>
      </c>
    </row>
    <row r="3873" spans="1:11" ht="42" customHeight="1">
      <c r="A3873" s="4" t="s">
        <v>8953</v>
      </c>
      <c r="B3873" s="5" t="s">
        <v>8954</v>
      </c>
      <c r="C3873" s="5" t="s">
        <v>29</v>
      </c>
      <c r="D3873" s="5" t="s">
        <v>30</v>
      </c>
      <c r="E3873" s="5" t="s">
        <v>24</v>
      </c>
      <c r="F3873" s="9">
        <v>11</v>
      </c>
      <c r="G3873" s="9">
        <v>124</v>
      </c>
      <c r="H3873" s="5" t="s">
        <v>20</v>
      </c>
      <c r="I3873" s="5" t="s">
        <v>8955</v>
      </c>
      <c r="J3873" s="12" t="str">
        <f>HYPERLINK("https://www.boe.es/gazeta/dias/1805/02/05/pdfs/GMD-1805-11.pdf#page=12","Abrir facsímil")</f>
        <v>Abrir facsímil</v>
      </c>
      <c r="K3873" s="15" t="s">
        <v>22</v>
      </c>
    </row>
    <row r="3874" spans="1:11" ht="42" customHeight="1">
      <c r="A3874" s="4" t="s">
        <v>8956</v>
      </c>
      <c r="B3874" s="5" t="s">
        <v>8956</v>
      </c>
      <c r="C3874" s="5" t="s">
        <v>29</v>
      </c>
      <c r="D3874" s="5" t="s">
        <v>30</v>
      </c>
      <c r="E3874" s="5" t="s">
        <v>71</v>
      </c>
      <c r="F3874" s="9">
        <v>33</v>
      </c>
      <c r="G3874" s="9">
        <v>350</v>
      </c>
      <c r="H3874" s="5" t="s">
        <v>20</v>
      </c>
      <c r="I3874" s="5" t="s">
        <v>8957</v>
      </c>
      <c r="J3874" s="12" t="str">
        <f>HYPERLINK("https://www.boe.es/gazeta/dias/1805/04/23/pdfs/GMD-1805-33.pdf#page=6","Abrir facsímil")</f>
        <v>Abrir facsímil</v>
      </c>
      <c r="K3874" s="15" t="s">
        <v>22</v>
      </c>
    </row>
    <row r="3875" spans="1:11" ht="42" customHeight="1">
      <c r="A3875" s="4" t="s">
        <v>8958</v>
      </c>
      <c r="B3875" s="5" t="s">
        <v>8958</v>
      </c>
      <c r="C3875" s="5" t="s">
        <v>80</v>
      </c>
      <c r="D3875" s="5" t="s">
        <v>81</v>
      </c>
      <c r="E3875" s="5" t="s">
        <v>831</v>
      </c>
      <c r="F3875" s="9">
        <v>62</v>
      </c>
      <c r="G3875" s="9">
        <v>659</v>
      </c>
      <c r="H3875" s="5" t="s">
        <v>20</v>
      </c>
      <c r="I3875" s="5" t="s">
        <v>8959</v>
      </c>
      <c r="J3875" s="12" t="str">
        <f>HYPERLINK("https://www.boe.es/gazeta/dias/1805/08/02/pdfs/GMD-1805-62.pdf#page=3","Abrir facsímil")</f>
        <v>Abrir facsímil</v>
      </c>
      <c r="K3875" s="15" t="s">
        <v>22</v>
      </c>
    </row>
    <row r="3876" spans="1:11" ht="42" customHeight="1">
      <c r="A3876" s="4" t="s">
        <v>8960</v>
      </c>
      <c r="B3876" s="5" t="s">
        <v>8961</v>
      </c>
      <c r="C3876" s="5" t="s">
        <v>85</v>
      </c>
      <c r="D3876" s="5" t="s">
        <v>86</v>
      </c>
      <c r="E3876" s="5" t="s">
        <v>303</v>
      </c>
      <c r="F3876" s="9">
        <v>57</v>
      </c>
      <c r="G3876" s="9">
        <v>610</v>
      </c>
      <c r="H3876" s="5" t="s">
        <v>20</v>
      </c>
      <c r="I3876" s="5" t="s">
        <v>8962</v>
      </c>
      <c r="J3876" s="12" t="str">
        <f>HYPERLINK("https://www.boe.es/gazeta/dias/1805/07/16/pdfs/GMD-1805-57.pdf#page=6","Abrir facsímil")</f>
        <v>Abrir facsímil</v>
      </c>
      <c r="K3876" s="15" t="s">
        <v>22</v>
      </c>
    </row>
    <row r="3877" spans="1:11" ht="42" customHeight="1">
      <c r="A3877" s="4" t="s">
        <v>8963</v>
      </c>
      <c r="B3877" s="5" t="s">
        <v>8964</v>
      </c>
      <c r="C3877" s="5" t="s">
        <v>35</v>
      </c>
      <c r="D3877" s="5" t="s">
        <v>36</v>
      </c>
      <c r="E3877" s="5" t="s">
        <v>48</v>
      </c>
      <c r="F3877" s="9">
        <v>35</v>
      </c>
      <c r="G3877" s="9">
        <v>378</v>
      </c>
      <c r="H3877" s="5" t="s">
        <v>20</v>
      </c>
      <c r="I3877" s="5" t="s">
        <v>8965</v>
      </c>
      <c r="J3877" s="12" t="str">
        <f>HYPERLINK("https://www.boe.es/gazeta/dias/1805/04/30/pdfs/GMD-1805-35.pdf#page=10","Abrir facsímil")</f>
        <v>Abrir facsímil</v>
      </c>
      <c r="K3877" s="15" t="s">
        <v>22</v>
      </c>
    </row>
    <row r="3878" spans="1:11" ht="42" customHeight="1">
      <c r="A3878" s="4" t="s">
        <v>8966</v>
      </c>
      <c r="B3878" s="5" t="s">
        <v>8966</v>
      </c>
      <c r="C3878" s="5" t="s">
        <v>85</v>
      </c>
      <c r="D3878" s="5" t="s">
        <v>86</v>
      </c>
      <c r="E3878" s="5" t="s">
        <v>71</v>
      </c>
      <c r="F3878" s="9">
        <v>33</v>
      </c>
      <c r="G3878" s="9">
        <v>351</v>
      </c>
      <c r="H3878" s="5" t="s">
        <v>20</v>
      </c>
      <c r="I3878" s="5" t="s">
        <v>8967</v>
      </c>
      <c r="J3878" s="12" t="str">
        <f>HYPERLINK("https://www.boe.es/gazeta/dias/1805/04/23/pdfs/GMD-1805-33.pdf#page=7","Abrir facsímil")</f>
        <v>Abrir facsímil</v>
      </c>
      <c r="K3878" s="15" t="s">
        <v>22</v>
      </c>
    </row>
    <row r="3879" spans="1:11" ht="42" customHeight="1">
      <c r="A3879" s="4" t="s">
        <v>8968</v>
      </c>
      <c r="B3879" s="5" t="s">
        <v>8969</v>
      </c>
      <c r="C3879" s="5" t="s">
        <v>80</v>
      </c>
      <c r="D3879" s="5" t="s">
        <v>81</v>
      </c>
      <c r="E3879" s="5" t="s">
        <v>276</v>
      </c>
      <c r="F3879" s="9">
        <v>51</v>
      </c>
      <c r="G3879" s="9">
        <v>548</v>
      </c>
      <c r="H3879" s="5" t="s">
        <v>20</v>
      </c>
      <c r="I3879" s="5" t="s">
        <v>8970</v>
      </c>
      <c r="J3879" s="12" t="str">
        <f>HYPERLINK("https://www.boe.es/gazeta/dias/1805/06/25/pdfs/GMD-1805-51.pdf#page=4","Abrir facsímil")</f>
        <v>Abrir facsímil</v>
      </c>
      <c r="K3879" s="15" t="s">
        <v>22</v>
      </c>
    </row>
    <row r="3880" spans="1:11" ht="42" customHeight="1">
      <c r="A3880" s="4" t="s">
        <v>8971</v>
      </c>
      <c r="B3880" s="5" t="s">
        <v>8971</v>
      </c>
      <c r="C3880" s="5" t="s">
        <v>17</v>
      </c>
      <c r="D3880" s="5" t="s">
        <v>18</v>
      </c>
      <c r="E3880" s="5" t="s">
        <v>387</v>
      </c>
      <c r="F3880" s="9">
        <v>4</v>
      </c>
      <c r="G3880" s="9">
        <v>43</v>
      </c>
      <c r="H3880" s="5" t="s">
        <v>20</v>
      </c>
      <c r="I3880" s="5" t="s">
        <v>8972</v>
      </c>
      <c r="J3880" s="12" t="str">
        <f>HYPERLINK("https://www.boe.es/gazeta/dias/1805/01/11/pdfs/GMD-1805-4.pdf#page=11","Abrir facsímil")</f>
        <v>Abrir facsímil</v>
      </c>
      <c r="K3880" s="15" t="s">
        <v>22</v>
      </c>
    </row>
    <row r="3881" spans="1:11" ht="42" customHeight="1">
      <c r="A3881" s="4" t="s">
        <v>8973</v>
      </c>
      <c r="B3881" s="5" t="s">
        <v>8974</v>
      </c>
      <c r="C3881" s="5" t="s">
        <v>85</v>
      </c>
      <c r="D3881" s="5" t="s">
        <v>86</v>
      </c>
      <c r="E3881" s="5" t="s">
        <v>1187</v>
      </c>
      <c r="F3881" s="9">
        <v>40</v>
      </c>
      <c r="G3881" s="9">
        <v>431</v>
      </c>
      <c r="H3881" s="5" t="s">
        <v>20</v>
      </c>
      <c r="I3881" s="5" t="s">
        <v>8975</v>
      </c>
      <c r="J3881" s="12" t="str">
        <f>HYPERLINK("https://www.boe.es/gazeta/dias/1805/05/17/pdfs/GMD-1805-40.pdf#page=7","Abrir facsímil")</f>
        <v>Abrir facsímil</v>
      </c>
      <c r="K3881" s="15" t="s">
        <v>22</v>
      </c>
    </row>
    <row r="3882" spans="1:11" ht="42" customHeight="1">
      <c r="A3882" s="4" t="s">
        <v>8976</v>
      </c>
      <c r="B3882" s="5" t="s">
        <v>8976</v>
      </c>
      <c r="C3882" s="5" t="s">
        <v>17</v>
      </c>
      <c r="D3882" s="5" t="s">
        <v>18</v>
      </c>
      <c r="E3882" s="5" t="s">
        <v>37</v>
      </c>
      <c r="F3882" s="9">
        <v>54</v>
      </c>
      <c r="G3882" s="9">
        <v>578</v>
      </c>
      <c r="H3882" s="5" t="s">
        <v>20</v>
      </c>
      <c r="I3882" s="5" t="s">
        <v>8977</v>
      </c>
      <c r="J3882" s="12" t="str">
        <f>HYPERLINK("https://www.boe.es/gazeta/dias/1805/07/05/pdfs/GMD-1805-54.pdf#page=6","Abrir facsímil")</f>
        <v>Abrir facsímil</v>
      </c>
      <c r="K3882" s="15" t="s">
        <v>22</v>
      </c>
    </row>
    <row r="3883" spans="1:11" ht="42" customHeight="1">
      <c r="A3883" s="4" t="s">
        <v>8976</v>
      </c>
      <c r="B3883" s="5" t="s">
        <v>8976</v>
      </c>
      <c r="C3883" s="5" t="s">
        <v>35</v>
      </c>
      <c r="D3883" s="5" t="s">
        <v>36</v>
      </c>
      <c r="E3883" s="5" t="s">
        <v>40</v>
      </c>
      <c r="F3883" s="9">
        <v>59</v>
      </c>
      <c r="G3883" s="9">
        <v>629</v>
      </c>
      <c r="H3883" s="5" t="s">
        <v>20</v>
      </c>
      <c r="I3883" s="5" t="s">
        <v>8978</v>
      </c>
      <c r="J3883" s="12" t="str">
        <f>HYPERLINK("https://www.boe.es/gazeta/dias/1805/07/23/pdfs/GMD-1805-59.pdf#page=5","Abrir facsímil")</f>
        <v>Abrir facsímil</v>
      </c>
      <c r="K3883" s="15" t="s">
        <v>22</v>
      </c>
    </row>
    <row r="3884" spans="1:11" ht="42" customHeight="1">
      <c r="A3884" s="4" t="s">
        <v>8976</v>
      </c>
      <c r="B3884" s="5" t="s">
        <v>8976</v>
      </c>
      <c r="C3884" s="5" t="s">
        <v>35</v>
      </c>
      <c r="D3884" s="5" t="s">
        <v>36</v>
      </c>
      <c r="E3884" s="5" t="s">
        <v>31</v>
      </c>
      <c r="F3884" s="9">
        <v>65</v>
      </c>
      <c r="G3884" s="9">
        <v>694</v>
      </c>
      <c r="H3884" s="5" t="s">
        <v>20</v>
      </c>
      <c r="I3884" s="5" t="s">
        <v>8979</v>
      </c>
      <c r="J3884" s="12" t="str">
        <f>HYPERLINK("https://www.boe.es/gazeta/dias/1805/08/13/pdfs/GMD-1805-65.pdf#page=6","Abrir facsímil")</f>
        <v>Abrir facsímil</v>
      </c>
      <c r="K3884" s="15" t="s">
        <v>22</v>
      </c>
    </row>
    <row r="3885" spans="1:11" ht="42" customHeight="1">
      <c r="A3885" s="4" t="s">
        <v>8980</v>
      </c>
      <c r="B3885" s="5" t="s">
        <v>8981</v>
      </c>
      <c r="C3885" s="5" t="s">
        <v>80</v>
      </c>
      <c r="D3885" s="5" t="s">
        <v>81</v>
      </c>
      <c r="E3885" s="5" t="s">
        <v>886</v>
      </c>
      <c r="F3885" s="9">
        <v>93</v>
      </c>
      <c r="G3885" s="9">
        <v>992</v>
      </c>
      <c r="H3885" s="5" t="s">
        <v>20</v>
      </c>
      <c r="I3885" s="5" t="s">
        <v>8982</v>
      </c>
      <c r="J3885" s="12" t="str">
        <f>HYPERLINK("https://www.boe.es/gazeta/dias/1805/11/19/pdfs/GMD-1805-93.pdf#page=4","Abrir facsímil")</f>
        <v>Abrir facsímil</v>
      </c>
      <c r="K3885" s="15" t="s">
        <v>22</v>
      </c>
    </row>
    <row r="3886" spans="1:11" ht="42" customHeight="1">
      <c r="A3886" s="4" t="s">
        <v>8980</v>
      </c>
      <c r="B3886" s="5" t="s">
        <v>8981</v>
      </c>
      <c r="C3886" s="5" t="s">
        <v>17</v>
      </c>
      <c r="D3886" s="5" t="s">
        <v>18</v>
      </c>
      <c r="E3886" s="5" t="s">
        <v>495</v>
      </c>
      <c r="F3886" s="9">
        <v>103</v>
      </c>
      <c r="G3886" s="9">
        <v>1113</v>
      </c>
      <c r="H3886" s="5" t="s">
        <v>20</v>
      </c>
      <c r="I3886" s="5" t="s">
        <v>8983</v>
      </c>
      <c r="J3886" s="12" t="str">
        <f>HYPERLINK("https://www.boe.es/gazeta/dias/1805/12/24/pdfs/GMD-1805-103.pdf#page=5","Abrir facsímil")</f>
        <v>Abrir facsímil</v>
      </c>
      <c r="K3886" s="15" t="s">
        <v>22</v>
      </c>
    </row>
    <row r="3887" spans="1:11" ht="42" customHeight="1">
      <c r="A3887" s="4" t="s">
        <v>8984</v>
      </c>
      <c r="B3887" s="5" t="s">
        <v>8984</v>
      </c>
      <c r="C3887" s="5" t="s">
        <v>29</v>
      </c>
      <c r="D3887" s="5" t="s">
        <v>30</v>
      </c>
      <c r="E3887" s="5" t="s">
        <v>112</v>
      </c>
      <c r="F3887" s="9">
        <v>16</v>
      </c>
      <c r="G3887" s="9">
        <v>167</v>
      </c>
      <c r="H3887" s="5" t="s">
        <v>20</v>
      </c>
      <c r="I3887" s="5" t="s">
        <v>8985</v>
      </c>
      <c r="J3887" s="12" t="str">
        <f>HYPERLINK("https://www.boe.es/gazeta/dias/1805/02/22/pdfs/GMD-1805-16.pdf#page=7","Abrir facsímil")</f>
        <v>Abrir facsímil</v>
      </c>
      <c r="K3887" s="15" t="s">
        <v>22</v>
      </c>
    </row>
    <row r="3888" spans="1:11" ht="42" customHeight="1">
      <c r="A3888" s="4" t="s">
        <v>8986</v>
      </c>
      <c r="B3888" s="5" t="s">
        <v>8987</v>
      </c>
      <c r="C3888" s="5" t="s">
        <v>35</v>
      </c>
      <c r="D3888" s="5" t="s">
        <v>36</v>
      </c>
      <c r="E3888" s="5" t="s">
        <v>122</v>
      </c>
      <c r="F3888" s="9">
        <v>38</v>
      </c>
      <c r="G3888" s="9">
        <v>407</v>
      </c>
      <c r="H3888" s="5" t="s">
        <v>20</v>
      </c>
      <c r="I3888" s="5" t="s">
        <v>8988</v>
      </c>
      <c r="J3888" s="12" t="str">
        <f>HYPERLINK("https://www.boe.es/gazeta/dias/1805/05/10/pdfs/GMD-1805-38.pdf#page=3","Abrir facsímil")</f>
        <v>Abrir facsímil</v>
      </c>
      <c r="K3888" s="15" t="s">
        <v>22</v>
      </c>
    </row>
    <row r="3889" spans="1:11" ht="42" customHeight="1">
      <c r="A3889" s="4" t="s">
        <v>8989</v>
      </c>
      <c r="B3889" s="5" t="s">
        <v>8989</v>
      </c>
      <c r="C3889" s="5" t="s">
        <v>35</v>
      </c>
      <c r="D3889" s="5" t="s">
        <v>36</v>
      </c>
      <c r="E3889" s="5" t="s">
        <v>273</v>
      </c>
      <c r="F3889" s="9">
        <v>8</v>
      </c>
      <c r="G3889" s="9">
        <v>84</v>
      </c>
      <c r="H3889" s="5" t="s">
        <v>20</v>
      </c>
      <c r="I3889" s="5" t="s">
        <v>8990</v>
      </c>
      <c r="J3889" s="12" t="str">
        <f>HYPERLINK("https://www.boe.es/gazeta/dias/1805/01/25/pdfs/GMD-1805-8.pdf#page=4","Abrir facsímil")</f>
        <v>Abrir facsímil</v>
      </c>
      <c r="K3889" s="15" t="s">
        <v>22</v>
      </c>
    </row>
    <row r="3890" spans="1:11" ht="42" customHeight="1">
      <c r="A3890" s="4" t="s">
        <v>8991</v>
      </c>
      <c r="B3890" s="5" t="s">
        <v>8992</v>
      </c>
      <c r="C3890" s="5" t="s">
        <v>80</v>
      </c>
      <c r="D3890" s="5" t="s">
        <v>81</v>
      </c>
      <c r="E3890" s="5" t="s">
        <v>209</v>
      </c>
      <c r="F3890" s="9">
        <v>89</v>
      </c>
      <c r="G3890" s="9">
        <v>946</v>
      </c>
      <c r="H3890" s="5" t="s">
        <v>20</v>
      </c>
      <c r="I3890" s="5" t="s">
        <v>8993</v>
      </c>
      <c r="J3890" s="12" t="str">
        <f>HYPERLINK("https://www.boe.es/gazeta/dias/1805/11/05/pdfs/GMD-1805-89.pdf#page=6","Abrir facsímil")</f>
        <v>Abrir facsímil</v>
      </c>
      <c r="K3890" s="15" t="s">
        <v>22</v>
      </c>
    </row>
    <row r="3891" spans="1:11" ht="42" customHeight="1">
      <c r="A3891" s="4" t="s">
        <v>8994</v>
      </c>
      <c r="B3891" s="5" t="s">
        <v>8995</v>
      </c>
      <c r="C3891" s="5" t="s">
        <v>80</v>
      </c>
      <c r="D3891" s="5" t="s">
        <v>81</v>
      </c>
      <c r="E3891" s="5" t="s">
        <v>387</v>
      </c>
      <c r="F3891" s="9">
        <v>4</v>
      </c>
      <c r="G3891" s="9">
        <v>40</v>
      </c>
      <c r="H3891" s="5" t="s">
        <v>20</v>
      </c>
      <c r="I3891" s="5" t="s">
        <v>8996</v>
      </c>
      <c r="J3891" s="12" t="str">
        <f>HYPERLINK("https://www.boe.es/gazeta/dias/1805/01/11/pdfs/GMD-1805-4.pdf#page=8","Abrir facsímil")</f>
        <v>Abrir facsímil</v>
      </c>
      <c r="K3891" s="15" t="s">
        <v>22</v>
      </c>
    </row>
    <row r="3892" spans="1:11" ht="42" customHeight="1">
      <c r="A3892" s="4" t="s">
        <v>8994</v>
      </c>
      <c r="B3892" s="5" t="s">
        <v>8995</v>
      </c>
      <c r="C3892" s="5" t="s">
        <v>80</v>
      </c>
      <c r="D3892" s="5" t="s">
        <v>81</v>
      </c>
      <c r="E3892" s="5" t="s">
        <v>200</v>
      </c>
      <c r="F3892" s="9">
        <v>91</v>
      </c>
      <c r="G3892" s="9">
        <v>970</v>
      </c>
      <c r="H3892" s="5" t="s">
        <v>20</v>
      </c>
      <c r="I3892" s="5" t="s">
        <v>8997</v>
      </c>
      <c r="J3892" s="12" t="str">
        <f>HYPERLINK("https://www.boe.es/gazeta/dias/1805/11/12/pdfs/GMD-1805-91.pdf#page=2","Abrir facsímil")</f>
        <v>Abrir facsímil</v>
      </c>
      <c r="K3892" s="15" t="s">
        <v>22</v>
      </c>
    </row>
    <row r="3893" spans="1:11" ht="42" customHeight="1">
      <c r="A3893" s="4" t="s">
        <v>8998</v>
      </c>
      <c r="B3893" s="5" t="s">
        <v>8999</v>
      </c>
      <c r="C3893" s="5" t="s">
        <v>80</v>
      </c>
      <c r="D3893" s="5" t="s">
        <v>81</v>
      </c>
      <c r="E3893" s="5" t="s">
        <v>27</v>
      </c>
      <c r="F3893" s="9">
        <v>37</v>
      </c>
      <c r="G3893" s="9">
        <v>399</v>
      </c>
      <c r="H3893" s="5" t="s">
        <v>20</v>
      </c>
      <c r="I3893" s="5" t="s">
        <v>9000</v>
      </c>
      <c r="J3893" s="12" t="str">
        <f>HYPERLINK("https://www.boe.es/gazeta/dias/1805/05/07/pdfs/GMD-1805-37.pdf#page=7","Abrir facsímil")</f>
        <v>Abrir facsímil</v>
      </c>
      <c r="K3893" s="15" t="s">
        <v>22</v>
      </c>
    </row>
    <row r="3894" spans="1:11" ht="42" customHeight="1">
      <c r="A3894" s="4" t="s">
        <v>9001</v>
      </c>
      <c r="B3894" s="5" t="s">
        <v>9002</v>
      </c>
      <c r="C3894" s="5" t="s">
        <v>17</v>
      </c>
      <c r="D3894" s="5" t="s">
        <v>18</v>
      </c>
      <c r="E3894" s="5" t="s">
        <v>135</v>
      </c>
      <c r="F3894" s="9">
        <v>71</v>
      </c>
      <c r="G3894" s="9">
        <v>753</v>
      </c>
      <c r="H3894" s="5" t="s">
        <v>20</v>
      </c>
      <c r="I3894" s="5" t="s">
        <v>9003</v>
      </c>
      <c r="J3894" s="12" t="str">
        <f>HYPERLINK("https://www.boe.es/gazeta/dias/1805/09/03/pdfs/GMD-1805-71.pdf#page=5","Abrir facsímil")</f>
        <v>Abrir facsímil</v>
      </c>
      <c r="K3894" s="15" t="s">
        <v>22</v>
      </c>
    </row>
    <row r="3895" spans="1:11" ht="42" customHeight="1">
      <c r="A3895" s="4" t="s">
        <v>9001</v>
      </c>
      <c r="B3895" s="5" t="s">
        <v>9002</v>
      </c>
      <c r="C3895" s="5" t="s">
        <v>80</v>
      </c>
      <c r="D3895" s="5" t="s">
        <v>81</v>
      </c>
      <c r="E3895" s="5" t="s">
        <v>789</v>
      </c>
      <c r="F3895" s="9">
        <v>104</v>
      </c>
      <c r="G3895" s="9">
        <v>1120</v>
      </c>
      <c r="H3895" s="5" t="s">
        <v>20</v>
      </c>
      <c r="I3895" s="5" t="s">
        <v>9004</v>
      </c>
      <c r="J3895" s="12" t="str">
        <f>HYPERLINK("https://www.boe.es/gazeta/dias/1805/12/27/pdfs/GMD-1805-104.pdf#page=4","Abrir facsímil")</f>
        <v>Abrir facsímil</v>
      </c>
      <c r="K3895" s="15" t="s">
        <v>22</v>
      </c>
    </row>
    <row r="3896" spans="1:11" ht="42" customHeight="1">
      <c r="A3896" s="4" t="s">
        <v>9005</v>
      </c>
      <c r="B3896" s="5" t="s">
        <v>9006</v>
      </c>
      <c r="C3896" s="5" t="s">
        <v>85</v>
      </c>
      <c r="D3896" s="5" t="s">
        <v>86</v>
      </c>
      <c r="E3896" s="5" t="s">
        <v>512</v>
      </c>
      <c r="F3896" s="9">
        <v>100</v>
      </c>
      <c r="G3896" s="9">
        <v>1081</v>
      </c>
      <c r="H3896" s="5" t="s">
        <v>20</v>
      </c>
      <c r="I3896" s="5" t="s">
        <v>9007</v>
      </c>
      <c r="J3896" s="12" t="str">
        <f>HYPERLINK("https://www.boe.es/gazeta/dias/1805/12/13/pdfs/GMD-1805-100.pdf#page=9","Abrir facsímil")</f>
        <v>Abrir facsímil</v>
      </c>
      <c r="K3896" s="15" t="s">
        <v>22</v>
      </c>
    </row>
    <row r="3897" spans="1:11" ht="42" customHeight="1">
      <c r="A3897" s="4" t="s">
        <v>9008</v>
      </c>
      <c r="B3897" s="5" t="s">
        <v>9009</v>
      </c>
      <c r="C3897" s="5" t="s">
        <v>35</v>
      </c>
      <c r="D3897" s="5" t="s">
        <v>36</v>
      </c>
      <c r="E3897" s="5" t="s">
        <v>138</v>
      </c>
      <c r="F3897" s="9">
        <v>102</v>
      </c>
      <c r="G3897" s="9">
        <v>1104</v>
      </c>
      <c r="H3897" s="5" t="s">
        <v>20</v>
      </c>
      <c r="I3897" s="5" t="s">
        <v>9010</v>
      </c>
      <c r="J3897" s="12" t="str">
        <f>HYPERLINK("https://www.boe.es/gazeta/dias/1805/12/20/pdfs/GMD-1805-102.pdf#page=8","Abrir facsímil")</f>
        <v>Abrir facsímil</v>
      </c>
      <c r="K3897" s="15" t="s">
        <v>22</v>
      </c>
    </row>
    <row r="3898" spans="1:11" ht="42" customHeight="1">
      <c r="A3898" s="4" t="s">
        <v>9011</v>
      </c>
      <c r="B3898" s="5" t="s">
        <v>9011</v>
      </c>
      <c r="C3898" s="5" t="s">
        <v>85</v>
      </c>
      <c r="D3898" s="5" t="s">
        <v>86</v>
      </c>
      <c r="E3898" s="5" t="s">
        <v>335</v>
      </c>
      <c r="F3898" s="9">
        <v>79</v>
      </c>
      <c r="G3898" s="9">
        <v>838</v>
      </c>
      <c r="H3898" s="5" t="s">
        <v>20</v>
      </c>
      <c r="I3898" s="5" t="s">
        <v>9012</v>
      </c>
      <c r="J3898" s="12" t="str">
        <f>HYPERLINK("https://www.boe.es/gazeta/dias/1805/10/01/pdfs/GMD-1805-79.pdf#page=10","Abrir facsímil")</f>
        <v>Abrir facsímil</v>
      </c>
      <c r="K3898" s="15" t="s">
        <v>22</v>
      </c>
    </row>
    <row r="3899" spans="1:11" ht="42" customHeight="1">
      <c r="A3899" s="4" t="s">
        <v>9013</v>
      </c>
      <c r="B3899" s="5" t="s">
        <v>9013</v>
      </c>
      <c r="C3899" s="5" t="s">
        <v>52</v>
      </c>
      <c r="D3899" s="5" t="s">
        <v>53</v>
      </c>
      <c r="E3899" s="5" t="s">
        <v>144</v>
      </c>
      <c r="F3899" s="9">
        <v>85</v>
      </c>
      <c r="G3899" s="9" t="s">
        <v>475</v>
      </c>
      <c r="H3899" s="5" t="s">
        <v>20</v>
      </c>
      <c r="I3899" s="5" t="s">
        <v>9014</v>
      </c>
      <c r="J3899" s="12" t="str">
        <f>HYPERLINK("https://www.boe.es/gazeta/dias/1805/10/22/pdfs/GMD-C-1805-85.pdf#page=5","Abrir facsímil")</f>
        <v>Abrir facsímil</v>
      </c>
      <c r="K3899" s="15" t="s">
        <v>22</v>
      </c>
    </row>
    <row r="3900" spans="1:11" ht="42" customHeight="1">
      <c r="A3900" s="4" t="s">
        <v>9015</v>
      </c>
      <c r="B3900" s="5" t="s">
        <v>9015</v>
      </c>
      <c r="C3900" s="5" t="s">
        <v>17</v>
      </c>
      <c r="D3900" s="5" t="s">
        <v>18</v>
      </c>
      <c r="E3900" s="5" t="s">
        <v>63</v>
      </c>
      <c r="F3900" s="9">
        <v>101</v>
      </c>
      <c r="G3900" s="9">
        <v>1091</v>
      </c>
      <c r="H3900" s="5" t="s">
        <v>20</v>
      </c>
      <c r="I3900" s="5" t="s">
        <v>9016</v>
      </c>
      <c r="J3900" s="12" t="str">
        <f>HYPERLINK("https://www.boe.es/gazeta/dias/1805/12/17/pdfs/GMD-1805-101.pdf#page=7","Abrir facsímil")</f>
        <v>Abrir facsímil</v>
      </c>
      <c r="K3900" s="15" t="s">
        <v>22</v>
      </c>
    </row>
    <row r="3901" spans="1:11" ht="42" customHeight="1">
      <c r="A3901" s="4" t="s">
        <v>9017</v>
      </c>
      <c r="B3901" s="5" t="s">
        <v>9017</v>
      </c>
      <c r="C3901" s="5" t="s">
        <v>35</v>
      </c>
      <c r="D3901" s="5" t="s">
        <v>36</v>
      </c>
      <c r="E3901" s="5" t="s">
        <v>506</v>
      </c>
      <c r="F3901" s="9">
        <v>80</v>
      </c>
      <c r="G3901" s="9">
        <v>850</v>
      </c>
      <c r="H3901" s="5" t="s">
        <v>20</v>
      </c>
      <c r="I3901" s="5" t="s">
        <v>9018</v>
      </c>
      <c r="J3901" s="12" t="str">
        <f>HYPERLINK("https://www.boe.es/gazeta/dias/1805/10/04/pdfs/GMD-1805-80.pdf#page=10","Abrir facsímil")</f>
        <v>Abrir facsímil</v>
      </c>
      <c r="K3901" s="15" t="s">
        <v>22</v>
      </c>
    </row>
    <row r="3902" spans="1:11" ht="42" customHeight="1">
      <c r="A3902" s="4" t="s">
        <v>9019</v>
      </c>
      <c r="B3902" s="5" t="s">
        <v>9019</v>
      </c>
      <c r="C3902" s="5" t="s">
        <v>17</v>
      </c>
      <c r="D3902" s="5" t="s">
        <v>18</v>
      </c>
      <c r="E3902" s="5" t="s">
        <v>286</v>
      </c>
      <c r="F3902" s="9">
        <v>48</v>
      </c>
      <c r="G3902" s="9">
        <v>520</v>
      </c>
      <c r="H3902" s="5" t="s">
        <v>20</v>
      </c>
      <c r="I3902" s="5" t="s">
        <v>9020</v>
      </c>
      <c r="J3902" s="12" t="str">
        <f>HYPERLINK("https://www.boe.es/gazeta/dias/1805/06/14/pdfs/GMD-1805-48.pdf#page=8","Abrir facsímil")</f>
        <v>Abrir facsímil</v>
      </c>
      <c r="K3902" s="15" t="s">
        <v>22</v>
      </c>
    </row>
    <row r="3903" spans="1:11" ht="42" customHeight="1">
      <c r="A3903" s="4" t="s">
        <v>9021</v>
      </c>
      <c r="B3903" s="5" t="s">
        <v>9022</v>
      </c>
      <c r="C3903" s="5" t="s">
        <v>85</v>
      </c>
      <c r="D3903" s="5" t="s">
        <v>86</v>
      </c>
      <c r="E3903" s="5" t="s">
        <v>286</v>
      </c>
      <c r="F3903" s="9">
        <v>48</v>
      </c>
      <c r="G3903" s="9">
        <v>522</v>
      </c>
      <c r="H3903" s="5" t="s">
        <v>20</v>
      </c>
      <c r="I3903" s="5" t="s">
        <v>9023</v>
      </c>
      <c r="J3903" s="12" t="str">
        <f>HYPERLINK("https://www.boe.es/gazeta/dias/1805/06/14/pdfs/GMD-1805-48.pdf#page=10","Abrir facsímil")</f>
        <v>Abrir facsímil</v>
      </c>
      <c r="K3903" s="15" t="s">
        <v>22</v>
      </c>
    </row>
    <row r="3904" spans="1:11" ht="42" customHeight="1">
      <c r="A3904" s="4" t="s">
        <v>9024</v>
      </c>
      <c r="B3904" s="5" t="s">
        <v>9025</v>
      </c>
      <c r="C3904" s="5" t="s">
        <v>80</v>
      </c>
      <c r="D3904" s="5" t="s">
        <v>81</v>
      </c>
      <c r="E3904" s="5" t="s">
        <v>365</v>
      </c>
      <c r="F3904" s="9">
        <v>3</v>
      </c>
      <c r="G3904" s="9">
        <v>28</v>
      </c>
      <c r="H3904" s="5" t="s">
        <v>20</v>
      </c>
      <c r="I3904" s="5" t="s">
        <v>9026</v>
      </c>
      <c r="J3904" s="12" t="str">
        <f>HYPERLINK("https://www.boe.es/gazeta/dias/1805/01/08/pdfs/GMD-1805-3.pdf#page=4","Abrir facsímil")</f>
        <v>Abrir facsímil</v>
      </c>
      <c r="K3904" s="15" t="s">
        <v>22</v>
      </c>
    </row>
    <row r="3905" spans="1:11" ht="42" customHeight="1">
      <c r="A3905" s="4" t="s">
        <v>9027</v>
      </c>
      <c r="B3905" s="5" t="s">
        <v>9028</v>
      </c>
      <c r="C3905" s="5" t="s">
        <v>80</v>
      </c>
      <c r="D3905" s="5" t="s">
        <v>81</v>
      </c>
      <c r="E3905" s="5" t="s">
        <v>213</v>
      </c>
      <c r="F3905" s="9">
        <v>56</v>
      </c>
      <c r="G3905" s="9">
        <v>594</v>
      </c>
      <c r="H3905" s="5" t="s">
        <v>20</v>
      </c>
      <c r="I3905" s="5" t="s">
        <v>9029</v>
      </c>
      <c r="J3905" s="12" t="str">
        <f>HYPERLINK("https://www.boe.es/gazeta/dias/1805/07/12/pdfs/GMD-1805-56.pdf#page=2","Abrir facsímil")</f>
        <v>Abrir facsímil</v>
      </c>
      <c r="K3905" s="15" t="s">
        <v>22</v>
      </c>
    </row>
    <row r="3906" spans="1:11" ht="42" customHeight="1">
      <c r="A3906" s="4" t="s">
        <v>9030</v>
      </c>
      <c r="B3906" s="5" t="s">
        <v>9031</v>
      </c>
      <c r="C3906" s="5" t="s">
        <v>35</v>
      </c>
      <c r="D3906" s="5" t="s">
        <v>36</v>
      </c>
      <c r="E3906" s="5" t="s">
        <v>19</v>
      </c>
      <c r="F3906" s="9">
        <v>86</v>
      </c>
      <c r="G3906" s="9">
        <v>914</v>
      </c>
      <c r="H3906" s="5" t="s">
        <v>20</v>
      </c>
      <c r="I3906" s="5" t="s">
        <v>9032</v>
      </c>
      <c r="J3906" s="12" t="str">
        <f>HYPERLINK("https://www.boe.es/gazeta/dias/1805/10/25/pdfs/GMD-1805-86.pdf#page=10","Abrir facsímil")</f>
        <v>Abrir facsímil</v>
      </c>
      <c r="K3906" s="15" t="s">
        <v>22</v>
      </c>
    </row>
    <row r="3907" spans="1:11" ht="42" customHeight="1">
      <c r="A3907" s="4" t="s">
        <v>9033</v>
      </c>
      <c r="B3907" s="5" t="s">
        <v>9034</v>
      </c>
      <c r="C3907" s="5" t="s">
        <v>52</v>
      </c>
      <c r="D3907" s="5" t="s">
        <v>53</v>
      </c>
      <c r="E3907" s="5" t="s">
        <v>144</v>
      </c>
      <c r="F3907" s="9">
        <v>85</v>
      </c>
      <c r="G3907" s="9" t="s">
        <v>772</v>
      </c>
      <c r="H3907" s="5" t="s">
        <v>20</v>
      </c>
      <c r="I3907" s="5" t="s">
        <v>9035</v>
      </c>
      <c r="J3907" s="12" t="str">
        <f>HYPERLINK("https://www.boe.es/gazeta/dias/1805/10/22/pdfs/GMD-C-1805-85.pdf#page=6","Abrir facsímil")</f>
        <v>Abrir facsímil</v>
      </c>
      <c r="K3907" s="15" t="s">
        <v>22</v>
      </c>
    </row>
    <row r="3908" spans="1:11" ht="42" customHeight="1">
      <c r="A3908" s="4" t="s">
        <v>9036</v>
      </c>
      <c r="B3908" s="5" t="s">
        <v>9037</v>
      </c>
      <c r="C3908" s="5" t="s">
        <v>80</v>
      </c>
      <c r="D3908" s="5" t="s">
        <v>81</v>
      </c>
      <c r="E3908" s="5" t="s">
        <v>512</v>
      </c>
      <c r="F3908" s="9">
        <v>100</v>
      </c>
      <c r="G3908" s="9">
        <v>1077</v>
      </c>
      <c r="H3908" s="5" t="s">
        <v>20</v>
      </c>
      <c r="I3908" s="5" t="s">
        <v>9038</v>
      </c>
      <c r="J3908" s="12" t="str">
        <f>HYPERLINK("https://www.boe.es/gazeta/dias/1805/12/13/pdfs/GMD-1805-100.pdf#page=5","Abrir facsímil")</f>
        <v>Abrir facsímil</v>
      </c>
      <c r="K3908" s="15" t="s">
        <v>22</v>
      </c>
    </row>
    <row r="3909" spans="1:11" ht="42" customHeight="1">
      <c r="A3909" s="4" t="s">
        <v>9039</v>
      </c>
      <c r="B3909" s="5" t="s">
        <v>9040</v>
      </c>
      <c r="C3909" s="5" t="s">
        <v>85</v>
      </c>
      <c r="D3909" s="5" t="s">
        <v>86</v>
      </c>
      <c r="E3909" s="5" t="s">
        <v>132</v>
      </c>
      <c r="F3909" s="9">
        <v>2</v>
      </c>
      <c r="G3909" s="9">
        <v>16</v>
      </c>
      <c r="H3909" s="5" t="s">
        <v>20</v>
      </c>
      <c r="I3909" s="5" t="s">
        <v>9041</v>
      </c>
      <c r="J3909" s="12" t="str">
        <f>HYPERLINK("https://www.boe.es/gazeta/dias/1805/01/04/pdfs/GMD-1805-2.pdf#page=4","Abrir facsímil")</f>
        <v>Abrir facsímil</v>
      </c>
      <c r="K3909" s="15" t="s">
        <v>22</v>
      </c>
    </row>
    <row r="3910" spans="1:11" ht="42" customHeight="1">
      <c r="A3910" s="4" t="s">
        <v>9042</v>
      </c>
      <c r="B3910" s="5" t="s">
        <v>9042</v>
      </c>
      <c r="C3910" s="5" t="s">
        <v>80</v>
      </c>
      <c r="D3910" s="5" t="s">
        <v>81</v>
      </c>
      <c r="E3910" s="5" t="s">
        <v>831</v>
      </c>
      <c r="F3910" s="9">
        <v>62</v>
      </c>
      <c r="G3910" s="9">
        <v>659</v>
      </c>
      <c r="H3910" s="5" t="s">
        <v>20</v>
      </c>
      <c r="I3910" s="5" t="s">
        <v>9043</v>
      </c>
      <c r="J3910" s="12" t="str">
        <f>HYPERLINK("https://www.boe.es/gazeta/dias/1805/08/02/pdfs/GMD-1805-62.pdf#page=3","Abrir facsímil")</f>
        <v>Abrir facsímil</v>
      </c>
      <c r="K3910" s="15" t="s">
        <v>22</v>
      </c>
    </row>
    <row r="3911" spans="1:11" ht="42" customHeight="1">
      <c r="A3911" s="4" t="s">
        <v>9044</v>
      </c>
      <c r="B3911" s="5" t="s">
        <v>9044</v>
      </c>
      <c r="C3911" s="5" t="s">
        <v>17</v>
      </c>
      <c r="D3911" s="5" t="s">
        <v>18</v>
      </c>
      <c r="E3911" s="5" t="s">
        <v>787</v>
      </c>
      <c r="F3911" s="9">
        <v>95</v>
      </c>
      <c r="G3911" s="9">
        <v>1019</v>
      </c>
      <c r="H3911" s="5" t="s">
        <v>20</v>
      </c>
      <c r="I3911" s="5" t="s">
        <v>9045</v>
      </c>
      <c r="J3911" s="12" t="str">
        <f>HYPERLINK("https://www.boe.es/gazeta/dias/1805/11/26/pdfs/GMD-1805-95.pdf#page=7","Abrir facsímil")</f>
        <v>Abrir facsímil</v>
      </c>
      <c r="K3911" s="15" t="s">
        <v>22</v>
      </c>
    </row>
    <row r="3912" spans="1:11" ht="42" customHeight="1">
      <c r="A3912" s="4" t="s">
        <v>9046</v>
      </c>
      <c r="B3912" s="5" t="s">
        <v>9047</v>
      </c>
      <c r="C3912" s="5" t="s">
        <v>52</v>
      </c>
      <c r="D3912" s="5" t="s">
        <v>53</v>
      </c>
      <c r="E3912" s="5" t="s">
        <v>82</v>
      </c>
      <c r="F3912" s="9">
        <v>25</v>
      </c>
      <c r="G3912" s="9" t="s">
        <v>145</v>
      </c>
      <c r="H3912" s="5" t="s">
        <v>20</v>
      </c>
      <c r="I3912" s="5" t="s">
        <v>9048</v>
      </c>
      <c r="J3912" s="12" t="str">
        <f>HYPERLINK("https://www.boe.es/gazeta/dias/1805/03/26/pdfs/GMD-C-1805-25.pdf#page=2","Abrir facsímil")</f>
        <v>Abrir facsímil</v>
      </c>
      <c r="K3912" s="15" t="s">
        <v>22</v>
      </c>
    </row>
    <row r="3913" spans="1:11" ht="42" customHeight="1">
      <c r="A3913" s="4" t="s">
        <v>9049</v>
      </c>
      <c r="B3913" s="5" t="s">
        <v>9050</v>
      </c>
      <c r="C3913" s="5" t="s">
        <v>35</v>
      </c>
      <c r="D3913" s="5" t="s">
        <v>36</v>
      </c>
      <c r="E3913" s="5" t="s">
        <v>422</v>
      </c>
      <c r="F3913" s="9">
        <v>74</v>
      </c>
      <c r="G3913" s="9">
        <v>786</v>
      </c>
      <c r="H3913" s="5" t="s">
        <v>20</v>
      </c>
      <c r="I3913" s="5" t="s">
        <v>9051</v>
      </c>
      <c r="J3913" s="12" t="str">
        <f>HYPERLINK("https://www.boe.es/gazeta/dias/1805/09/13/pdfs/GMD-1805-74.pdf#page=10","Abrir facsímil")</f>
        <v>Abrir facsímil</v>
      </c>
      <c r="K3913" s="15" t="s">
        <v>22</v>
      </c>
    </row>
    <row r="3914" spans="1:11" ht="42" customHeight="1">
      <c r="A3914" s="4" t="s">
        <v>9052</v>
      </c>
      <c r="B3914" s="5" t="s">
        <v>9052</v>
      </c>
      <c r="C3914" s="5" t="s">
        <v>17</v>
      </c>
      <c r="D3914" s="5" t="s">
        <v>18</v>
      </c>
      <c r="E3914" s="5" t="s">
        <v>76</v>
      </c>
      <c r="F3914" s="9">
        <v>66</v>
      </c>
      <c r="G3914" s="9">
        <v>710</v>
      </c>
      <c r="H3914" s="5" t="s">
        <v>20</v>
      </c>
      <c r="I3914" s="5" t="s">
        <v>9053</v>
      </c>
      <c r="J3914" s="12" t="str">
        <f>HYPERLINK("https://www.boe.es/gazeta/dias/1805/08/16/pdfs/GMD-1805-66.pdf#page=10","Abrir facsímil")</f>
        <v>Abrir facsímil</v>
      </c>
      <c r="K3914" s="15" t="s">
        <v>22</v>
      </c>
    </row>
    <row r="3915" spans="1:11" ht="42" customHeight="1">
      <c r="A3915" s="4" t="s">
        <v>9054</v>
      </c>
      <c r="B3915" s="5" t="s">
        <v>9054</v>
      </c>
      <c r="C3915" s="5" t="s">
        <v>29</v>
      </c>
      <c r="D3915" s="5" t="s">
        <v>30</v>
      </c>
      <c r="E3915" s="5" t="s">
        <v>787</v>
      </c>
      <c r="F3915" s="9">
        <v>95</v>
      </c>
      <c r="G3915" s="9">
        <v>1024</v>
      </c>
      <c r="H3915" s="5" t="s">
        <v>20</v>
      </c>
      <c r="I3915" s="5" t="s">
        <v>9055</v>
      </c>
      <c r="J3915" s="12" t="str">
        <f>HYPERLINK("https://www.boe.es/gazeta/dias/1805/11/26/pdfs/GMD-1805-95.pdf#page=12","Abrir facsímil")</f>
        <v>Abrir facsímil</v>
      </c>
      <c r="K3915" s="15" t="s">
        <v>22</v>
      </c>
    </row>
    <row r="3916" spans="1:11" ht="42" customHeight="1">
      <c r="A3916" s="4" t="s">
        <v>9056</v>
      </c>
      <c r="B3916" s="5" t="s">
        <v>9057</v>
      </c>
      <c r="C3916" s="5" t="s">
        <v>35</v>
      </c>
      <c r="D3916" s="5" t="s">
        <v>36</v>
      </c>
      <c r="E3916" s="5" t="s">
        <v>789</v>
      </c>
      <c r="F3916" s="9">
        <v>104</v>
      </c>
      <c r="G3916" s="9">
        <v>1128</v>
      </c>
      <c r="H3916" s="5" t="s">
        <v>20</v>
      </c>
      <c r="I3916" s="5" t="s">
        <v>9058</v>
      </c>
      <c r="J3916" s="12" t="str">
        <f>HYPERLINK("https://www.boe.es/gazeta/dias/1805/12/27/pdfs/GMD-1805-104.pdf#page=12","Abrir facsímil")</f>
        <v>Abrir facsímil</v>
      </c>
      <c r="K3916" s="15" t="s">
        <v>22</v>
      </c>
    </row>
    <row r="3917" spans="1:11" ht="42" customHeight="1">
      <c r="A3917" s="4" t="s">
        <v>9059</v>
      </c>
      <c r="B3917" s="5" t="s">
        <v>9060</v>
      </c>
      <c r="C3917" s="5" t="s">
        <v>184</v>
      </c>
      <c r="D3917" s="5" t="s">
        <v>86</v>
      </c>
      <c r="E3917" s="5" t="s">
        <v>120</v>
      </c>
      <c r="F3917" s="9">
        <v>24</v>
      </c>
      <c r="G3917" s="9">
        <v>258</v>
      </c>
      <c r="H3917" s="5" t="s">
        <v>20</v>
      </c>
      <c r="I3917" s="5" t="s">
        <v>9061</v>
      </c>
      <c r="J3917" s="12" t="str">
        <f>HYPERLINK("https://www.boe.es/gazeta/dias/1805/03/22/pdfs/GMD-1805-24.pdf#page=10","Abrir facsímil")</f>
        <v>Abrir facsímil</v>
      </c>
      <c r="K3917" s="15" t="s">
        <v>22</v>
      </c>
    </row>
    <row r="3918" spans="1:11" ht="42" customHeight="1">
      <c r="A3918" s="4" t="s">
        <v>9062</v>
      </c>
      <c r="B3918" s="5" t="s">
        <v>9062</v>
      </c>
      <c r="C3918" s="5" t="s">
        <v>184</v>
      </c>
      <c r="D3918" s="5" t="s">
        <v>86</v>
      </c>
      <c r="E3918" s="5" t="s">
        <v>54</v>
      </c>
      <c r="F3918" s="9">
        <v>99</v>
      </c>
      <c r="G3918" s="9">
        <v>1071</v>
      </c>
      <c r="H3918" s="5" t="s">
        <v>20</v>
      </c>
      <c r="I3918" s="5" t="s">
        <v>9063</v>
      </c>
      <c r="J3918" s="12" t="str">
        <f>HYPERLINK("https://www.boe.es/gazeta/dias/1805/12/10/pdfs/GMD-1805-99.pdf#page=11","Abrir facsímil")</f>
        <v>Abrir facsímil</v>
      </c>
      <c r="K3918" s="15" t="s">
        <v>22</v>
      </c>
    </row>
    <row r="3919" spans="1:11" ht="42" customHeight="1">
      <c r="A3919" s="4" t="s">
        <v>9064</v>
      </c>
      <c r="B3919" s="5" t="s">
        <v>9065</v>
      </c>
      <c r="C3919" s="5" t="s">
        <v>35</v>
      </c>
      <c r="D3919" s="5" t="s">
        <v>36</v>
      </c>
      <c r="E3919" s="5" t="s">
        <v>365</v>
      </c>
      <c r="F3919" s="9">
        <v>3</v>
      </c>
      <c r="G3919" s="9">
        <v>29</v>
      </c>
      <c r="H3919" s="5" t="s">
        <v>20</v>
      </c>
      <c r="I3919" s="5" t="s">
        <v>9066</v>
      </c>
      <c r="J3919" s="12" t="str">
        <f>HYPERLINK("https://www.boe.es/gazeta/dias/1805/01/08/pdfs/GMD-1805-3.pdf#page=5","Abrir facsímil")</f>
        <v>Abrir facsímil</v>
      </c>
      <c r="K3919" s="15" t="s">
        <v>22</v>
      </c>
    </row>
    <row r="3920" spans="1:11" ht="42" customHeight="1">
      <c r="A3920" s="4" t="s">
        <v>9067</v>
      </c>
      <c r="B3920" s="5" t="s">
        <v>9068</v>
      </c>
      <c r="C3920" s="5" t="s">
        <v>80</v>
      </c>
      <c r="D3920" s="5" t="s">
        <v>81</v>
      </c>
      <c r="E3920" s="5" t="s">
        <v>335</v>
      </c>
      <c r="F3920" s="9">
        <v>79</v>
      </c>
      <c r="G3920" s="9">
        <v>835</v>
      </c>
      <c r="H3920" s="5" t="s">
        <v>20</v>
      </c>
      <c r="I3920" s="5" t="s">
        <v>9069</v>
      </c>
      <c r="J3920" s="12" t="str">
        <f>HYPERLINK("https://www.boe.es/gazeta/dias/1805/10/01/pdfs/GMD-1805-79.pdf#page=7","Abrir facsímil")</f>
        <v>Abrir facsímil</v>
      </c>
      <c r="K3920" s="15" t="s">
        <v>22</v>
      </c>
    </row>
    <row r="3921" spans="1:11" ht="42" customHeight="1">
      <c r="A3921" s="4" t="s">
        <v>9070</v>
      </c>
      <c r="B3921" s="5" t="s">
        <v>9070</v>
      </c>
      <c r="C3921" s="5" t="s">
        <v>17</v>
      </c>
      <c r="D3921" s="5" t="s">
        <v>18</v>
      </c>
      <c r="E3921" s="5" t="s">
        <v>71</v>
      </c>
      <c r="F3921" s="9">
        <v>33</v>
      </c>
      <c r="G3921" s="9">
        <v>352</v>
      </c>
      <c r="H3921" s="5" t="s">
        <v>20</v>
      </c>
      <c r="I3921" s="5" t="s">
        <v>9071</v>
      </c>
      <c r="J3921" s="12" t="str">
        <f>HYPERLINK("https://www.boe.es/gazeta/dias/1805/04/23/pdfs/GMD-1805-33.pdf#page=8","Abrir facsímil")</f>
        <v>Abrir facsímil</v>
      </c>
      <c r="K3921" s="15" t="s">
        <v>22</v>
      </c>
    </row>
    <row r="3922" spans="1:11" ht="42" customHeight="1">
      <c r="A3922" s="4" t="s">
        <v>9072</v>
      </c>
      <c r="B3922" s="5" t="s">
        <v>9073</v>
      </c>
      <c r="C3922" s="5" t="s">
        <v>80</v>
      </c>
      <c r="D3922" s="5" t="s">
        <v>81</v>
      </c>
      <c r="E3922" s="5" t="s">
        <v>327</v>
      </c>
      <c r="F3922" s="9">
        <v>10</v>
      </c>
      <c r="G3922" s="9">
        <v>106</v>
      </c>
      <c r="H3922" s="5" t="s">
        <v>20</v>
      </c>
      <c r="I3922" s="5" t="s">
        <v>9074</v>
      </c>
      <c r="J3922" s="12" t="str">
        <f>HYPERLINK("https://www.boe.es/gazeta/dias/1805/02/01/pdfs/GMD-1805-10.pdf#page=2","Abrir facsímil")</f>
        <v>Abrir facsímil</v>
      </c>
      <c r="K3922" s="15" t="s">
        <v>22</v>
      </c>
    </row>
    <row r="3923" spans="1:11" ht="42" customHeight="1">
      <c r="A3923" s="4" t="s">
        <v>9072</v>
      </c>
      <c r="B3923" s="5" t="s">
        <v>9073</v>
      </c>
      <c r="C3923" s="5" t="s">
        <v>80</v>
      </c>
      <c r="D3923" s="5" t="s">
        <v>81</v>
      </c>
      <c r="E3923" s="5" t="s">
        <v>44</v>
      </c>
      <c r="F3923" s="9">
        <v>29</v>
      </c>
      <c r="G3923" s="9">
        <v>307</v>
      </c>
      <c r="H3923" s="5" t="s">
        <v>20</v>
      </c>
      <c r="I3923" s="5" t="s">
        <v>9075</v>
      </c>
      <c r="J3923" s="12" t="str">
        <f>HYPERLINK("https://www.boe.es/gazeta/dias/1805/04/09/pdfs/GMD-1805-29.pdf#page=3","Abrir facsímil")</f>
        <v>Abrir facsímil</v>
      </c>
      <c r="K3923" s="15" t="s">
        <v>22</v>
      </c>
    </row>
    <row r="3924" spans="1:11" ht="42" customHeight="1">
      <c r="A3924" s="4" t="s">
        <v>9076</v>
      </c>
      <c r="B3924" s="5" t="s">
        <v>9077</v>
      </c>
      <c r="C3924" s="5" t="s">
        <v>184</v>
      </c>
      <c r="D3924" s="5" t="s">
        <v>86</v>
      </c>
      <c r="E3924" s="5" t="s">
        <v>103</v>
      </c>
      <c r="F3924" s="9">
        <v>30</v>
      </c>
      <c r="G3924" s="9">
        <v>321</v>
      </c>
      <c r="H3924" s="5" t="s">
        <v>20</v>
      </c>
      <c r="I3924" s="5" t="s">
        <v>9078</v>
      </c>
      <c r="J3924" s="12" t="str">
        <f>HYPERLINK("https://www.boe.es/gazeta/dias/1805/04/12/pdfs/GMD-1805-30.pdf#page=5","Abrir facsímil")</f>
        <v>Abrir facsímil</v>
      </c>
      <c r="K3924" s="15" t="s">
        <v>22</v>
      </c>
    </row>
    <row r="3925" spans="1:11" ht="42" customHeight="1">
      <c r="A3925" s="4" t="s">
        <v>9072</v>
      </c>
      <c r="B3925" s="5" t="s">
        <v>9073</v>
      </c>
      <c r="C3925" s="5" t="s">
        <v>80</v>
      </c>
      <c r="D3925" s="5" t="s">
        <v>81</v>
      </c>
      <c r="E3925" s="5" t="s">
        <v>393</v>
      </c>
      <c r="F3925" s="9">
        <v>44</v>
      </c>
      <c r="G3925" s="9">
        <v>467</v>
      </c>
      <c r="H3925" s="5" t="s">
        <v>20</v>
      </c>
      <c r="I3925" s="5" t="s">
        <v>9079</v>
      </c>
      <c r="J3925" s="12" t="str">
        <f>HYPERLINK("https://www.boe.es/gazeta/dias/1805/05/31/pdfs/GMD-1805-44.pdf#page=3","Abrir facsímil")</f>
        <v>Abrir facsímil</v>
      </c>
      <c r="K3925" s="15" t="s">
        <v>22</v>
      </c>
    </row>
    <row r="3926" spans="1:11" ht="42" customHeight="1">
      <c r="A3926" s="4" t="s">
        <v>9072</v>
      </c>
      <c r="B3926" s="5" t="s">
        <v>9073</v>
      </c>
      <c r="C3926" s="5" t="s">
        <v>17</v>
      </c>
      <c r="D3926" s="5" t="s">
        <v>18</v>
      </c>
      <c r="E3926" s="5" t="s">
        <v>393</v>
      </c>
      <c r="F3926" s="9">
        <v>44</v>
      </c>
      <c r="G3926" s="9">
        <v>472</v>
      </c>
      <c r="H3926" s="5" t="s">
        <v>20</v>
      </c>
      <c r="I3926" s="5" t="s">
        <v>9080</v>
      </c>
      <c r="J3926" s="12" t="str">
        <f>HYPERLINK("https://www.boe.es/gazeta/dias/1805/05/31/pdfs/GMD-1805-44.pdf#page=8","Abrir facsímil")</f>
        <v>Abrir facsímil</v>
      </c>
      <c r="K3926" s="15" t="s">
        <v>22</v>
      </c>
    </row>
    <row r="3927" spans="1:11" ht="42" customHeight="1">
      <c r="A3927" s="4" t="s">
        <v>9072</v>
      </c>
      <c r="B3927" s="5" t="s">
        <v>9073</v>
      </c>
      <c r="C3927" s="5" t="s">
        <v>17</v>
      </c>
      <c r="D3927" s="5" t="s">
        <v>18</v>
      </c>
      <c r="E3927" s="5" t="s">
        <v>1432</v>
      </c>
      <c r="F3927" s="9">
        <v>53</v>
      </c>
      <c r="G3927" s="9">
        <v>570</v>
      </c>
      <c r="H3927" s="5" t="s">
        <v>20</v>
      </c>
      <c r="I3927" s="5" t="s">
        <v>9081</v>
      </c>
      <c r="J3927" s="12" t="str">
        <f>HYPERLINK("https://www.boe.es/gazeta/dias/1805/07/02/pdfs/GMD-1805-53.pdf#page=6","Abrir facsímil")</f>
        <v>Abrir facsímil</v>
      </c>
      <c r="K3927" s="15" t="s">
        <v>22</v>
      </c>
    </row>
    <row r="3928" spans="1:11" ht="42" customHeight="1">
      <c r="A3928" s="4" t="s">
        <v>9082</v>
      </c>
      <c r="B3928" s="5" t="s">
        <v>9083</v>
      </c>
      <c r="C3928" s="5" t="s">
        <v>80</v>
      </c>
      <c r="D3928" s="5" t="s">
        <v>81</v>
      </c>
      <c r="E3928" s="5" t="s">
        <v>1494</v>
      </c>
      <c r="F3928" s="9">
        <v>31</v>
      </c>
      <c r="G3928" s="9">
        <v>325</v>
      </c>
      <c r="H3928" s="5" t="s">
        <v>20</v>
      </c>
      <c r="I3928" s="5" t="s">
        <v>9084</v>
      </c>
      <c r="J3928" s="12" t="str">
        <f>HYPERLINK("https://www.boe.es/gazeta/dias/1805/04/16/pdfs/GMD-1805-31.pdf#page=1","Abrir facsímil")</f>
        <v>Abrir facsímil</v>
      </c>
      <c r="K3928" s="15" t="s">
        <v>22</v>
      </c>
    </row>
    <row r="3929" spans="1:11" ht="42" customHeight="1">
      <c r="A3929" s="4" t="s">
        <v>9085</v>
      </c>
      <c r="B3929" s="5" t="s">
        <v>9086</v>
      </c>
      <c r="C3929" s="5" t="s">
        <v>184</v>
      </c>
      <c r="D3929" s="5" t="s">
        <v>86</v>
      </c>
      <c r="E3929" s="5" t="s">
        <v>854</v>
      </c>
      <c r="F3929" s="9">
        <v>46</v>
      </c>
      <c r="G3929" s="9">
        <v>500</v>
      </c>
      <c r="H3929" s="5" t="s">
        <v>20</v>
      </c>
      <c r="I3929" s="5" t="s">
        <v>9087</v>
      </c>
      <c r="J3929" s="12" t="str">
        <f>HYPERLINK("https://www.boe.es/gazeta/dias/1805/06/07/pdfs/GMD-1805-46.pdf#page=12","Abrir facsímil")</f>
        <v>Abrir facsímil</v>
      </c>
      <c r="K3929" s="15" t="s">
        <v>22</v>
      </c>
    </row>
    <row r="3930" spans="1:11" ht="42" customHeight="1">
      <c r="A3930" s="4" t="s">
        <v>9088</v>
      </c>
      <c r="B3930" s="5" t="s">
        <v>9089</v>
      </c>
      <c r="C3930" s="5" t="s">
        <v>17</v>
      </c>
      <c r="D3930" s="5" t="s">
        <v>18</v>
      </c>
      <c r="E3930" s="5" t="s">
        <v>733</v>
      </c>
      <c r="F3930" s="9">
        <v>45</v>
      </c>
      <c r="G3930" s="9">
        <v>484</v>
      </c>
      <c r="H3930" s="5" t="s">
        <v>20</v>
      </c>
      <c r="I3930" s="5" t="s">
        <v>9090</v>
      </c>
      <c r="J3930" s="12" t="str">
        <f>HYPERLINK("https://www.boe.es/gazeta/dias/1805/06/04/pdfs/GMD-1805-45.pdf#page=8","Abrir facsímil")</f>
        <v>Abrir facsímil</v>
      </c>
      <c r="K3930" s="15" t="s">
        <v>22</v>
      </c>
    </row>
    <row r="3931" spans="1:11" ht="42" customHeight="1">
      <c r="A3931" s="4" t="s">
        <v>9091</v>
      </c>
      <c r="B3931" s="5" t="s">
        <v>9092</v>
      </c>
      <c r="C3931" s="5" t="s">
        <v>35</v>
      </c>
      <c r="D3931" s="5" t="s">
        <v>36</v>
      </c>
      <c r="E3931" s="5" t="s">
        <v>506</v>
      </c>
      <c r="F3931" s="9">
        <v>80</v>
      </c>
      <c r="G3931" s="9">
        <v>842</v>
      </c>
      <c r="H3931" s="5" t="s">
        <v>20</v>
      </c>
      <c r="I3931" s="5" t="s">
        <v>9093</v>
      </c>
      <c r="J3931" s="12" t="str">
        <f>HYPERLINK("https://www.boe.es/gazeta/dias/1805/10/04/pdfs/GMD-1805-80.pdf#page=2","Abrir facsímil")</f>
        <v>Abrir facsímil</v>
      </c>
      <c r="K3931" s="15" t="s">
        <v>22</v>
      </c>
    </row>
    <row r="3932" spans="1:11" ht="42" customHeight="1">
      <c r="A3932" s="4" t="s">
        <v>9094</v>
      </c>
      <c r="B3932" s="5" t="s">
        <v>9094</v>
      </c>
      <c r="C3932" s="5" t="s">
        <v>80</v>
      </c>
      <c r="D3932" s="5" t="s">
        <v>81</v>
      </c>
      <c r="E3932" s="5" t="s">
        <v>831</v>
      </c>
      <c r="F3932" s="9">
        <v>62</v>
      </c>
      <c r="G3932" s="9">
        <v>661</v>
      </c>
      <c r="H3932" s="5" t="s">
        <v>20</v>
      </c>
      <c r="I3932" s="5" t="s">
        <v>9095</v>
      </c>
      <c r="J3932" s="12" t="str">
        <f>HYPERLINK("https://www.boe.es/gazeta/dias/1805/08/02/pdfs/GMD-1805-62.pdf#page=5","Abrir facsímil")</f>
        <v>Abrir facsímil</v>
      </c>
      <c r="K3932" s="15" t="s">
        <v>22</v>
      </c>
    </row>
    <row r="3933" spans="1:11" ht="42" customHeight="1">
      <c r="A3933" s="4" t="s">
        <v>9096</v>
      </c>
      <c r="B3933" s="5" t="s">
        <v>9096</v>
      </c>
      <c r="C3933" s="5" t="s">
        <v>80</v>
      </c>
      <c r="D3933" s="5" t="s">
        <v>81</v>
      </c>
      <c r="E3933" s="5" t="s">
        <v>286</v>
      </c>
      <c r="F3933" s="9">
        <v>48</v>
      </c>
      <c r="G3933" s="9">
        <v>513</v>
      </c>
      <c r="H3933" s="5" t="s">
        <v>20</v>
      </c>
      <c r="I3933" s="5" t="s">
        <v>9097</v>
      </c>
      <c r="J3933" s="12" t="str">
        <f>HYPERLINK("https://www.boe.es/gazeta/dias/1805/06/14/pdfs/GMD-1805-48.pdf#page=1","Abrir facsímil")</f>
        <v>Abrir facsímil</v>
      </c>
      <c r="K3933" s="15" t="s">
        <v>22</v>
      </c>
    </row>
    <row r="3934" spans="1:11" ht="42" customHeight="1">
      <c r="A3934" s="4" t="s">
        <v>9098</v>
      </c>
      <c r="B3934" s="5" t="s">
        <v>9099</v>
      </c>
      <c r="C3934" s="5" t="s">
        <v>17</v>
      </c>
      <c r="D3934" s="5" t="s">
        <v>18</v>
      </c>
      <c r="E3934" s="5" t="s">
        <v>399</v>
      </c>
      <c r="F3934" s="9">
        <v>39</v>
      </c>
      <c r="G3934" s="9">
        <v>422</v>
      </c>
      <c r="H3934" s="5" t="s">
        <v>20</v>
      </c>
      <c r="I3934" s="5" t="s">
        <v>9100</v>
      </c>
      <c r="J3934" s="12" t="str">
        <f>HYPERLINK("https://www.boe.es/gazeta/dias/1805/05/14/pdfs/GMD-1805-39.pdf#page=10","Abrir facsímil")</f>
        <v>Abrir facsímil</v>
      </c>
      <c r="K3934" s="15" t="s">
        <v>22</v>
      </c>
    </row>
    <row r="3935" spans="1:11" ht="42" customHeight="1">
      <c r="A3935" s="4" t="s">
        <v>9101</v>
      </c>
      <c r="B3935" s="5" t="s">
        <v>9102</v>
      </c>
      <c r="C3935" s="5" t="s">
        <v>35</v>
      </c>
      <c r="D3935" s="5" t="s">
        <v>36</v>
      </c>
      <c r="E3935" s="5" t="s">
        <v>539</v>
      </c>
      <c r="F3935" s="9">
        <v>97</v>
      </c>
      <c r="G3935" s="9">
        <v>1045</v>
      </c>
      <c r="H3935" s="5" t="s">
        <v>20</v>
      </c>
      <c r="I3935" s="5" t="s">
        <v>9103</v>
      </c>
      <c r="J3935" s="12" t="str">
        <f>HYPERLINK("https://www.boe.es/gazeta/dias/1805/12/03/pdfs/GMD-1805-97.pdf#page=9","Abrir facsímil")</f>
        <v>Abrir facsímil</v>
      </c>
      <c r="K3935" s="15" t="s">
        <v>22</v>
      </c>
    </row>
    <row r="3936" spans="1:11" ht="42" customHeight="1">
      <c r="A3936" s="4" t="s">
        <v>9104</v>
      </c>
      <c r="B3936" s="5" t="s">
        <v>9105</v>
      </c>
      <c r="C3936" s="5" t="s">
        <v>35</v>
      </c>
      <c r="D3936" s="5" t="s">
        <v>36</v>
      </c>
      <c r="E3936" s="5" t="s">
        <v>854</v>
      </c>
      <c r="F3936" s="9">
        <v>46</v>
      </c>
      <c r="G3936" s="9">
        <v>499</v>
      </c>
      <c r="H3936" s="5" t="s">
        <v>20</v>
      </c>
      <c r="I3936" s="5" t="s">
        <v>9106</v>
      </c>
      <c r="J3936" s="12" t="str">
        <f>HYPERLINK("https://www.boe.es/gazeta/dias/1805/06/07/pdfs/GMD-1805-46.pdf#page=11","Abrir facsímil")</f>
        <v>Abrir facsímil</v>
      </c>
      <c r="K3936" s="15" t="s">
        <v>22</v>
      </c>
    </row>
    <row r="3937" spans="1:11" ht="42" customHeight="1">
      <c r="A3937" s="4" t="s">
        <v>9107</v>
      </c>
      <c r="B3937" s="5" t="s">
        <v>9108</v>
      </c>
      <c r="C3937" s="5" t="s">
        <v>29</v>
      </c>
      <c r="D3937" s="5" t="s">
        <v>30</v>
      </c>
      <c r="E3937" s="5" t="s">
        <v>290</v>
      </c>
      <c r="F3937" s="9">
        <v>36</v>
      </c>
      <c r="G3937" s="9">
        <v>392</v>
      </c>
      <c r="H3937" s="5" t="s">
        <v>20</v>
      </c>
      <c r="I3937" s="5" t="s">
        <v>9109</v>
      </c>
      <c r="J3937" s="12" t="str">
        <f>HYPERLINK("https://www.boe.es/gazeta/dias/1805/05/03/pdfs/GMD-1805-36.pdf#page=12","Abrir facsímil")</f>
        <v>Abrir facsímil</v>
      </c>
      <c r="K3937" s="15" t="s">
        <v>22</v>
      </c>
    </row>
    <row r="3938" spans="1:11" ht="42" customHeight="1">
      <c r="A3938" s="4" t="s">
        <v>9110</v>
      </c>
      <c r="B3938" s="5" t="s">
        <v>9111</v>
      </c>
      <c r="C3938" s="5" t="s">
        <v>52</v>
      </c>
      <c r="D3938" s="5" t="s">
        <v>53</v>
      </c>
      <c r="E3938" s="5" t="s">
        <v>54</v>
      </c>
      <c r="F3938" s="9">
        <v>99</v>
      </c>
      <c r="G3938" s="9" t="s">
        <v>222</v>
      </c>
      <c r="H3938" s="5" t="s">
        <v>20</v>
      </c>
      <c r="I3938" s="5" t="s">
        <v>9112</v>
      </c>
      <c r="J3938" s="12" t="str">
        <f>HYPERLINK("https://www.boe.es/gazeta/dias/1805/12/10/pdfs/GMD-C-1805-99.pdf#page=1","Abrir facsímil")</f>
        <v>Abrir facsímil</v>
      </c>
      <c r="K3938" s="15" t="s">
        <v>22</v>
      </c>
    </row>
    <row r="3939" spans="1:11" ht="42" customHeight="1">
      <c r="A3939" s="4" t="s">
        <v>9113</v>
      </c>
      <c r="B3939" s="5" t="s">
        <v>9114</v>
      </c>
      <c r="C3939" s="5" t="s">
        <v>184</v>
      </c>
      <c r="D3939" s="5" t="s">
        <v>86</v>
      </c>
      <c r="E3939" s="5" t="s">
        <v>71</v>
      </c>
      <c r="F3939" s="9">
        <v>33</v>
      </c>
      <c r="G3939" s="9">
        <v>355</v>
      </c>
      <c r="H3939" s="5" t="s">
        <v>20</v>
      </c>
      <c r="I3939" s="5" t="s">
        <v>9115</v>
      </c>
      <c r="J3939" s="12" t="str">
        <f>HYPERLINK("https://www.boe.es/gazeta/dias/1805/04/23/pdfs/GMD-1805-33.pdf#page=11","Abrir facsímil")</f>
        <v>Abrir facsímil</v>
      </c>
      <c r="K3939" s="15" t="s">
        <v>22</v>
      </c>
    </row>
    <row r="3940" spans="1:11" ht="42" customHeight="1">
      <c r="A3940" s="4" t="s">
        <v>9116</v>
      </c>
      <c r="B3940" s="5" t="s">
        <v>9117</v>
      </c>
      <c r="C3940" s="5" t="s">
        <v>35</v>
      </c>
      <c r="D3940" s="5" t="s">
        <v>36</v>
      </c>
      <c r="E3940" s="5" t="s">
        <v>163</v>
      </c>
      <c r="F3940" s="9">
        <v>77</v>
      </c>
      <c r="G3940" s="9">
        <v>818</v>
      </c>
      <c r="H3940" s="5" t="s">
        <v>20</v>
      </c>
      <c r="I3940" s="5" t="s">
        <v>9118</v>
      </c>
      <c r="J3940" s="12" t="str">
        <f>HYPERLINK("https://www.boe.es/gazeta/dias/1805/09/24/pdfs/GMD-1805-77.pdf#page=10","Abrir facsímil")</f>
        <v>Abrir facsímil</v>
      </c>
      <c r="K3940" s="15" t="s">
        <v>22</v>
      </c>
    </row>
    <row r="3941" spans="1:11" ht="42" customHeight="1">
      <c r="A3941" s="4" t="s">
        <v>9119</v>
      </c>
      <c r="B3941" s="5" t="s">
        <v>9120</v>
      </c>
      <c r="C3941" s="5" t="s">
        <v>17</v>
      </c>
      <c r="D3941" s="5" t="s">
        <v>18</v>
      </c>
      <c r="E3941" s="5" t="s">
        <v>293</v>
      </c>
      <c r="F3941" s="9">
        <v>5</v>
      </c>
      <c r="G3941" s="9">
        <v>53</v>
      </c>
      <c r="H3941" s="5" t="s">
        <v>20</v>
      </c>
      <c r="I3941" s="5" t="s">
        <v>9121</v>
      </c>
      <c r="J3941" s="12" t="str">
        <f>HYPERLINK("https://www.boe.es/gazeta/dias/1805/01/15/pdfs/GMD-1805-5.pdf#page=9","Abrir facsímil")</f>
        <v>Abrir facsímil</v>
      </c>
      <c r="K3941" s="15" t="s">
        <v>22</v>
      </c>
    </row>
    <row r="3942" spans="1:11" ht="42" customHeight="1">
      <c r="A3942" s="4" t="s">
        <v>9122</v>
      </c>
      <c r="B3942" s="5" t="s">
        <v>9123</v>
      </c>
      <c r="C3942" s="5" t="s">
        <v>35</v>
      </c>
      <c r="D3942" s="5" t="s">
        <v>36</v>
      </c>
      <c r="E3942" s="5" t="s">
        <v>711</v>
      </c>
      <c r="F3942" s="9">
        <v>63</v>
      </c>
      <c r="G3942" s="9">
        <v>673</v>
      </c>
      <c r="H3942" s="5" t="s">
        <v>20</v>
      </c>
      <c r="I3942" s="5" t="s">
        <v>9124</v>
      </c>
      <c r="J3942" s="12" t="str">
        <f>HYPERLINK("https://www.boe.es/gazeta/dias/1805/08/06/pdfs/GMD-1805-63.pdf#page=9","Abrir facsímil")</f>
        <v>Abrir facsímil</v>
      </c>
      <c r="K3942" s="15" t="s">
        <v>22</v>
      </c>
    </row>
    <row r="3943" spans="1:11" ht="42" customHeight="1">
      <c r="A3943" s="4" t="s">
        <v>9125</v>
      </c>
      <c r="B3943" s="5" t="s">
        <v>9126</v>
      </c>
      <c r="C3943" s="5" t="s">
        <v>17</v>
      </c>
      <c r="D3943" s="5" t="s">
        <v>18</v>
      </c>
      <c r="E3943" s="5" t="s">
        <v>886</v>
      </c>
      <c r="F3943" s="9">
        <v>93</v>
      </c>
      <c r="G3943" s="9">
        <v>1000</v>
      </c>
      <c r="H3943" s="5" t="s">
        <v>20</v>
      </c>
      <c r="I3943" s="5" t="s">
        <v>9127</v>
      </c>
      <c r="J3943" s="12" t="str">
        <f>HYPERLINK("https://www.boe.es/gazeta/dias/1805/11/19/pdfs/GMD-1805-93.pdf#page=12","Abrir facsímil")</f>
        <v>Abrir facsímil</v>
      </c>
      <c r="K3943" s="15" t="s">
        <v>22</v>
      </c>
    </row>
    <row r="3944" spans="1:11" ht="42" customHeight="1">
      <c r="A3944" s="4" t="s">
        <v>9128</v>
      </c>
      <c r="B3944" s="5" t="s">
        <v>9129</v>
      </c>
      <c r="C3944" s="5" t="s">
        <v>17</v>
      </c>
      <c r="D3944" s="5" t="s">
        <v>18</v>
      </c>
      <c r="E3944" s="5" t="s">
        <v>958</v>
      </c>
      <c r="F3944" s="9">
        <v>58</v>
      </c>
      <c r="G3944" s="9">
        <v>621</v>
      </c>
      <c r="H3944" s="5" t="s">
        <v>20</v>
      </c>
      <c r="I3944" s="5" t="s">
        <v>9130</v>
      </c>
      <c r="J3944" s="12" t="str">
        <f>HYPERLINK("https://www.boe.es/gazeta/dias/1805/07/19/pdfs/GMD-1805-58.pdf#page=5","Abrir facsímil")</f>
        <v>Abrir facsímil</v>
      </c>
      <c r="K3944" s="15" t="s">
        <v>22</v>
      </c>
    </row>
    <row r="3945" spans="1:11" ht="42" customHeight="1">
      <c r="A3945" s="4" t="s">
        <v>9131</v>
      </c>
      <c r="B3945" s="5" t="s">
        <v>9132</v>
      </c>
      <c r="C3945" s="5" t="s">
        <v>35</v>
      </c>
      <c r="D3945" s="5" t="s">
        <v>36</v>
      </c>
      <c r="E3945" s="5" t="s">
        <v>456</v>
      </c>
      <c r="F3945" s="9">
        <v>70</v>
      </c>
      <c r="G3945" s="9">
        <v>746</v>
      </c>
      <c r="H3945" s="5" t="s">
        <v>20</v>
      </c>
      <c r="I3945" s="5" t="s">
        <v>9133</v>
      </c>
      <c r="J3945" s="12" t="str">
        <f>HYPERLINK("https://www.boe.es/gazeta/dias/1805/08/30/pdfs/GMD-1805-70.pdf#page=6","Abrir facsímil")</f>
        <v>Abrir facsímil</v>
      </c>
      <c r="K3945" s="15" t="s">
        <v>22</v>
      </c>
    </row>
    <row r="3946" spans="1:11" ht="42" customHeight="1">
      <c r="A3946" s="4" t="s">
        <v>9134</v>
      </c>
      <c r="B3946" s="5" t="s">
        <v>9135</v>
      </c>
      <c r="C3946" s="5" t="s">
        <v>52</v>
      </c>
      <c r="D3946" s="5" t="s">
        <v>53</v>
      </c>
      <c r="E3946" s="5" t="s">
        <v>82</v>
      </c>
      <c r="F3946" s="9">
        <v>25</v>
      </c>
      <c r="G3946" s="9" t="s">
        <v>145</v>
      </c>
      <c r="H3946" s="5" t="s">
        <v>20</v>
      </c>
      <c r="I3946" s="5" t="s">
        <v>9136</v>
      </c>
      <c r="J3946" s="12" t="str">
        <f>HYPERLINK("https://www.boe.es/gazeta/dias/1805/03/26/pdfs/GMD-C-1805-25.pdf#page=2","Abrir facsímil")</f>
        <v>Abrir facsímil</v>
      </c>
      <c r="K3946" s="15" t="s">
        <v>22</v>
      </c>
    </row>
    <row r="3947" spans="1:11" ht="42" customHeight="1">
      <c r="A3947" s="4" t="s">
        <v>9137</v>
      </c>
      <c r="B3947" s="5" t="s">
        <v>9138</v>
      </c>
      <c r="C3947" s="5" t="s">
        <v>80</v>
      </c>
      <c r="D3947" s="5" t="s">
        <v>81</v>
      </c>
      <c r="E3947" s="5" t="s">
        <v>19</v>
      </c>
      <c r="F3947" s="9">
        <v>86</v>
      </c>
      <c r="G3947" s="9">
        <v>909</v>
      </c>
      <c r="H3947" s="5" t="s">
        <v>20</v>
      </c>
      <c r="I3947" s="5" t="s">
        <v>9139</v>
      </c>
      <c r="J3947" s="12" t="str">
        <f>HYPERLINK("https://www.boe.es/gazeta/dias/1805/10/25/pdfs/GMD-1805-86.pdf#page=5","Abrir facsímil")</f>
        <v>Abrir facsímil</v>
      </c>
      <c r="K3947" s="15" t="s">
        <v>22</v>
      </c>
    </row>
    <row r="3948" spans="1:11" ht="42" customHeight="1">
      <c r="A3948" s="4" t="s">
        <v>9140</v>
      </c>
      <c r="B3948" s="5" t="s">
        <v>9141</v>
      </c>
      <c r="C3948" s="5" t="s">
        <v>17</v>
      </c>
      <c r="D3948" s="5" t="s">
        <v>18</v>
      </c>
      <c r="E3948" s="5" t="s">
        <v>24</v>
      </c>
      <c r="F3948" s="9">
        <v>11</v>
      </c>
      <c r="G3948" s="9">
        <v>121</v>
      </c>
      <c r="H3948" s="5" t="s">
        <v>20</v>
      </c>
      <c r="I3948" s="5" t="s">
        <v>9142</v>
      </c>
      <c r="J3948" s="12" t="str">
        <f>HYPERLINK("https://www.boe.es/gazeta/dias/1805/02/05/pdfs/GMD-1805-11.pdf#page=9","Abrir facsímil")</f>
        <v>Abrir facsímil</v>
      </c>
      <c r="K3948" s="15" t="s">
        <v>22</v>
      </c>
    </row>
    <row r="3949" spans="1:11" ht="42" customHeight="1">
      <c r="A3949" s="4" t="s">
        <v>9143</v>
      </c>
      <c r="B3949" s="5" t="s">
        <v>9144</v>
      </c>
      <c r="C3949" s="5" t="s">
        <v>85</v>
      </c>
      <c r="D3949" s="5" t="s">
        <v>86</v>
      </c>
      <c r="E3949" s="5" t="s">
        <v>356</v>
      </c>
      <c r="F3949" s="9">
        <v>12</v>
      </c>
      <c r="G3949" s="9">
        <v>132</v>
      </c>
      <c r="H3949" s="5" t="s">
        <v>20</v>
      </c>
      <c r="I3949" s="5" t="s">
        <v>9145</v>
      </c>
      <c r="J3949" s="12" t="str">
        <f>HYPERLINK("https://www.boe.es/gazeta/dias/1805/02/08/pdfs/GMD-1805-12.pdf#page=8","Abrir facsímil")</f>
        <v>Abrir facsímil</v>
      </c>
      <c r="K3949" s="15" t="s">
        <v>22</v>
      </c>
    </row>
    <row r="3950" spans="1:11" ht="42" customHeight="1">
      <c r="A3950" s="4" t="s">
        <v>9146</v>
      </c>
      <c r="B3950" s="5" t="s">
        <v>9146</v>
      </c>
      <c r="C3950" s="5" t="s">
        <v>80</v>
      </c>
      <c r="D3950" s="5" t="s">
        <v>81</v>
      </c>
      <c r="E3950" s="5" t="s">
        <v>117</v>
      </c>
      <c r="F3950" s="9">
        <v>20</v>
      </c>
      <c r="G3950" s="9">
        <v>203</v>
      </c>
      <c r="H3950" s="5" t="s">
        <v>20</v>
      </c>
      <c r="I3950" s="5" t="s">
        <v>9147</v>
      </c>
      <c r="J3950" s="12" t="str">
        <f>HYPERLINK("https://www.boe.es/gazeta/dias/1805/03/08/pdfs/GMD-1805-20.pdf#page=3","Abrir facsímil")</f>
        <v>Abrir facsímil</v>
      </c>
      <c r="K3950" s="15" t="s">
        <v>22</v>
      </c>
    </row>
    <row r="3951" spans="1:11" ht="42" customHeight="1">
      <c r="A3951" s="4" t="s">
        <v>9148</v>
      </c>
      <c r="B3951" s="5" t="s">
        <v>9148</v>
      </c>
      <c r="C3951" s="5" t="s">
        <v>80</v>
      </c>
      <c r="D3951" s="5" t="s">
        <v>81</v>
      </c>
      <c r="E3951" s="5" t="s">
        <v>276</v>
      </c>
      <c r="F3951" s="9">
        <v>51</v>
      </c>
      <c r="G3951" s="9">
        <v>546</v>
      </c>
      <c r="H3951" s="5" t="s">
        <v>20</v>
      </c>
      <c r="I3951" s="5" t="s">
        <v>9149</v>
      </c>
      <c r="J3951" s="12" t="str">
        <f>HYPERLINK("https://www.boe.es/gazeta/dias/1805/06/25/pdfs/GMD-1805-51.pdf#page=2","Abrir facsímil")</f>
        <v>Abrir facsímil</v>
      </c>
      <c r="K3951" s="15" t="s">
        <v>22</v>
      </c>
    </row>
    <row r="3952" spans="1:11" ht="42" customHeight="1">
      <c r="A3952" s="4" t="s">
        <v>9150</v>
      </c>
      <c r="B3952" s="5" t="s">
        <v>9151</v>
      </c>
      <c r="C3952" s="5" t="s">
        <v>52</v>
      </c>
      <c r="D3952" s="5" t="s">
        <v>53</v>
      </c>
      <c r="E3952" s="5" t="s">
        <v>144</v>
      </c>
      <c r="F3952" s="9">
        <v>85</v>
      </c>
      <c r="G3952" s="9" t="s">
        <v>1002</v>
      </c>
      <c r="H3952" s="5" t="s">
        <v>20</v>
      </c>
      <c r="I3952" s="5" t="s">
        <v>9152</v>
      </c>
      <c r="J3952" s="12" t="str">
        <f>HYPERLINK("https://www.boe.es/gazeta/dias/1805/10/22/pdfs/GMD-C-1805-85.pdf#page=7","Abrir facsímil")</f>
        <v>Abrir facsímil</v>
      </c>
      <c r="K3952" s="15" t="s">
        <v>22</v>
      </c>
    </row>
    <row r="3953" spans="1:11" ht="42" customHeight="1">
      <c r="A3953" s="4" t="s">
        <v>9153</v>
      </c>
      <c r="B3953" s="5" t="s">
        <v>9154</v>
      </c>
      <c r="C3953" s="5" t="s">
        <v>17</v>
      </c>
      <c r="D3953" s="5" t="s">
        <v>18</v>
      </c>
      <c r="E3953" s="5" t="s">
        <v>200</v>
      </c>
      <c r="F3953" s="9">
        <v>91</v>
      </c>
      <c r="G3953" s="9">
        <v>977</v>
      </c>
      <c r="H3953" s="5" t="s">
        <v>20</v>
      </c>
      <c r="I3953" s="5" t="s">
        <v>9155</v>
      </c>
      <c r="J3953" s="12" t="str">
        <f>HYPERLINK("https://www.boe.es/gazeta/dias/1805/11/12/pdfs/GMD-1805-91.pdf#page=9","Abrir facsímil")</f>
        <v>Abrir facsímil</v>
      </c>
      <c r="K3953" s="15" t="s">
        <v>22</v>
      </c>
    </row>
    <row r="3954" spans="1:11" ht="42" customHeight="1">
      <c r="A3954" s="4" t="s">
        <v>9156</v>
      </c>
      <c r="B3954" s="5" t="s">
        <v>9156</v>
      </c>
      <c r="C3954" s="5" t="s">
        <v>80</v>
      </c>
      <c r="D3954" s="5" t="s">
        <v>81</v>
      </c>
      <c r="E3954" s="5" t="s">
        <v>585</v>
      </c>
      <c r="F3954" s="9">
        <v>64</v>
      </c>
      <c r="G3954" s="9">
        <v>678</v>
      </c>
      <c r="H3954" s="5" t="s">
        <v>20</v>
      </c>
      <c r="I3954" s="5" t="s">
        <v>9157</v>
      </c>
      <c r="J3954" s="12" t="str">
        <f>HYPERLINK("https://www.boe.es/gazeta/dias/1805/08/09/pdfs/GMD-1805-64.pdf#page=2","Abrir facsímil")</f>
        <v>Abrir facsímil</v>
      </c>
      <c r="K3954" s="15" t="s">
        <v>22</v>
      </c>
    </row>
    <row r="3955" spans="1:11" ht="42" customHeight="1">
      <c r="A3955" s="4" t="s">
        <v>9158</v>
      </c>
      <c r="B3955" s="5" t="s">
        <v>9158</v>
      </c>
      <c r="C3955" s="5" t="s">
        <v>85</v>
      </c>
      <c r="D3955" s="5" t="s">
        <v>86</v>
      </c>
      <c r="E3955" s="5" t="s">
        <v>71</v>
      </c>
      <c r="F3955" s="9">
        <v>33</v>
      </c>
      <c r="G3955" s="9">
        <v>351</v>
      </c>
      <c r="H3955" s="5" t="s">
        <v>20</v>
      </c>
      <c r="I3955" s="5" t="s">
        <v>9159</v>
      </c>
      <c r="J3955" s="12" t="str">
        <f>HYPERLINK("https://www.boe.es/gazeta/dias/1805/04/23/pdfs/GMD-1805-33.pdf#page=7","Abrir facsímil")</f>
        <v>Abrir facsímil</v>
      </c>
      <c r="K3955" s="15" t="s">
        <v>22</v>
      </c>
    </row>
    <row r="3956" spans="1:11" ht="42" customHeight="1">
      <c r="A3956" s="4" t="s">
        <v>9160</v>
      </c>
      <c r="B3956" s="5" t="s">
        <v>9161</v>
      </c>
      <c r="C3956" s="5" t="s">
        <v>85</v>
      </c>
      <c r="D3956" s="5" t="s">
        <v>86</v>
      </c>
      <c r="E3956" s="5" t="s">
        <v>552</v>
      </c>
      <c r="F3956" s="9">
        <v>94</v>
      </c>
      <c r="G3956" s="9">
        <v>1008</v>
      </c>
      <c r="H3956" s="5" t="s">
        <v>20</v>
      </c>
      <c r="I3956" s="5" t="s">
        <v>9162</v>
      </c>
      <c r="J3956" s="12" t="str">
        <f>HYPERLINK("https://www.boe.es/gazeta/dias/1805/11/22/pdfs/GMD-1805-94.pdf#page=8","Abrir facsímil")</f>
        <v>Abrir facsímil</v>
      </c>
      <c r="K3956" s="15" t="s">
        <v>22</v>
      </c>
    </row>
    <row r="3957" spans="1:11" ht="42" customHeight="1">
      <c r="A3957" s="4" t="s">
        <v>9163</v>
      </c>
      <c r="B3957" s="5" t="s">
        <v>9164</v>
      </c>
      <c r="C3957" s="5" t="s">
        <v>85</v>
      </c>
      <c r="D3957" s="5" t="s">
        <v>86</v>
      </c>
      <c r="E3957" s="5" t="s">
        <v>37</v>
      </c>
      <c r="F3957" s="9">
        <v>54</v>
      </c>
      <c r="G3957" s="9">
        <v>579</v>
      </c>
      <c r="H3957" s="5" t="s">
        <v>20</v>
      </c>
      <c r="I3957" s="5" t="s">
        <v>9165</v>
      </c>
      <c r="J3957" s="12" t="str">
        <f>HYPERLINK("https://www.boe.es/gazeta/dias/1805/07/05/pdfs/GMD-1805-54.pdf#page=7","Abrir facsímil")</f>
        <v>Abrir facsímil</v>
      </c>
      <c r="K3957" s="15" t="s">
        <v>22</v>
      </c>
    </row>
    <row r="3958" spans="1:11" ht="42" customHeight="1">
      <c r="A3958" s="4" t="s">
        <v>9166</v>
      </c>
      <c r="B3958" s="5" t="s">
        <v>9167</v>
      </c>
      <c r="C3958" s="5" t="s">
        <v>85</v>
      </c>
      <c r="D3958" s="5" t="s">
        <v>86</v>
      </c>
      <c r="E3958" s="5" t="s">
        <v>817</v>
      </c>
      <c r="F3958" s="9">
        <v>92</v>
      </c>
      <c r="G3958" s="9">
        <v>988</v>
      </c>
      <c r="H3958" s="5" t="s">
        <v>20</v>
      </c>
      <c r="I3958" s="5" t="s">
        <v>9168</v>
      </c>
      <c r="J3958" s="12" t="str">
        <f>HYPERLINK("https://www.boe.es/gazeta/dias/1805/11/15/pdfs/GMD-1805-92.pdf#page=8","Abrir facsímil")</f>
        <v>Abrir facsímil</v>
      </c>
      <c r="K3958" s="15" t="s">
        <v>22</v>
      </c>
    </row>
    <row r="3959" spans="1:11" ht="42" customHeight="1">
      <c r="A3959" s="4" t="s">
        <v>9169</v>
      </c>
      <c r="B3959" s="5" t="s">
        <v>9170</v>
      </c>
      <c r="C3959" s="5" t="s">
        <v>29</v>
      </c>
      <c r="D3959" s="5" t="s">
        <v>30</v>
      </c>
      <c r="E3959" s="5" t="s">
        <v>1445</v>
      </c>
      <c r="F3959" s="9">
        <v>6</v>
      </c>
      <c r="G3959" s="9">
        <v>68</v>
      </c>
      <c r="H3959" s="5" t="s">
        <v>20</v>
      </c>
      <c r="I3959" s="5" t="s">
        <v>9171</v>
      </c>
      <c r="J3959" s="12" t="str">
        <f>HYPERLINK("https://www.boe.es/gazeta/dias/1805/01/18/pdfs/GMD-1805-6.pdf#page=12","Abrir facsímil")</f>
        <v>Abrir facsímil</v>
      </c>
      <c r="K3959" s="15" t="s">
        <v>22</v>
      </c>
    </row>
    <row r="3960" spans="1:11" ht="42" customHeight="1">
      <c r="A3960" s="4" t="s">
        <v>9172</v>
      </c>
      <c r="B3960" s="5" t="s">
        <v>9173</v>
      </c>
      <c r="C3960" s="5" t="s">
        <v>29</v>
      </c>
      <c r="D3960" s="5" t="s">
        <v>30</v>
      </c>
      <c r="E3960" s="5" t="s">
        <v>958</v>
      </c>
      <c r="F3960" s="9">
        <v>58</v>
      </c>
      <c r="G3960" s="9">
        <v>623</v>
      </c>
      <c r="H3960" s="5" t="s">
        <v>20</v>
      </c>
      <c r="I3960" s="5" t="s">
        <v>9174</v>
      </c>
      <c r="J3960" s="12" t="str">
        <f>HYPERLINK("https://www.boe.es/gazeta/dias/1805/07/19/pdfs/GMD-1805-58.pdf#page=7","Abrir facsímil")</f>
        <v>Abrir facsímil</v>
      </c>
      <c r="K3960" s="15" t="s">
        <v>22</v>
      </c>
    </row>
    <row r="3961" spans="1:11" ht="42" customHeight="1">
      <c r="A3961" s="4" t="s">
        <v>9175</v>
      </c>
      <c r="B3961" s="5" t="s">
        <v>9176</v>
      </c>
      <c r="C3961" s="5" t="s">
        <v>35</v>
      </c>
      <c r="D3961" s="5" t="s">
        <v>36</v>
      </c>
      <c r="E3961" s="5" t="s">
        <v>128</v>
      </c>
      <c r="F3961" s="9">
        <v>23</v>
      </c>
      <c r="G3961" s="9">
        <v>247</v>
      </c>
      <c r="H3961" s="5" t="s">
        <v>20</v>
      </c>
      <c r="I3961" s="5" t="s">
        <v>9177</v>
      </c>
      <c r="J3961" s="12" t="str">
        <f>HYPERLINK("https://www.boe.es/gazeta/dias/1805/03/19/pdfs/GMD-1805-23.pdf#page=11","Abrir facsímil")</f>
        <v>Abrir facsímil</v>
      </c>
      <c r="K3961" s="15" t="s">
        <v>22</v>
      </c>
    </row>
    <row r="3962" spans="1:11" ht="42" customHeight="1">
      <c r="A3962" s="4" t="s">
        <v>9175</v>
      </c>
      <c r="B3962" s="5" t="s">
        <v>9176</v>
      </c>
      <c r="C3962" s="5" t="s">
        <v>35</v>
      </c>
      <c r="D3962" s="5" t="s">
        <v>36</v>
      </c>
      <c r="E3962" s="5" t="s">
        <v>303</v>
      </c>
      <c r="F3962" s="9">
        <v>57</v>
      </c>
      <c r="G3962" s="9">
        <v>614</v>
      </c>
      <c r="H3962" s="5" t="s">
        <v>20</v>
      </c>
      <c r="I3962" s="5" t="s">
        <v>9178</v>
      </c>
      <c r="J3962" s="12" t="str">
        <f>HYPERLINK("https://www.boe.es/gazeta/dias/1805/07/16/pdfs/GMD-1805-57.pdf#page=10","Abrir facsímil")</f>
        <v>Abrir facsímil</v>
      </c>
      <c r="K3962" s="15" t="s">
        <v>22</v>
      </c>
    </row>
    <row r="3963" spans="1:11" ht="42" customHeight="1">
      <c r="A3963" s="4" t="s">
        <v>9175</v>
      </c>
      <c r="B3963" s="5" t="s">
        <v>9176</v>
      </c>
      <c r="C3963" s="5" t="s">
        <v>184</v>
      </c>
      <c r="D3963" s="5" t="s">
        <v>86</v>
      </c>
      <c r="E3963" s="5" t="s">
        <v>188</v>
      </c>
      <c r="F3963" s="9">
        <v>68</v>
      </c>
      <c r="G3963" s="9">
        <v>732</v>
      </c>
      <c r="H3963" s="5" t="s">
        <v>20</v>
      </c>
      <c r="I3963" s="5" t="s">
        <v>9179</v>
      </c>
      <c r="J3963" s="12" t="str">
        <f>HYPERLINK("https://www.boe.es/gazeta/dias/1805/08/23/pdfs/GMD-1805-68.pdf#page=12","Abrir facsímil")</f>
        <v>Abrir facsímil</v>
      </c>
      <c r="K3963" s="15" t="s">
        <v>22</v>
      </c>
    </row>
    <row r="3964" spans="1:11" ht="42" customHeight="1">
      <c r="A3964" s="4" t="s">
        <v>9175</v>
      </c>
      <c r="B3964" s="5" t="s">
        <v>9176</v>
      </c>
      <c r="C3964" s="5" t="s">
        <v>184</v>
      </c>
      <c r="D3964" s="5" t="s">
        <v>86</v>
      </c>
      <c r="E3964" s="5" t="s">
        <v>99</v>
      </c>
      <c r="F3964" s="9">
        <v>83</v>
      </c>
      <c r="G3964" s="9">
        <v>883</v>
      </c>
      <c r="H3964" s="5" t="s">
        <v>20</v>
      </c>
      <c r="I3964" s="5" t="s">
        <v>9180</v>
      </c>
      <c r="J3964" s="12" t="str">
        <f>HYPERLINK("https://www.boe.es/gazeta/dias/1805/10/15/pdfs/GMD-1805-83.pdf#page=11","Abrir facsímil")</f>
        <v>Abrir facsímil</v>
      </c>
      <c r="K3964" s="15" t="s">
        <v>22</v>
      </c>
    </row>
    <row r="3965" spans="1:11" ht="42" customHeight="1">
      <c r="A3965" s="4" t="s">
        <v>9175</v>
      </c>
      <c r="B3965" s="5" t="s">
        <v>9176</v>
      </c>
      <c r="C3965" s="5" t="s">
        <v>184</v>
      </c>
      <c r="D3965" s="5" t="s">
        <v>86</v>
      </c>
      <c r="E3965" s="5" t="s">
        <v>864</v>
      </c>
      <c r="F3965" s="9">
        <v>88</v>
      </c>
      <c r="G3965" s="9">
        <v>940</v>
      </c>
      <c r="H3965" s="5" t="s">
        <v>20</v>
      </c>
      <c r="I3965" s="5" t="s">
        <v>9181</v>
      </c>
      <c r="J3965" s="12" t="str">
        <f>HYPERLINK("https://www.boe.es/gazeta/dias/1805/11/01/pdfs/GMD-1805-88.pdf#page=12","Abrir facsímil")</f>
        <v>Abrir facsímil</v>
      </c>
      <c r="K3965" s="15" t="s">
        <v>22</v>
      </c>
    </row>
    <row r="3966" spans="1:11" ht="42" customHeight="1">
      <c r="A3966" s="4" t="s">
        <v>9182</v>
      </c>
      <c r="B3966" s="5" t="s">
        <v>9183</v>
      </c>
      <c r="C3966" s="5" t="s">
        <v>184</v>
      </c>
      <c r="D3966" s="5" t="s">
        <v>86</v>
      </c>
      <c r="E3966" s="5" t="s">
        <v>495</v>
      </c>
      <c r="F3966" s="9">
        <v>103</v>
      </c>
      <c r="G3966" s="9">
        <v>1116</v>
      </c>
      <c r="H3966" s="5" t="s">
        <v>20</v>
      </c>
      <c r="I3966" s="5" t="s">
        <v>9184</v>
      </c>
      <c r="J3966" s="12" t="str">
        <f>HYPERLINK("https://www.boe.es/gazeta/dias/1805/12/24/pdfs/GMD-1805-103.pdf#page=8","Abrir facsímil")</f>
        <v>Abrir facsímil</v>
      </c>
      <c r="K3966" s="15" t="s">
        <v>22</v>
      </c>
    </row>
    <row r="3967" spans="1:11" ht="42" customHeight="1">
      <c r="A3967" s="4" t="s">
        <v>9185</v>
      </c>
      <c r="B3967" s="5" t="s">
        <v>9186</v>
      </c>
      <c r="C3967" s="5" t="s">
        <v>17</v>
      </c>
      <c r="D3967" s="5" t="s">
        <v>18</v>
      </c>
      <c r="E3967" s="5" t="s">
        <v>649</v>
      </c>
      <c r="F3967" s="9">
        <v>7</v>
      </c>
      <c r="G3967" s="9">
        <v>79</v>
      </c>
      <c r="H3967" s="5" t="s">
        <v>20</v>
      </c>
      <c r="I3967" s="5" t="s">
        <v>9187</v>
      </c>
      <c r="J3967" s="12" t="str">
        <f>HYPERLINK("https://www.boe.es/gazeta/dias/1805/01/22/pdfs/GMD-1805-7.pdf#page=11","Abrir facsímil")</f>
        <v>Abrir facsímil</v>
      </c>
      <c r="K3967" s="15" t="s">
        <v>22</v>
      </c>
    </row>
    <row r="3968" spans="1:11" ht="42" customHeight="1">
      <c r="A3968" s="4" t="s">
        <v>9188</v>
      </c>
      <c r="B3968" s="5" t="s">
        <v>9189</v>
      </c>
      <c r="C3968" s="5" t="s">
        <v>184</v>
      </c>
      <c r="D3968" s="5" t="s">
        <v>86</v>
      </c>
      <c r="E3968" s="5" t="s">
        <v>1445</v>
      </c>
      <c r="F3968" s="9">
        <v>6</v>
      </c>
      <c r="G3968" s="9">
        <v>67</v>
      </c>
      <c r="H3968" s="5" t="s">
        <v>20</v>
      </c>
      <c r="I3968" s="5" t="s">
        <v>9190</v>
      </c>
      <c r="J3968" s="12" t="str">
        <f>HYPERLINK("https://www.boe.es/gazeta/dias/1805/01/18/pdfs/GMD-1805-6.pdf#page=11","Abrir facsímil")</f>
        <v>Abrir facsímil</v>
      </c>
      <c r="K3968" s="15" t="s">
        <v>22</v>
      </c>
    </row>
    <row r="3969" spans="1:11" ht="42" customHeight="1">
      <c r="A3969" s="4" t="s">
        <v>9188</v>
      </c>
      <c r="B3969" s="5" t="s">
        <v>9189</v>
      </c>
      <c r="C3969" s="5" t="s">
        <v>35</v>
      </c>
      <c r="D3969" s="5" t="s">
        <v>36</v>
      </c>
      <c r="E3969" s="5" t="s">
        <v>54</v>
      </c>
      <c r="F3969" s="9">
        <v>99</v>
      </c>
      <c r="G3969" s="9">
        <v>1069</v>
      </c>
      <c r="H3969" s="5" t="s">
        <v>20</v>
      </c>
      <c r="I3969" s="5" t="s">
        <v>9191</v>
      </c>
      <c r="J3969" s="12" t="str">
        <f>HYPERLINK("https://www.boe.es/gazeta/dias/1805/12/10/pdfs/GMD-1805-99.pdf#page=9","Abrir facsímil")</f>
        <v>Abrir facsímil</v>
      </c>
      <c r="K3969" s="15" t="s">
        <v>22</v>
      </c>
    </row>
    <row r="3970" spans="1:11" ht="42" customHeight="1">
      <c r="A3970" s="4" t="s">
        <v>9188</v>
      </c>
      <c r="B3970" s="5" t="s">
        <v>9189</v>
      </c>
      <c r="C3970" s="5" t="s">
        <v>184</v>
      </c>
      <c r="D3970" s="5" t="s">
        <v>86</v>
      </c>
      <c r="E3970" s="5" t="s">
        <v>54</v>
      </c>
      <c r="F3970" s="9">
        <v>99</v>
      </c>
      <c r="G3970" s="9">
        <v>1071</v>
      </c>
      <c r="H3970" s="5" t="s">
        <v>20</v>
      </c>
      <c r="I3970" s="5" t="s">
        <v>9192</v>
      </c>
      <c r="J3970" s="12" t="str">
        <f>HYPERLINK("https://www.boe.es/gazeta/dias/1805/12/10/pdfs/GMD-1805-99.pdf#page=11","Abrir facsímil")</f>
        <v>Abrir facsímil</v>
      </c>
      <c r="K3970" s="15" t="s">
        <v>22</v>
      </c>
    </row>
    <row r="3971" spans="1:11" ht="42" customHeight="1">
      <c r="A3971" s="4" t="s">
        <v>9193</v>
      </c>
      <c r="B3971" s="5" t="s">
        <v>9194</v>
      </c>
      <c r="C3971" s="5" t="s">
        <v>35</v>
      </c>
      <c r="D3971" s="5" t="s">
        <v>36</v>
      </c>
      <c r="E3971" s="5" t="s">
        <v>163</v>
      </c>
      <c r="F3971" s="9">
        <v>77</v>
      </c>
      <c r="G3971" s="9">
        <v>816</v>
      </c>
      <c r="H3971" s="5" t="s">
        <v>20</v>
      </c>
      <c r="I3971" s="5" t="s">
        <v>9195</v>
      </c>
      <c r="J3971" s="12" t="str">
        <f>HYPERLINK("https://www.boe.es/gazeta/dias/1805/09/24/pdfs/GMD-1805-77.pdf#page=8","Abrir facsímil")</f>
        <v>Abrir facsímil</v>
      </c>
      <c r="K3971" s="15" t="s">
        <v>22</v>
      </c>
    </row>
    <row r="3972" spans="1:11" ht="42" customHeight="1">
      <c r="A3972" s="4" t="s">
        <v>9196</v>
      </c>
      <c r="B3972" s="5" t="s">
        <v>9197</v>
      </c>
      <c r="C3972" s="5" t="s">
        <v>35</v>
      </c>
      <c r="D3972" s="5" t="s">
        <v>36</v>
      </c>
      <c r="E3972" s="5" t="s">
        <v>335</v>
      </c>
      <c r="F3972" s="9">
        <v>79</v>
      </c>
      <c r="G3972" s="9">
        <v>838</v>
      </c>
      <c r="H3972" s="5" t="s">
        <v>20</v>
      </c>
      <c r="I3972" s="5" t="s">
        <v>9198</v>
      </c>
      <c r="J3972" s="12" t="str">
        <f>HYPERLINK("https://www.boe.es/gazeta/dias/1805/10/01/pdfs/GMD-1805-79.pdf#page=10","Abrir facsímil")</f>
        <v>Abrir facsímil</v>
      </c>
      <c r="K3972" s="15" t="s">
        <v>22</v>
      </c>
    </row>
    <row r="3973" spans="1:11" ht="42" customHeight="1">
      <c r="A3973" s="4" t="s">
        <v>9199</v>
      </c>
      <c r="B3973" s="5" t="s">
        <v>9200</v>
      </c>
      <c r="C3973" s="5" t="s">
        <v>52</v>
      </c>
      <c r="D3973" s="5" t="s">
        <v>53</v>
      </c>
      <c r="E3973" s="5" t="s">
        <v>54</v>
      </c>
      <c r="F3973" s="9">
        <v>99</v>
      </c>
      <c r="G3973" s="9" t="s">
        <v>55</v>
      </c>
      <c r="H3973" s="5" t="s">
        <v>20</v>
      </c>
      <c r="I3973" s="5" t="s">
        <v>9201</v>
      </c>
      <c r="J3973" s="12" t="str">
        <f>HYPERLINK("https://www.boe.es/gazeta/dias/1805/12/10/pdfs/GMD-C-1805-99.pdf#page=4","Abrir facsímil")</f>
        <v>Abrir facsímil</v>
      </c>
      <c r="K3973" s="15" t="s">
        <v>22</v>
      </c>
    </row>
    <row r="3974" spans="1:11" ht="42" customHeight="1">
      <c r="A3974" s="4" t="s">
        <v>9202</v>
      </c>
      <c r="B3974" s="5" t="s">
        <v>9203</v>
      </c>
      <c r="C3974" s="5" t="s">
        <v>29</v>
      </c>
      <c r="D3974" s="5" t="s">
        <v>30</v>
      </c>
      <c r="E3974" s="5" t="s">
        <v>733</v>
      </c>
      <c r="F3974" s="9">
        <v>45</v>
      </c>
      <c r="G3974" s="9">
        <v>488</v>
      </c>
      <c r="H3974" s="5" t="s">
        <v>20</v>
      </c>
      <c r="I3974" s="5" t="s">
        <v>9204</v>
      </c>
      <c r="J3974" s="12" t="str">
        <f>HYPERLINK("https://www.boe.es/gazeta/dias/1805/06/04/pdfs/GMD-1805-45.pdf#page=12","Abrir facsímil")</f>
        <v>Abrir facsímil</v>
      </c>
      <c r="K3974" s="15" t="s">
        <v>22</v>
      </c>
    </row>
    <row r="3975" spans="1:11" ht="42" customHeight="1">
      <c r="A3975" s="4" t="s">
        <v>9202</v>
      </c>
      <c r="B3975" s="5" t="s">
        <v>9203</v>
      </c>
      <c r="C3975" s="5" t="s">
        <v>184</v>
      </c>
      <c r="D3975" s="5" t="s">
        <v>86</v>
      </c>
      <c r="E3975" s="5" t="s">
        <v>1259</v>
      </c>
      <c r="F3975" s="9">
        <v>78</v>
      </c>
      <c r="G3975" s="9">
        <v>828</v>
      </c>
      <c r="H3975" s="5" t="s">
        <v>20</v>
      </c>
      <c r="I3975" s="5" t="s">
        <v>9205</v>
      </c>
      <c r="J3975" s="12" t="str">
        <f>HYPERLINK("https://www.boe.es/gazeta/dias/1805/09/27/pdfs/GMD-1805-78.pdf#page=8","Abrir facsímil")</f>
        <v>Abrir facsímil</v>
      </c>
      <c r="K3975" s="15" t="s">
        <v>22</v>
      </c>
    </row>
    <row r="3976" spans="1:11" ht="42" customHeight="1">
      <c r="A3976" s="4" t="s">
        <v>9206</v>
      </c>
      <c r="B3976" s="5" t="s">
        <v>9207</v>
      </c>
      <c r="C3976" s="5" t="s">
        <v>85</v>
      </c>
      <c r="D3976" s="5" t="s">
        <v>86</v>
      </c>
      <c r="E3976" s="5" t="s">
        <v>1022</v>
      </c>
      <c r="F3976" s="9">
        <v>52</v>
      </c>
      <c r="G3976" s="9">
        <v>563</v>
      </c>
      <c r="H3976" s="5" t="s">
        <v>20</v>
      </c>
      <c r="I3976" s="5" t="s">
        <v>9208</v>
      </c>
      <c r="J3976" s="12" t="str">
        <f>HYPERLINK("https://www.boe.es/gazeta/dias/1805/06/28/pdfs/GMD-1805-52.pdf#page=11","Abrir facsímil")</f>
        <v>Abrir facsímil</v>
      </c>
      <c r="K3976" s="15" t="s">
        <v>22</v>
      </c>
    </row>
    <row r="3977" spans="1:11" ht="42" customHeight="1">
      <c r="A3977" s="4" t="s">
        <v>9209</v>
      </c>
      <c r="B3977" s="5" t="s">
        <v>9210</v>
      </c>
      <c r="C3977" s="5" t="s">
        <v>85</v>
      </c>
      <c r="D3977" s="5" t="s">
        <v>86</v>
      </c>
      <c r="E3977" s="5" t="s">
        <v>24</v>
      </c>
      <c r="F3977" s="9">
        <v>11</v>
      </c>
      <c r="G3977" s="9">
        <v>120</v>
      </c>
      <c r="H3977" s="5" t="s">
        <v>20</v>
      </c>
      <c r="I3977" s="5" t="s">
        <v>9211</v>
      </c>
      <c r="J3977" s="12" t="str">
        <f>HYPERLINK("https://www.boe.es/gazeta/dias/1805/02/05/pdfs/GMD-1805-11.pdf#page=8","Abrir facsímil")</f>
        <v>Abrir facsímil</v>
      </c>
      <c r="K3977" s="15" t="s">
        <v>22</v>
      </c>
    </row>
    <row r="3978" spans="1:11" ht="42" customHeight="1">
      <c r="A3978" s="4" t="s">
        <v>9212</v>
      </c>
      <c r="B3978" s="5" t="s">
        <v>9213</v>
      </c>
      <c r="C3978" s="5" t="s">
        <v>17</v>
      </c>
      <c r="D3978" s="5" t="s">
        <v>18</v>
      </c>
      <c r="E3978" s="5" t="s">
        <v>649</v>
      </c>
      <c r="F3978" s="9">
        <v>7</v>
      </c>
      <c r="G3978" s="9">
        <v>77</v>
      </c>
      <c r="H3978" s="5" t="s">
        <v>20</v>
      </c>
      <c r="I3978" s="5" t="s">
        <v>9214</v>
      </c>
      <c r="J3978" s="12" t="str">
        <f>HYPERLINK("https://www.boe.es/gazeta/dias/1805/01/22/pdfs/GMD-1805-7.pdf#page=9","Abrir facsímil")</f>
        <v>Abrir facsímil</v>
      </c>
      <c r="K3978" s="15" t="s">
        <v>22</v>
      </c>
    </row>
    <row r="3979" spans="1:11" ht="42" customHeight="1">
      <c r="A3979" s="4" t="s">
        <v>9215</v>
      </c>
      <c r="B3979" s="5" t="s">
        <v>9216</v>
      </c>
      <c r="C3979" s="5" t="s">
        <v>85</v>
      </c>
      <c r="D3979" s="5" t="s">
        <v>86</v>
      </c>
      <c r="E3979" s="5" t="s">
        <v>904</v>
      </c>
      <c r="F3979" s="9">
        <v>47</v>
      </c>
      <c r="G3979" s="9">
        <v>509</v>
      </c>
      <c r="H3979" s="5" t="s">
        <v>20</v>
      </c>
      <c r="I3979" s="5" t="s">
        <v>9217</v>
      </c>
      <c r="J3979" s="12" t="str">
        <f>HYPERLINK("https://www.boe.es/gazeta/dias/1805/06/11/pdfs/GMD-1805-47.pdf#page=9","Abrir facsímil")</f>
        <v>Abrir facsímil</v>
      </c>
      <c r="K3979" s="15" t="s">
        <v>22</v>
      </c>
    </row>
    <row r="3980" spans="1:11" ht="42" customHeight="1">
      <c r="A3980" s="4" t="s">
        <v>9218</v>
      </c>
      <c r="B3980" s="5" t="s">
        <v>9219</v>
      </c>
      <c r="C3980" s="5" t="s">
        <v>85</v>
      </c>
      <c r="D3980" s="5" t="s">
        <v>86</v>
      </c>
      <c r="E3980" s="5" t="s">
        <v>356</v>
      </c>
      <c r="F3980" s="9">
        <v>12</v>
      </c>
      <c r="G3980" s="9">
        <v>132</v>
      </c>
      <c r="H3980" s="5" t="s">
        <v>20</v>
      </c>
      <c r="I3980" s="5" t="s">
        <v>9220</v>
      </c>
      <c r="J3980" s="12" t="str">
        <f>HYPERLINK("https://www.boe.es/gazeta/dias/1805/02/08/pdfs/GMD-1805-12.pdf#page=8","Abrir facsímil")</f>
        <v>Abrir facsímil</v>
      </c>
      <c r="K3980" s="15" t="s">
        <v>22</v>
      </c>
    </row>
    <row r="3981" spans="1:11" ht="42" customHeight="1">
      <c r="A3981" s="4" t="s">
        <v>9221</v>
      </c>
      <c r="B3981" s="5" t="s">
        <v>9222</v>
      </c>
      <c r="C3981" s="5" t="s">
        <v>35</v>
      </c>
      <c r="D3981" s="5" t="s">
        <v>36</v>
      </c>
      <c r="E3981" s="5" t="s">
        <v>352</v>
      </c>
      <c r="F3981" s="9">
        <v>60</v>
      </c>
      <c r="G3981" s="9">
        <v>645</v>
      </c>
      <c r="H3981" s="5" t="s">
        <v>20</v>
      </c>
      <c r="I3981" s="5" t="s">
        <v>9223</v>
      </c>
      <c r="J3981" s="12" t="str">
        <f>HYPERLINK("https://www.boe.es/gazeta/dias/1805/07/26/pdfs/GMD-1805-60.pdf#page=9","Abrir facsímil")</f>
        <v>Abrir facsímil</v>
      </c>
      <c r="K3981" s="15" t="s">
        <v>22</v>
      </c>
    </row>
    <row r="3982" spans="1:11" ht="42" customHeight="1">
      <c r="A3982" s="4" t="s">
        <v>9224</v>
      </c>
      <c r="B3982" s="5" t="s">
        <v>9225</v>
      </c>
      <c r="C3982" s="5" t="s">
        <v>85</v>
      </c>
      <c r="D3982" s="5" t="s">
        <v>86</v>
      </c>
      <c r="E3982" s="5" t="s">
        <v>352</v>
      </c>
      <c r="F3982" s="9">
        <v>60</v>
      </c>
      <c r="G3982" s="9">
        <v>646</v>
      </c>
      <c r="H3982" s="5" t="s">
        <v>20</v>
      </c>
      <c r="I3982" s="5" t="s">
        <v>9226</v>
      </c>
      <c r="J3982" s="12" t="str">
        <f>HYPERLINK("https://www.boe.es/gazeta/dias/1805/07/26/pdfs/GMD-1805-60.pdf#page=10","Abrir facsímil")</f>
        <v>Abrir facsímil</v>
      </c>
      <c r="K3982" s="15" t="s">
        <v>22</v>
      </c>
    </row>
    <row r="3983" spans="1:11" ht="42" customHeight="1">
      <c r="A3983" s="4" t="s">
        <v>9227</v>
      </c>
      <c r="B3983" s="5" t="s">
        <v>9228</v>
      </c>
      <c r="C3983" s="5" t="s">
        <v>29</v>
      </c>
      <c r="D3983" s="5" t="s">
        <v>30</v>
      </c>
      <c r="E3983" s="5" t="s">
        <v>215</v>
      </c>
      <c r="F3983" s="9">
        <v>87</v>
      </c>
      <c r="G3983" s="9">
        <v>928</v>
      </c>
      <c r="H3983" s="5" t="s">
        <v>20</v>
      </c>
      <c r="I3983" s="5" t="s">
        <v>9229</v>
      </c>
      <c r="J3983" s="12" t="str">
        <f>HYPERLINK("https://www.boe.es/gazeta/dias/1805/10/29/pdfs/GMD-1805-87.pdf#page=12","Abrir facsímil")</f>
        <v>Abrir facsímil</v>
      </c>
      <c r="K3983" s="15" t="s">
        <v>22</v>
      </c>
    </row>
    <row r="3984" spans="1:11" ht="42" customHeight="1">
      <c r="A3984" s="4" t="s">
        <v>9230</v>
      </c>
      <c r="B3984" s="5" t="s">
        <v>9231</v>
      </c>
      <c r="C3984" s="5" t="s">
        <v>17</v>
      </c>
      <c r="D3984" s="5" t="s">
        <v>18</v>
      </c>
      <c r="E3984" s="5" t="s">
        <v>95</v>
      </c>
      <c r="F3984" s="9">
        <v>13</v>
      </c>
      <c r="G3984" s="9">
        <v>136</v>
      </c>
      <c r="H3984" s="5" t="s">
        <v>20</v>
      </c>
      <c r="I3984" s="5" t="s">
        <v>9232</v>
      </c>
      <c r="J3984" s="12" t="str">
        <f>HYPERLINK("https://www.boe.es/gazeta/dias/1805/02/12/pdfs/GMD-1805-13.pdf#page=4","Abrir facsímil")</f>
        <v>Abrir facsímil</v>
      </c>
      <c r="K3984" s="15" t="s">
        <v>22</v>
      </c>
    </row>
    <row r="3985" spans="1:11" ht="42" customHeight="1">
      <c r="A3985" s="4" t="s">
        <v>9233</v>
      </c>
      <c r="B3985" s="5" t="s">
        <v>9234</v>
      </c>
      <c r="C3985" s="5" t="s">
        <v>17</v>
      </c>
      <c r="D3985" s="5" t="s">
        <v>18</v>
      </c>
      <c r="E3985" s="5" t="s">
        <v>290</v>
      </c>
      <c r="F3985" s="9">
        <v>36</v>
      </c>
      <c r="G3985" s="9">
        <v>388</v>
      </c>
      <c r="H3985" s="5" t="s">
        <v>20</v>
      </c>
      <c r="I3985" s="5" t="s">
        <v>9235</v>
      </c>
      <c r="J3985" s="12" t="str">
        <f>HYPERLINK("https://www.boe.es/gazeta/dias/1805/05/03/pdfs/GMD-1805-36.pdf#page=8","Abrir facsímil")</f>
        <v>Abrir facsímil</v>
      </c>
      <c r="K3985" s="15" t="s">
        <v>22</v>
      </c>
    </row>
    <row r="3986" spans="1:11" ht="42" customHeight="1">
      <c r="A3986" s="4" t="s">
        <v>9236</v>
      </c>
      <c r="B3986" s="5" t="s">
        <v>9237</v>
      </c>
      <c r="C3986" s="5" t="s">
        <v>35</v>
      </c>
      <c r="D3986" s="5" t="s">
        <v>36</v>
      </c>
      <c r="E3986" s="5" t="s">
        <v>213</v>
      </c>
      <c r="F3986" s="9">
        <v>56</v>
      </c>
      <c r="G3986" s="9">
        <v>600</v>
      </c>
      <c r="H3986" s="5" t="s">
        <v>20</v>
      </c>
      <c r="I3986" s="5" t="s">
        <v>9238</v>
      </c>
      <c r="J3986" s="12" t="str">
        <f>HYPERLINK("https://www.boe.es/gazeta/dias/1805/07/12/pdfs/GMD-1805-56.pdf#page=8","Abrir facsímil")</f>
        <v>Abrir facsímil</v>
      </c>
      <c r="K3986" s="15" t="s">
        <v>22</v>
      </c>
    </row>
    <row r="3987" spans="1:11" ht="42" customHeight="1">
      <c r="A3987" s="4" t="s">
        <v>9239</v>
      </c>
      <c r="B3987" s="5" t="s">
        <v>9240</v>
      </c>
      <c r="C3987" s="5" t="s">
        <v>29</v>
      </c>
      <c r="D3987" s="5" t="s">
        <v>30</v>
      </c>
      <c r="E3987" s="5" t="s">
        <v>729</v>
      </c>
      <c r="F3987" s="9">
        <v>61</v>
      </c>
      <c r="G3987" s="9">
        <v>655</v>
      </c>
      <c r="H3987" s="5" t="s">
        <v>20</v>
      </c>
      <c r="I3987" s="5" t="s">
        <v>9241</v>
      </c>
      <c r="J3987" s="12" t="str">
        <f>HYPERLINK("https://www.boe.es/gazeta/dias/1805/07/30/pdfs/GMD-1805-61.pdf#page=7","Abrir facsímil")</f>
        <v>Abrir facsímil</v>
      </c>
      <c r="K3987" s="15" t="s">
        <v>22</v>
      </c>
    </row>
    <row r="3988" spans="1:11" ht="42" customHeight="1">
      <c r="A3988" s="4" t="s">
        <v>9239</v>
      </c>
      <c r="B3988" s="5" t="s">
        <v>9240</v>
      </c>
      <c r="C3988" s="5" t="s">
        <v>35</v>
      </c>
      <c r="D3988" s="5" t="s">
        <v>36</v>
      </c>
      <c r="E3988" s="5" t="s">
        <v>19</v>
      </c>
      <c r="F3988" s="9">
        <v>86</v>
      </c>
      <c r="G3988" s="9">
        <v>913</v>
      </c>
      <c r="H3988" s="5" t="s">
        <v>20</v>
      </c>
      <c r="I3988" s="5" t="s">
        <v>9242</v>
      </c>
      <c r="J3988" s="12" t="str">
        <f>HYPERLINK("https://www.boe.es/gazeta/dias/1805/10/25/pdfs/GMD-1805-86.pdf#page=9","Abrir facsímil")</f>
        <v>Abrir facsímil</v>
      </c>
      <c r="K3988" s="15" t="s">
        <v>22</v>
      </c>
    </row>
    <row r="3989" spans="1:11" ht="42" customHeight="1">
      <c r="A3989" s="4" t="s">
        <v>9243</v>
      </c>
      <c r="B3989" s="5" t="s">
        <v>9244</v>
      </c>
      <c r="C3989" s="5" t="s">
        <v>52</v>
      </c>
      <c r="D3989" s="5" t="s">
        <v>53</v>
      </c>
      <c r="E3989" s="5" t="s">
        <v>144</v>
      </c>
      <c r="F3989" s="9">
        <v>85</v>
      </c>
      <c r="G3989" s="9" t="s">
        <v>1002</v>
      </c>
      <c r="H3989" s="5" t="s">
        <v>20</v>
      </c>
      <c r="I3989" s="5" t="s">
        <v>9245</v>
      </c>
      <c r="J3989" s="12" t="str">
        <f>HYPERLINK("https://www.boe.es/gazeta/dias/1805/10/22/pdfs/GMD-C-1805-85.pdf#page=7","Abrir facsímil")</f>
        <v>Abrir facsímil</v>
      </c>
      <c r="K3989" s="15" t="s">
        <v>22</v>
      </c>
    </row>
    <row r="3990" spans="1:11" ht="42" customHeight="1">
      <c r="A3990" s="4" t="s">
        <v>9246</v>
      </c>
      <c r="B3990" s="5" t="s">
        <v>9247</v>
      </c>
      <c r="C3990" s="5" t="s">
        <v>35</v>
      </c>
      <c r="D3990" s="5" t="s">
        <v>36</v>
      </c>
      <c r="E3990" s="5" t="s">
        <v>207</v>
      </c>
      <c r="F3990" s="9">
        <v>76</v>
      </c>
      <c r="G3990" s="9">
        <v>807</v>
      </c>
      <c r="H3990" s="5" t="s">
        <v>20</v>
      </c>
      <c r="I3990" s="5" t="s">
        <v>9248</v>
      </c>
      <c r="J3990" s="12" t="str">
        <f>HYPERLINK("https://www.boe.es/gazeta/dias/1805/09/20/pdfs/GMD-1805-76.pdf#page=7","Abrir facsímil")</f>
        <v>Abrir facsímil</v>
      </c>
      <c r="K3990" s="15" t="s">
        <v>22</v>
      </c>
    </row>
    <row r="3991" spans="1:11" ht="42" customHeight="1">
      <c r="A3991" s="4" t="s">
        <v>9246</v>
      </c>
      <c r="B3991" s="5" t="s">
        <v>9247</v>
      </c>
      <c r="C3991" s="5" t="s">
        <v>52</v>
      </c>
      <c r="D3991" s="5" t="s">
        <v>53</v>
      </c>
      <c r="E3991" s="5" t="s">
        <v>144</v>
      </c>
      <c r="F3991" s="9">
        <v>85</v>
      </c>
      <c r="G3991" s="9" t="s">
        <v>772</v>
      </c>
      <c r="H3991" s="5" t="s">
        <v>20</v>
      </c>
      <c r="I3991" s="5" t="s">
        <v>9249</v>
      </c>
      <c r="J3991" s="12" t="str">
        <f>HYPERLINK("https://www.boe.es/gazeta/dias/1805/10/22/pdfs/GMD-C-1805-85.pdf#page=6","Abrir facsímil")</f>
        <v>Abrir facsímil</v>
      </c>
      <c r="K3991" s="15" t="s">
        <v>22</v>
      </c>
    </row>
    <row r="3992" spans="1:11" ht="42" customHeight="1">
      <c r="A3992" s="4" t="s">
        <v>9250</v>
      </c>
      <c r="B3992" s="5" t="s">
        <v>9251</v>
      </c>
      <c r="C3992" s="5" t="s">
        <v>35</v>
      </c>
      <c r="D3992" s="5" t="s">
        <v>36</v>
      </c>
      <c r="E3992" s="5" t="s">
        <v>59</v>
      </c>
      <c r="F3992" s="9">
        <v>21</v>
      </c>
      <c r="G3992" s="9">
        <v>221</v>
      </c>
      <c r="H3992" s="5" t="s">
        <v>20</v>
      </c>
      <c r="I3992" s="5" t="s">
        <v>9252</v>
      </c>
      <c r="J3992" s="12" t="str">
        <f>HYPERLINK("https://www.boe.es/gazeta/dias/1805/03/12/pdfs/GMD-1805-21.pdf#page=9","Abrir facsímil")</f>
        <v>Abrir facsímil</v>
      </c>
      <c r="K3992" s="15" t="s">
        <v>22</v>
      </c>
    </row>
    <row r="3993" spans="1:11" ht="42" customHeight="1">
      <c r="A3993" s="4" t="s">
        <v>9253</v>
      </c>
      <c r="B3993" s="5" t="s">
        <v>9254</v>
      </c>
      <c r="C3993" s="5" t="s">
        <v>17</v>
      </c>
      <c r="D3993" s="5" t="s">
        <v>18</v>
      </c>
      <c r="E3993" s="5" t="s">
        <v>352</v>
      </c>
      <c r="F3993" s="9">
        <v>60</v>
      </c>
      <c r="G3993" s="9">
        <v>648</v>
      </c>
      <c r="H3993" s="5" t="s">
        <v>20</v>
      </c>
      <c r="I3993" s="5" t="s">
        <v>9255</v>
      </c>
      <c r="J3993" s="12" t="str">
        <f>HYPERLINK("https://www.boe.es/gazeta/dias/1805/07/26/pdfs/GMD-1805-60.pdf#page=12","Abrir facsímil")</f>
        <v>Abrir facsímil</v>
      </c>
      <c r="K3993" s="15" t="s">
        <v>22</v>
      </c>
    </row>
    <row r="3994" spans="1:11" ht="42" customHeight="1">
      <c r="A3994" s="4" t="s">
        <v>9253</v>
      </c>
      <c r="B3994" s="5" t="s">
        <v>9254</v>
      </c>
      <c r="C3994" s="5" t="s">
        <v>17</v>
      </c>
      <c r="D3994" s="5" t="s">
        <v>18</v>
      </c>
      <c r="E3994" s="5" t="s">
        <v>144</v>
      </c>
      <c r="F3994" s="9">
        <v>85</v>
      </c>
      <c r="G3994" s="9">
        <v>904</v>
      </c>
      <c r="H3994" s="5" t="s">
        <v>20</v>
      </c>
      <c r="I3994" s="5" t="s">
        <v>9256</v>
      </c>
      <c r="J3994" s="12" t="str">
        <f>HYPERLINK("https://www.boe.es/gazeta/dias/1805/10/22/pdfs/GMD-1805-85.pdf#page=12","Abrir facsímil")</f>
        <v>Abrir facsímil</v>
      </c>
      <c r="K3994" s="15" t="s">
        <v>22</v>
      </c>
    </row>
    <row r="3995" spans="1:11" ht="42" customHeight="1">
      <c r="A3995" s="4" t="s">
        <v>9253</v>
      </c>
      <c r="B3995" s="5" t="s">
        <v>9254</v>
      </c>
      <c r="C3995" s="5" t="s">
        <v>17</v>
      </c>
      <c r="D3995" s="5" t="s">
        <v>18</v>
      </c>
      <c r="E3995" s="5" t="s">
        <v>552</v>
      </c>
      <c r="F3995" s="9">
        <v>94</v>
      </c>
      <c r="G3995" s="9">
        <v>1008</v>
      </c>
      <c r="H3995" s="5" t="s">
        <v>20</v>
      </c>
      <c r="I3995" s="5" t="s">
        <v>9257</v>
      </c>
      <c r="J3995" s="12" t="str">
        <f>HYPERLINK("https://www.boe.es/gazeta/dias/1805/11/22/pdfs/GMD-1805-94.pdf#page=8","Abrir facsímil")</f>
        <v>Abrir facsímil</v>
      </c>
      <c r="K3995" s="15" t="s">
        <v>22</v>
      </c>
    </row>
    <row r="3996" spans="1:11" ht="42" customHeight="1">
      <c r="A3996" s="4" t="s">
        <v>9253</v>
      </c>
      <c r="B3996" s="5" t="s">
        <v>9254</v>
      </c>
      <c r="C3996" s="5" t="s">
        <v>52</v>
      </c>
      <c r="D3996" s="5" t="s">
        <v>53</v>
      </c>
      <c r="E3996" s="5" t="s">
        <v>54</v>
      </c>
      <c r="F3996" s="9">
        <v>99</v>
      </c>
      <c r="G3996" s="9" t="s">
        <v>145</v>
      </c>
      <c r="H3996" s="5" t="s">
        <v>20</v>
      </c>
      <c r="I3996" s="5" t="s">
        <v>9258</v>
      </c>
      <c r="J3996" s="12" t="str">
        <f>HYPERLINK("https://www.boe.es/gazeta/dias/1805/12/10/pdfs/GMD-C-1805-99.pdf#page=2","Abrir facsímil")</f>
        <v>Abrir facsímil</v>
      </c>
      <c r="K3996" s="15" t="s">
        <v>22</v>
      </c>
    </row>
    <row r="3997" spans="1:11" ht="42" customHeight="1">
      <c r="A3997" s="4" t="s">
        <v>9253</v>
      </c>
      <c r="B3997" s="5" t="s">
        <v>9254</v>
      </c>
      <c r="C3997" s="5" t="s">
        <v>29</v>
      </c>
      <c r="D3997" s="5" t="s">
        <v>30</v>
      </c>
      <c r="E3997" s="5" t="s">
        <v>63</v>
      </c>
      <c r="F3997" s="9">
        <v>101</v>
      </c>
      <c r="G3997" s="9">
        <v>1096</v>
      </c>
      <c r="H3997" s="5" t="s">
        <v>20</v>
      </c>
      <c r="I3997" s="5" t="s">
        <v>9259</v>
      </c>
      <c r="J3997" s="12" t="str">
        <f>HYPERLINK("https://www.boe.es/gazeta/dias/1805/12/17/pdfs/GMD-1805-101.pdf#page=12","Abrir facsímil")</f>
        <v>Abrir facsímil</v>
      </c>
      <c r="K3997" s="15" t="s">
        <v>22</v>
      </c>
    </row>
    <row r="3998" spans="1:11" ht="42" customHeight="1">
      <c r="A3998" s="4" t="s">
        <v>9260</v>
      </c>
      <c r="B3998" s="5" t="s">
        <v>9261</v>
      </c>
      <c r="C3998" s="5" t="s">
        <v>52</v>
      </c>
      <c r="D3998" s="5" t="s">
        <v>53</v>
      </c>
      <c r="E3998" s="5" t="s">
        <v>144</v>
      </c>
      <c r="F3998" s="9">
        <v>85</v>
      </c>
      <c r="G3998" s="9" t="s">
        <v>772</v>
      </c>
      <c r="H3998" s="5" t="s">
        <v>20</v>
      </c>
      <c r="I3998" s="5" t="s">
        <v>9262</v>
      </c>
      <c r="J3998" s="12" t="str">
        <f>HYPERLINK("https://www.boe.es/gazeta/dias/1805/10/22/pdfs/GMD-C-1805-85.pdf#page=6","Abrir facsímil")</f>
        <v>Abrir facsímil</v>
      </c>
      <c r="K3998" s="15" t="s">
        <v>22</v>
      </c>
    </row>
    <row r="3999" spans="1:11" ht="42" customHeight="1">
      <c r="A3999" s="4" t="s">
        <v>9263</v>
      </c>
      <c r="B3999" s="5" t="s">
        <v>9264</v>
      </c>
      <c r="C3999" s="5" t="s">
        <v>35</v>
      </c>
      <c r="D3999" s="5" t="s">
        <v>36</v>
      </c>
      <c r="E3999" s="5" t="s">
        <v>290</v>
      </c>
      <c r="F3999" s="9">
        <v>36</v>
      </c>
      <c r="G3999" s="9">
        <v>388</v>
      </c>
      <c r="H3999" s="5" t="s">
        <v>20</v>
      </c>
      <c r="I3999" s="5" t="s">
        <v>9265</v>
      </c>
      <c r="J3999" s="12" t="str">
        <f>HYPERLINK("https://www.boe.es/gazeta/dias/1805/05/03/pdfs/GMD-1805-36.pdf#page=8","Abrir facsímil")</f>
        <v>Abrir facsímil</v>
      </c>
      <c r="K3999" s="15" t="s">
        <v>22</v>
      </c>
    </row>
    <row r="4000" spans="1:11" ht="42" customHeight="1">
      <c r="A4000" s="4" t="s">
        <v>9266</v>
      </c>
      <c r="B4000" s="5" t="s">
        <v>9267</v>
      </c>
      <c r="C4000" s="5" t="s">
        <v>35</v>
      </c>
      <c r="D4000" s="5" t="s">
        <v>36</v>
      </c>
      <c r="E4000" s="5" t="s">
        <v>44</v>
      </c>
      <c r="F4000" s="9">
        <v>29</v>
      </c>
      <c r="G4000" s="9">
        <v>311</v>
      </c>
      <c r="H4000" s="5" t="s">
        <v>20</v>
      </c>
      <c r="I4000" s="5" t="s">
        <v>9268</v>
      </c>
      <c r="J4000" s="12" t="str">
        <f>HYPERLINK("https://www.boe.es/gazeta/dias/1805/04/09/pdfs/GMD-1805-29.pdf#page=7","Abrir facsímil")</f>
        <v>Abrir facsímil</v>
      </c>
      <c r="K4000" s="15" t="s">
        <v>22</v>
      </c>
    </row>
    <row r="4001" spans="1:11" ht="42" customHeight="1">
      <c r="A4001" s="4" t="s">
        <v>9269</v>
      </c>
      <c r="B4001" s="5" t="s">
        <v>9270</v>
      </c>
      <c r="C4001" s="5" t="s">
        <v>35</v>
      </c>
      <c r="D4001" s="5" t="s">
        <v>36</v>
      </c>
      <c r="E4001" s="5" t="s">
        <v>91</v>
      </c>
      <c r="F4001" s="9">
        <v>28</v>
      </c>
      <c r="G4001" s="9">
        <v>299</v>
      </c>
      <c r="H4001" s="5" t="s">
        <v>20</v>
      </c>
      <c r="I4001" s="5" t="s">
        <v>9271</v>
      </c>
      <c r="J4001" s="12" t="str">
        <f>HYPERLINK("https://www.boe.es/gazeta/dias/1805/04/05/pdfs/GMD-1805-28.pdf#page=7","Abrir facsímil")</f>
        <v>Abrir facsímil</v>
      </c>
      <c r="K4001" s="15" t="s">
        <v>22</v>
      </c>
    </row>
    <row r="4002" spans="1:11" ht="42" customHeight="1">
      <c r="A4002" s="4" t="s">
        <v>9269</v>
      </c>
      <c r="B4002" s="5" t="s">
        <v>9270</v>
      </c>
      <c r="C4002" s="5" t="s">
        <v>29</v>
      </c>
      <c r="D4002" s="5" t="s">
        <v>30</v>
      </c>
      <c r="E4002" s="5" t="s">
        <v>181</v>
      </c>
      <c r="F4002" s="9">
        <v>90</v>
      </c>
      <c r="G4002" s="9">
        <v>967</v>
      </c>
      <c r="H4002" s="5" t="s">
        <v>20</v>
      </c>
      <c r="I4002" s="5" t="s">
        <v>9272</v>
      </c>
      <c r="J4002" s="12" t="str">
        <f>HYPERLINK("https://www.boe.es/gazeta/dias/1805/11/08/pdfs/GMD-1805-90.pdf#page=11","Abrir facsímil")</f>
        <v>Abrir facsímil</v>
      </c>
      <c r="K4002" s="15" t="s">
        <v>22</v>
      </c>
    </row>
    <row r="4003" spans="1:11" ht="42" customHeight="1">
      <c r="A4003" s="4" t="s">
        <v>9273</v>
      </c>
      <c r="B4003" s="5" t="s">
        <v>9274</v>
      </c>
      <c r="C4003" s="5" t="s">
        <v>17</v>
      </c>
      <c r="D4003" s="5" t="s">
        <v>18</v>
      </c>
      <c r="E4003" s="5" t="s">
        <v>114</v>
      </c>
      <c r="F4003" s="9">
        <v>17</v>
      </c>
      <c r="G4003" s="9">
        <v>179</v>
      </c>
      <c r="H4003" s="5" t="s">
        <v>20</v>
      </c>
      <c r="I4003" s="5" t="s">
        <v>9275</v>
      </c>
      <c r="J4003" s="12" t="str">
        <f>HYPERLINK("https://www.boe.es/gazeta/dias/1805/02/26/pdfs/GMD-1805-17.pdf#page=11","Abrir facsímil")</f>
        <v>Abrir facsímil</v>
      </c>
      <c r="K4003" s="15" t="s">
        <v>22</v>
      </c>
    </row>
    <row r="4004" spans="1:11" ht="42" customHeight="1">
      <c r="A4004" s="4" t="s">
        <v>9276</v>
      </c>
      <c r="B4004" s="5" t="s">
        <v>9277</v>
      </c>
      <c r="C4004" s="5" t="s">
        <v>35</v>
      </c>
      <c r="D4004" s="5" t="s">
        <v>36</v>
      </c>
      <c r="E4004" s="5" t="s">
        <v>188</v>
      </c>
      <c r="F4004" s="9">
        <v>68</v>
      </c>
      <c r="G4004" s="9">
        <v>729</v>
      </c>
      <c r="H4004" s="5" t="s">
        <v>20</v>
      </c>
      <c r="I4004" s="5" t="s">
        <v>9278</v>
      </c>
      <c r="J4004" s="12" t="str">
        <f>HYPERLINK("https://www.boe.es/gazeta/dias/1805/08/23/pdfs/GMD-1805-68.pdf#page=9","Abrir facsímil")</f>
        <v>Abrir facsímil</v>
      </c>
      <c r="K4004" s="15" t="s">
        <v>22</v>
      </c>
    </row>
    <row r="4005" spans="1:11" ht="42" customHeight="1">
      <c r="A4005" s="4" t="s">
        <v>9279</v>
      </c>
      <c r="B4005" s="5" t="s">
        <v>9280</v>
      </c>
      <c r="C4005" s="5" t="s">
        <v>35</v>
      </c>
      <c r="D4005" s="5" t="s">
        <v>36</v>
      </c>
      <c r="E4005" s="5" t="s">
        <v>327</v>
      </c>
      <c r="F4005" s="9">
        <v>10</v>
      </c>
      <c r="G4005" s="9">
        <v>109</v>
      </c>
      <c r="H4005" s="5" t="s">
        <v>20</v>
      </c>
      <c r="I4005" s="5" t="s">
        <v>9281</v>
      </c>
      <c r="J4005" s="12" t="str">
        <f>HYPERLINK("https://www.boe.es/gazeta/dias/1805/02/01/pdfs/GMD-1805-10.pdf#page=5","Abrir facsímil")</f>
        <v>Abrir facsímil</v>
      </c>
      <c r="K4005" s="15" t="s">
        <v>22</v>
      </c>
    </row>
    <row r="4006" spans="1:11" ht="42" customHeight="1">
      <c r="A4006" s="4" t="s">
        <v>9282</v>
      </c>
      <c r="B4006" s="5" t="s">
        <v>9283</v>
      </c>
      <c r="C4006" s="5" t="s">
        <v>80</v>
      </c>
      <c r="D4006" s="5" t="s">
        <v>81</v>
      </c>
      <c r="E4006" s="5" t="s">
        <v>91</v>
      </c>
      <c r="F4006" s="9">
        <v>28</v>
      </c>
      <c r="G4006" s="9">
        <v>294</v>
      </c>
      <c r="H4006" s="5" t="s">
        <v>20</v>
      </c>
      <c r="I4006" s="5" t="s">
        <v>9284</v>
      </c>
      <c r="J4006" s="12" t="str">
        <f>HYPERLINK("https://www.boe.es/gazeta/dias/1805/04/05/pdfs/GMD-1805-28.pdf#page=2","Abrir facsímil")</f>
        <v>Abrir facsímil</v>
      </c>
      <c r="K4006" s="15" t="s">
        <v>22</v>
      </c>
    </row>
    <row r="4007" spans="1:11" ht="42" customHeight="1">
      <c r="A4007" s="4" t="s">
        <v>9285</v>
      </c>
      <c r="B4007" s="5" t="s">
        <v>9286</v>
      </c>
      <c r="C4007" s="5" t="s">
        <v>80</v>
      </c>
      <c r="D4007" s="5" t="s">
        <v>81</v>
      </c>
      <c r="E4007" s="5" t="s">
        <v>40</v>
      </c>
      <c r="F4007" s="9">
        <v>59</v>
      </c>
      <c r="G4007" s="9">
        <v>627</v>
      </c>
      <c r="H4007" s="5" t="s">
        <v>20</v>
      </c>
      <c r="I4007" s="5" t="s">
        <v>9287</v>
      </c>
      <c r="J4007" s="12" t="str">
        <f>HYPERLINK("https://www.boe.es/gazeta/dias/1805/07/23/pdfs/GMD-1805-59.pdf#page=3","Abrir facsímil")</f>
        <v>Abrir facsímil</v>
      </c>
      <c r="K4007" s="15" t="s">
        <v>22</v>
      </c>
    </row>
    <row r="4008" spans="1:11" ht="42" customHeight="1">
      <c r="A4008" s="4" t="s">
        <v>9288</v>
      </c>
      <c r="B4008" s="5" t="s">
        <v>9289</v>
      </c>
      <c r="C4008" s="5" t="s">
        <v>35</v>
      </c>
      <c r="D4008" s="5" t="s">
        <v>36</v>
      </c>
      <c r="E4008" s="5" t="s">
        <v>207</v>
      </c>
      <c r="F4008" s="9">
        <v>76</v>
      </c>
      <c r="G4008" s="9">
        <v>806</v>
      </c>
      <c r="H4008" s="5" t="s">
        <v>20</v>
      </c>
      <c r="I4008" s="5" t="s">
        <v>9290</v>
      </c>
      <c r="J4008" s="12" t="str">
        <f>HYPERLINK("https://www.boe.es/gazeta/dias/1805/09/20/pdfs/GMD-1805-76.pdf#page=6","Abrir facsímil")</f>
        <v>Abrir facsímil</v>
      </c>
      <c r="K4008" s="15" t="s">
        <v>22</v>
      </c>
    </row>
    <row r="4009" spans="1:11" ht="42" customHeight="1">
      <c r="A4009" s="4" t="s">
        <v>9291</v>
      </c>
      <c r="B4009" s="5" t="s">
        <v>9292</v>
      </c>
      <c r="C4009" s="5" t="s">
        <v>35</v>
      </c>
      <c r="D4009" s="5" t="s">
        <v>36</v>
      </c>
      <c r="E4009" s="5" t="s">
        <v>132</v>
      </c>
      <c r="F4009" s="9">
        <v>2</v>
      </c>
      <c r="G4009" s="9">
        <v>21</v>
      </c>
      <c r="H4009" s="5" t="s">
        <v>20</v>
      </c>
      <c r="I4009" s="5" t="s">
        <v>9293</v>
      </c>
      <c r="J4009" s="12" t="str">
        <f>HYPERLINK("https://www.boe.es/gazeta/dias/1805/01/04/pdfs/GMD-1805-2.pdf#page=9","Abrir facsímil")</f>
        <v>Abrir facsímil</v>
      </c>
      <c r="K4009" s="15" t="s">
        <v>22</v>
      </c>
    </row>
    <row r="4010" spans="1:11" ht="42" customHeight="1">
      <c r="A4010" s="4" t="s">
        <v>9294</v>
      </c>
      <c r="B4010" s="5" t="s">
        <v>9295</v>
      </c>
      <c r="C4010" s="5" t="s">
        <v>17</v>
      </c>
      <c r="D4010" s="5" t="s">
        <v>18</v>
      </c>
      <c r="E4010" s="5" t="s">
        <v>63</v>
      </c>
      <c r="F4010" s="9">
        <v>101</v>
      </c>
      <c r="G4010" s="9">
        <v>1092</v>
      </c>
      <c r="H4010" s="5" t="s">
        <v>20</v>
      </c>
      <c r="I4010" s="5" t="s">
        <v>9296</v>
      </c>
      <c r="J4010" s="12" t="str">
        <f>HYPERLINK("https://www.boe.es/gazeta/dias/1805/12/17/pdfs/GMD-1805-101.pdf#page=8","Abrir facsímil")</f>
        <v>Abrir facsímil</v>
      </c>
      <c r="K4010" s="15" t="s">
        <v>22</v>
      </c>
    </row>
    <row r="4011" spans="1:11" ht="42" customHeight="1">
      <c r="A4011" s="4" t="s">
        <v>9297</v>
      </c>
      <c r="B4011" s="5" t="s">
        <v>9298</v>
      </c>
      <c r="C4011" s="5" t="s">
        <v>35</v>
      </c>
      <c r="D4011" s="5" t="s">
        <v>36</v>
      </c>
      <c r="E4011" s="5" t="s">
        <v>144</v>
      </c>
      <c r="F4011" s="9">
        <v>85</v>
      </c>
      <c r="G4011" s="9">
        <v>902</v>
      </c>
      <c r="H4011" s="5" t="s">
        <v>20</v>
      </c>
      <c r="I4011" s="5" t="s">
        <v>9299</v>
      </c>
      <c r="J4011" s="12" t="str">
        <f>HYPERLINK("https://www.boe.es/gazeta/dias/1805/10/22/pdfs/GMD-1805-85.pdf#page=10","Abrir facsímil")</f>
        <v>Abrir facsímil</v>
      </c>
      <c r="K4011" s="15" t="s">
        <v>22</v>
      </c>
    </row>
    <row r="4012" spans="1:11" ht="42" customHeight="1">
      <c r="A4012" s="4" t="s">
        <v>9297</v>
      </c>
      <c r="B4012" s="5" t="s">
        <v>9298</v>
      </c>
      <c r="C4012" s="5" t="s">
        <v>35</v>
      </c>
      <c r="D4012" s="5" t="s">
        <v>36</v>
      </c>
      <c r="E4012" s="5" t="s">
        <v>67</v>
      </c>
      <c r="F4012" s="9">
        <v>98</v>
      </c>
      <c r="G4012" s="9">
        <v>1059</v>
      </c>
      <c r="H4012" s="5" t="s">
        <v>20</v>
      </c>
      <c r="I4012" s="5" t="s">
        <v>9300</v>
      </c>
      <c r="J4012" s="12" t="str">
        <f>HYPERLINK("https://www.boe.es/gazeta/dias/1805/12/06/pdfs/GMD-1805-98.pdf#page=11","Abrir facsímil")</f>
        <v>Abrir facsímil</v>
      </c>
      <c r="K4012" s="15" t="s">
        <v>22</v>
      </c>
    </row>
    <row r="4013" spans="1:11" ht="42" customHeight="1">
      <c r="A4013" s="4" t="s">
        <v>9301</v>
      </c>
      <c r="B4013" s="5" t="s">
        <v>9302</v>
      </c>
      <c r="C4013" s="5" t="s">
        <v>35</v>
      </c>
      <c r="D4013" s="5" t="s">
        <v>36</v>
      </c>
      <c r="E4013" s="5" t="s">
        <v>539</v>
      </c>
      <c r="F4013" s="9">
        <v>97</v>
      </c>
      <c r="G4013" s="9">
        <v>1043</v>
      </c>
      <c r="H4013" s="5" t="s">
        <v>20</v>
      </c>
      <c r="I4013" s="5" t="s">
        <v>9303</v>
      </c>
      <c r="J4013" s="12" t="str">
        <f>HYPERLINK("https://www.boe.es/gazeta/dias/1805/12/03/pdfs/GMD-1805-97.pdf#page=7","Abrir facsímil")</f>
        <v>Abrir facsímil</v>
      </c>
      <c r="K4013" s="15" t="s">
        <v>22</v>
      </c>
    </row>
    <row r="4014" spans="1:11" ht="42" customHeight="1">
      <c r="A4014" s="4" t="s">
        <v>9304</v>
      </c>
      <c r="B4014" s="5" t="s">
        <v>9304</v>
      </c>
      <c r="C4014" s="5" t="s">
        <v>80</v>
      </c>
      <c r="D4014" s="5" t="s">
        <v>81</v>
      </c>
      <c r="E4014" s="5" t="s">
        <v>669</v>
      </c>
      <c r="F4014" s="9">
        <v>84</v>
      </c>
      <c r="G4014" s="9">
        <v>885</v>
      </c>
      <c r="H4014" s="5" t="s">
        <v>20</v>
      </c>
      <c r="I4014" s="5" t="s">
        <v>9305</v>
      </c>
      <c r="J4014" s="12" t="str">
        <f>HYPERLINK("https://www.boe.es/gazeta/dias/1805/10/18/pdfs/GMD-1805-84.pdf#page=1","Abrir facsímil")</f>
        <v>Abrir facsímil</v>
      </c>
      <c r="K4014" s="15" t="s">
        <v>22</v>
      </c>
    </row>
    <row r="4015" spans="1:11" ht="42" customHeight="1">
      <c r="A4015" s="4" t="s">
        <v>9306</v>
      </c>
      <c r="B4015" s="5" t="s">
        <v>9307</v>
      </c>
      <c r="C4015" s="5" t="s">
        <v>35</v>
      </c>
      <c r="D4015" s="5" t="s">
        <v>36</v>
      </c>
      <c r="E4015" s="5" t="s">
        <v>192</v>
      </c>
      <c r="F4015" s="9">
        <v>105</v>
      </c>
      <c r="G4015" s="9">
        <v>1136</v>
      </c>
      <c r="H4015" s="5" t="s">
        <v>20</v>
      </c>
      <c r="I4015" s="5" t="s">
        <v>9308</v>
      </c>
      <c r="J4015" s="12" t="str">
        <f>HYPERLINK("https://www.boe.es/gazeta/dias/1805/12/31/pdfs/GMD-1805-105.pdf#page=8","Abrir facsímil")</f>
        <v>Abrir facsímil</v>
      </c>
      <c r="K4015" s="15" t="s">
        <v>22</v>
      </c>
    </row>
    <row r="4016" spans="1:11" ht="42" customHeight="1">
      <c r="A4016" s="4" t="s">
        <v>9309</v>
      </c>
      <c r="B4016" s="5" t="s">
        <v>9310</v>
      </c>
      <c r="C4016" s="5" t="s">
        <v>17</v>
      </c>
      <c r="D4016" s="5" t="s">
        <v>18</v>
      </c>
      <c r="E4016" s="5" t="s">
        <v>958</v>
      </c>
      <c r="F4016" s="9">
        <v>58</v>
      </c>
      <c r="G4016" s="9">
        <v>624</v>
      </c>
      <c r="H4016" s="5" t="s">
        <v>20</v>
      </c>
      <c r="I4016" s="5" t="s">
        <v>9311</v>
      </c>
      <c r="J4016" s="12" t="str">
        <f>HYPERLINK("https://www.boe.es/gazeta/dias/1805/07/19/pdfs/GMD-1805-58.pdf#page=8","Abrir facsímil")</f>
        <v>Abrir facsímil</v>
      </c>
      <c r="K4016" s="15" t="s">
        <v>22</v>
      </c>
    </row>
    <row r="4017" spans="1:11" ht="42" customHeight="1">
      <c r="A4017" s="4" t="s">
        <v>9312</v>
      </c>
      <c r="B4017" s="5" t="s">
        <v>9313</v>
      </c>
      <c r="C4017" s="5" t="s">
        <v>17</v>
      </c>
      <c r="D4017" s="5" t="s">
        <v>18</v>
      </c>
      <c r="E4017" s="5" t="s">
        <v>188</v>
      </c>
      <c r="F4017" s="9">
        <v>68</v>
      </c>
      <c r="G4017" s="9">
        <v>729</v>
      </c>
      <c r="H4017" s="5" t="s">
        <v>20</v>
      </c>
      <c r="I4017" s="5" t="s">
        <v>9314</v>
      </c>
      <c r="J4017" s="12" t="str">
        <f>HYPERLINK("https://www.boe.es/gazeta/dias/1805/08/23/pdfs/GMD-1805-68.pdf#page=9","Abrir facsímil")</f>
        <v>Abrir facsímil</v>
      </c>
      <c r="K4017" s="15" t="s">
        <v>22</v>
      </c>
    </row>
    <row r="4018" spans="1:11" ht="42" customHeight="1">
      <c r="A4018" s="4" t="s">
        <v>9315</v>
      </c>
      <c r="B4018" s="5" t="s">
        <v>9316</v>
      </c>
      <c r="C4018" s="5" t="s">
        <v>17</v>
      </c>
      <c r="D4018" s="5" t="s">
        <v>18</v>
      </c>
      <c r="E4018" s="5" t="s">
        <v>290</v>
      </c>
      <c r="F4018" s="9">
        <v>36</v>
      </c>
      <c r="G4018" s="9">
        <v>391</v>
      </c>
      <c r="H4018" s="5" t="s">
        <v>20</v>
      </c>
      <c r="I4018" s="5" t="s">
        <v>9317</v>
      </c>
      <c r="J4018" s="12" t="str">
        <f>HYPERLINK("https://www.boe.es/gazeta/dias/1805/05/03/pdfs/GMD-1805-36.pdf#page=11","Abrir facsímil")</f>
        <v>Abrir facsímil</v>
      </c>
      <c r="K4018" s="15" t="s">
        <v>22</v>
      </c>
    </row>
    <row r="4019" spans="1:11" ht="42" customHeight="1">
      <c r="A4019" s="4" t="s">
        <v>9318</v>
      </c>
      <c r="B4019" s="5" t="s">
        <v>9319</v>
      </c>
      <c r="C4019" s="5" t="s">
        <v>17</v>
      </c>
      <c r="D4019" s="5" t="s">
        <v>18</v>
      </c>
      <c r="E4019" s="5" t="s">
        <v>120</v>
      </c>
      <c r="F4019" s="9">
        <v>24</v>
      </c>
      <c r="G4019" s="9">
        <v>258</v>
      </c>
      <c r="H4019" s="5" t="s">
        <v>20</v>
      </c>
      <c r="I4019" s="5" t="s">
        <v>9320</v>
      </c>
      <c r="J4019" s="12" t="str">
        <f>HYPERLINK("https://www.boe.es/gazeta/dias/1805/03/22/pdfs/GMD-1805-24.pdf#page=10","Abrir facsímil")</f>
        <v>Abrir facsímil</v>
      </c>
      <c r="K4019" s="15" t="s">
        <v>22</v>
      </c>
    </row>
    <row r="4020" spans="1:11" ht="42" customHeight="1">
      <c r="A4020" s="4" t="s">
        <v>9321</v>
      </c>
      <c r="B4020" s="5" t="s">
        <v>9322</v>
      </c>
      <c r="C4020" s="5" t="s">
        <v>17</v>
      </c>
      <c r="D4020" s="5" t="s">
        <v>18</v>
      </c>
      <c r="E4020" s="5" t="s">
        <v>273</v>
      </c>
      <c r="F4020" s="9">
        <v>8</v>
      </c>
      <c r="G4020" s="9">
        <v>91</v>
      </c>
      <c r="H4020" s="5" t="s">
        <v>20</v>
      </c>
      <c r="I4020" s="5" t="s">
        <v>9323</v>
      </c>
      <c r="J4020" s="12" t="str">
        <f>HYPERLINK("https://www.boe.es/gazeta/dias/1805/01/25/pdfs/GMD-1805-8.pdf#page=11","Abrir facsímil")</f>
        <v>Abrir facsímil</v>
      </c>
      <c r="K4020" s="15" t="s">
        <v>22</v>
      </c>
    </row>
    <row r="4021" spans="1:11" ht="42" customHeight="1">
      <c r="A4021" s="4" t="s">
        <v>9324</v>
      </c>
      <c r="B4021" s="5" t="s">
        <v>9325</v>
      </c>
      <c r="C4021" s="5" t="s">
        <v>85</v>
      </c>
      <c r="D4021" s="5" t="s">
        <v>86</v>
      </c>
      <c r="E4021" s="5" t="s">
        <v>76</v>
      </c>
      <c r="F4021" s="9">
        <v>66</v>
      </c>
      <c r="G4021" s="9">
        <v>708</v>
      </c>
      <c r="H4021" s="5" t="s">
        <v>20</v>
      </c>
      <c r="I4021" s="5" t="s">
        <v>9326</v>
      </c>
      <c r="J4021" s="12" t="str">
        <f>HYPERLINK("https://www.boe.es/gazeta/dias/1805/08/16/pdfs/GMD-1805-66.pdf#page=8","Abrir facsímil")</f>
        <v>Abrir facsímil</v>
      </c>
      <c r="K4021" s="15" t="s">
        <v>22</v>
      </c>
    </row>
    <row r="4022" spans="1:11" ht="42" customHeight="1">
      <c r="A4022" s="4" t="s">
        <v>9327</v>
      </c>
      <c r="B4022" s="5" t="s">
        <v>9327</v>
      </c>
      <c r="C4022" s="5" t="s">
        <v>35</v>
      </c>
      <c r="D4022" s="5" t="s">
        <v>36</v>
      </c>
      <c r="E4022" s="5" t="s">
        <v>789</v>
      </c>
      <c r="F4022" s="9">
        <v>104</v>
      </c>
      <c r="G4022" s="9">
        <v>1128</v>
      </c>
      <c r="H4022" s="5" t="s">
        <v>20</v>
      </c>
      <c r="I4022" s="5" t="s">
        <v>9328</v>
      </c>
      <c r="J4022" s="12" t="str">
        <f>HYPERLINK("https://www.boe.es/gazeta/dias/1805/12/27/pdfs/GMD-1805-104.pdf#page=12","Abrir facsímil")</f>
        <v>Abrir facsímil</v>
      </c>
      <c r="K4022" s="15" t="s">
        <v>22</v>
      </c>
    </row>
    <row r="4023" spans="1:11" ht="42" customHeight="1">
      <c r="A4023" s="4" t="s">
        <v>9329</v>
      </c>
      <c r="B4023" s="5" t="s">
        <v>9329</v>
      </c>
      <c r="C4023" s="5" t="s">
        <v>85</v>
      </c>
      <c r="D4023" s="5" t="s">
        <v>86</v>
      </c>
      <c r="E4023" s="5" t="s">
        <v>181</v>
      </c>
      <c r="F4023" s="9">
        <v>90</v>
      </c>
      <c r="G4023" s="9">
        <v>966</v>
      </c>
      <c r="H4023" s="5" t="s">
        <v>20</v>
      </c>
      <c r="I4023" s="5" t="s">
        <v>9330</v>
      </c>
      <c r="J4023" s="12" t="str">
        <f>HYPERLINK("https://www.boe.es/gazeta/dias/1805/11/08/pdfs/GMD-1805-90.pdf#page=10","Abrir facsímil")</f>
        <v>Abrir facsímil</v>
      </c>
      <c r="K4023" s="15" t="s">
        <v>22</v>
      </c>
    </row>
    <row r="4024" spans="1:11" ht="42" customHeight="1">
      <c r="A4024" s="4" t="s">
        <v>9331</v>
      </c>
      <c r="B4024" s="5" t="s">
        <v>9331</v>
      </c>
      <c r="C4024" s="5" t="s">
        <v>35</v>
      </c>
      <c r="D4024" s="5" t="s">
        <v>36</v>
      </c>
      <c r="E4024" s="5" t="s">
        <v>1187</v>
      </c>
      <c r="F4024" s="9">
        <v>40</v>
      </c>
      <c r="G4024" s="9">
        <v>430</v>
      </c>
      <c r="H4024" s="5" t="s">
        <v>20</v>
      </c>
      <c r="I4024" s="5" t="s">
        <v>9332</v>
      </c>
      <c r="J4024" s="12" t="str">
        <f>HYPERLINK("https://www.boe.es/gazeta/dias/1805/05/17/pdfs/GMD-1805-40.pdf#page=6","Abrir facsímil")</f>
        <v>Abrir facsímil</v>
      </c>
      <c r="K4024" s="15" t="s">
        <v>22</v>
      </c>
    </row>
    <row r="4025" spans="1:11" ht="42" customHeight="1">
      <c r="A4025" s="4" t="s">
        <v>9333</v>
      </c>
      <c r="B4025" s="5" t="s">
        <v>9334</v>
      </c>
      <c r="C4025" s="5" t="s">
        <v>35</v>
      </c>
      <c r="D4025" s="5" t="s">
        <v>36</v>
      </c>
      <c r="E4025" s="5" t="s">
        <v>409</v>
      </c>
      <c r="F4025" s="9">
        <v>69</v>
      </c>
      <c r="G4025" s="9">
        <v>739</v>
      </c>
      <c r="H4025" s="5" t="s">
        <v>20</v>
      </c>
      <c r="I4025" s="5" t="s">
        <v>9335</v>
      </c>
      <c r="J4025" s="12" t="str">
        <f>HYPERLINK("https://www.boe.es/gazeta/dias/1805/08/27/pdfs/GMD-1805-69.pdf#page=7","Abrir facsímil")</f>
        <v>Abrir facsímil</v>
      </c>
      <c r="K4025" s="15" t="s">
        <v>22</v>
      </c>
    </row>
    <row r="4026" spans="1:11" ht="42" customHeight="1">
      <c r="A4026" s="4" t="s">
        <v>9336</v>
      </c>
      <c r="B4026" s="5" t="s">
        <v>9337</v>
      </c>
      <c r="C4026" s="5" t="s">
        <v>35</v>
      </c>
      <c r="D4026" s="5" t="s">
        <v>36</v>
      </c>
      <c r="E4026" s="5" t="s">
        <v>114</v>
      </c>
      <c r="F4026" s="9">
        <v>17</v>
      </c>
      <c r="G4026" s="9">
        <v>169</v>
      </c>
      <c r="H4026" s="5" t="s">
        <v>20</v>
      </c>
      <c r="I4026" s="5" t="s">
        <v>9338</v>
      </c>
      <c r="J4026" s="12" t="str">
        <f>HYPERLINK("https://www.boe.es/gazeta/dias/1805/02/26/pdfs/GMD-1805-17.pdf#page=1","Abrir facsímil")</f>
        <v>Abrir facsímil</v>
      </c>
      <c r="K4026" s="15" t="s">
        <v>22</v>
      </c>
    </row>
    <row r="4027" spans="1:11" ht="42" customHeight="1">
      <c r="A4027" s="4" t="s">
        <v>9339</v>
      </c>
      <c r="B4027" s="5" t="s">
        <v>9340</v>
      </c>
      <c r="C4027" s="5" t="s">
        <v>80</v>
      </c>
      <c r="D4027" s="5" t="s">
        <v>81</v>
      </c>
      <c r="E4027" s="5" t="s">
        <v>293</v>
      </c>
      <c r="F4027" s="9">
        <v>5</v>
      </c>
      <c r="G4027" s="9">
        <v>51</v>
      </c>
      <c r="H4027" s="5" t="s">
        <v>20</v>
      </c>
      <c r="I4027" s="5" t="s">
        <v>9341</v>
      </c>
      <c r="J4027" s="12" t="str">
        <f>HYPERLINK("https://www.boe.es/gazeta/dias/1805/01/15/pdfs/GMD-1805-5.pdf#page=7","Abrir facsímil")</f>
        <v>Abrir facsímil</v>
      </c>
      <c r="K4027" s="15" t="s">
        <v>22</v>
      </c>
    </row>
    <row r="4028" spans="1:11" ht="42" customHeight="1">
      <c r="A4028" s="4" t="s">
        <v>9339</v>
      </c>
      <c r="B4028" s="5" t="s">
        <v>9340</v>
      </c>
      <c r="C4028" s="5" t="s">
        <v>17</v>
      </c>
      <c r="D4028" s="5" t="s">
        <v>18</v>
      </c>
      <c r="E4028" s="5" t="s">
        <v>1445</v>
      </c>
      <c r="F4028" s="9">
        <v>6</v>
      </c>
      <c r="G4028" s="9">
        <v>63</v>
      </c>
      <c r="H4028" s="5" t="s">
        <v>20</v>
      </c>
      <c r="I4028" s="5" t="s">
        <v>9342</v>
      </c>
      <c r="J4028" s="12" t="str">
        <f>HYPERLINK("https://www.boe.es/gazeta/dias/1805/01/18/pdfs/GMD-1805-6.pdf#page=7","Abrir facsímil")</f>
        <v>Abrir facsímil</v>
      </c>
      <c r="K4028" s="15" t="s">
        <v>22</v>
      </c>
    </row>
    <row r="4029" spans="1:11" ht="42" customHeight="1">
      <c r="A4029" s="4" t="s">
        <v>9339</v>
      </c>
      <c r="B4029" s="5" t="s">
        <v>9340</v>
      </c>
      <c r="C4029" s="5" t="s">
        <v>17</v>
      </c>
      <c r="D4029" s="5" t="s">
        <v>18</v>
      </c>
      <c r="E4029" s="5" t="s">
        <v>71</v>
      </c>
      <c r="F4029" s="9">
        <v>33</v>
      </c>
      <c r="G4029" s="9">
        <v>350</v>
      </c>
      <c r="H4029" s="5" t="s">
        <v>20</v>
      </c>
      <c r="I4029" s="5" t="s">
        <v>9343</v>
      </c>
      <c r="J4029" s="12" t="str">
        <f>HYPERLINK("https://www.boe.es/gazeta/dias/1805/04/23/pdfs/GMD-1805-33.pdf#page=6","Abrir facsímil")</f>
        <v>Abrir facsímil</v>
      </c>
      <c r="K4029" s="15" t="s">
        <v>22</v>
      </c>
    </row>
    <row r="4030" spans="1:11" ht="42" customHeight="1">
      <c r="A4030" s="4" t="s">
        <v>9339</v>
      </c>
      <c r="B4030" s="5" t="s">
        <v>9340</v>
      </c>
      <c r="C4030" s="5" t="s">
        <v>35</v>
      </c>
      <c r="D4030" s="5" t="s">
        <v>36</v>
      </c>
      <c r="E4030" s="5" t="s">
        <v>286</v>
      </c>
      <c r="F4030" s="9">
        <v>48</v>
      </c>
      <c r="G4030" s="9">
        <v>520</v>
      </c>
      <c r="H4030" s="5" t="s">
        <v>20</v>
      </c>
      <c r="I4030" s="5" t="s">
        <v>9344</v>
      </c>
      <c r="J4030" s="12" t="str">
        <f>HYPERLINK("https://www.boe.es/gazeta/dias/1805/06/14/pdfs/GMD-1805-48.pdf#page=8","Abrir facsímil")</f>
        <v>Abrir facsímil</v>
      </c>
      <c r="K4030" s="15" t="s">
        <v>22</v>
      </c>
    </row>
    <row r="4031" spans="1:11" ht="42" customHeight="1">
      <c r="A4031" s="4" t="s">
        <v>9339</v>
      </c>
      <c r="B4031" s="5" t="s">
        <v>9340</v>
      </c>
      <c r="C4031" s="5" t="s">
        <v>17</v>
      </c>
      <c r="D4031" s="5" t="s">
        <v>18</v>
      </c>
      <c r="E4031" s="5" t="s">
        <v>40</v>
      </c>
      <c r="F4031" s="9">
        <v>59</v>
      </c>
      <c r="G4031" s="9">
        <v>630</v>
      </c>
      <c r="H4031" s="5" t="s">
        <v>20</v>
      </c>
      <c r="I4031" s="5" t="s">
        <v>9345</v>
      </c>
      <c r="J4031" s="12" t="str">
        <f>HYPERLINK("https://www.boe.es/gazeta/dias/1805/07/23/pdfs/GMD-1805-59.pdf#page=6","Abrir facsímil")</f>
        <v>Abrir facsímil</v>
      </c>
      <c r="K4031" s="15" t="s">
        <v>22</v>
      </c>
    </row>
    <row r="4032" spans="1:11" ht="42" customHeight="1">
      <c r="A4032" s="4" t="s">
        <v>9339</v>
      </c>
      <c r="B4032" s="5" t="s">
        <v>9340</v>
      </c>
      <c r="C4032" s="5" t="s">
        <v>35</v>
      </c>
      <c r="D4032" s="5" t="s">
        <v>36</v>
      </c>
      <c r="E4032" s="5" t="s">
        <v>729</v>
      </c>
      <c r="F4032" s="9">
        <v>61</v>
      </c>
      <c r="G4032" s="9">
        <v>656</v>
      </c>
      <c r="H4032" s="5" t="s">
        <v>20</v>
      </c>
      <c r="I4032" s="5" t="s">
        <v>9346</v>
      </c>
      <c r="J4032" s="12" t="str">
        <f>HYPERLINK("https://www.boe.es/gazeta/dias/1805/07/30/pdfs/GMD-1805-61.pdf#page=8","Abrir facsímil")</f>
        <v>Abrir facsímil</v>
      </c>
      <c r="K4032" s="15" t="s">
        <v>22</v>
      </c>
    </row>
    <row r="4033" spans="1:11" ht="42" customHeight="1">
      <c r="A4033" s="4" t="s">
        <v>9339</v>
      </c>
      <c r="B4033" s="5" t="s">
        <v>9340</v>
      </c>
      <c r="C4033" s="5" t="s">
        <v>35</v>
      </c>
      <c r="D4033" s="5" t="s">
        <v>36</v>
      </c>
      <c r="E4033" s="5" t="s">
        <v>31</v>
      </c>
      <c r="F4033" s="9">
        <v>65</v>
      </c>
      <c r="G4033" s="9">
        <v>694</v>
      </c>
      <c r="H4033" s="5" t="s">
        <v>20</v>
      </c>
      <c r="I4033" s="5" t="s">
        <v>9347</v>
      </c>
      <c r="J4033" s="12" t="str">
        <f>HYPERLINK("https://www.boe.es/gazeta/dias/1805/08/13/pdfs/GMD-1805-65.pdf#page=6","Abrir facsímil")</f>
        <v>Abrir facsímil</v>
      </c>
      <c r="K4033" s="15" t="s">
        <v>22</v>
      </c>
    </row>
    <row r="4034" spans="1:11" ht="42" customHeight="1">
      <c r="A4034" s="4" t="s">
        <v>9339</v>
      </c>
      <c r="B4034" s="5" t="s">
        <v>9340</v>
      </c>
      <c r="C4034" s="5" t="s">
        <v>80</v>
      </c>
      <c r="D4034" s="5" t="s">
        <v>81</v>
      </c>
      <c r="E4034" s="5" t="s">
        <v>19</v>
      </c>
      <c r="F4034" s="9">
        <v>86</v>
      </c>
      <c r="G4034" s="9">
        <v>911</v>
      </c>
      <c r="H4034" s="5" t="s">
        <v>20</v>
      </c>
      <c r="I4034" s="5" t="s">
        <v>9348</v>
      </c>
      <c r="J4034" s="12" t="str">
        <f>HYPERLINK("https://www.boe.es/gazeta/dias/1805/10/25/pdfs/GMD-1805-86.pdf#page=7","Abrir facsímil")</f>
        <v>Abrir facsímil</v>
      </c>
      <c r="K4034" s="15" t="s">
        <v>22</v>
      </c>
    </row>
    <row r="4035" spans="1:11" ht="42" customHeight="1">
      <c r="A4035" s="4" t="s">
        <v>9339</v>
      </c>
      <c r="B4035" s="5" t="s">
        <v>9340</v>
      </c>
      <c r="C4035" s="5" t="s">
        <v>80</v>
      </c>
      <c r="D4035" s="5" t="s">
        <v>81</v>
      </c>
      <c r="E4035" s="5" t="s">
        <v>209</v>
      </c>
      <c r="F4035" s="9">
        <v>89</v>
      </c>
      <c r="G4035" s="9">
        <v>952</v>
      </c>
      <c r="H4035" s="5" t="s">
        <v>20</v>
      </c>
      <c r="I4035" s="5" t="s">
        <v>9349</v>
      </c>
      <c r="J4035" s="12" t="str">
        <f>HYPERLINK("https://www.boe.es/gazeta/dias/1805/11/05/pdfs/GMD-1805-89.pdf#page=12","Abrir facsímil")</f>
        <v>Abrir facsímil</v>
      </c>
      <c r="K4035" s="15" t="s">
        <v>22</v>
      </c>
    </row>
    <row r="4036" spans="1:11" ht="42" customHeight="1">
      <c r="A4036" s="4" t="s">
        <v>9350</v>
      </c>
      <c r="B4036" s="5" t="s">
        <v>9351</v>
      </c>
      <c r="C4036" s="5" t="s">
        <v>80</v>
      </c>
      <c r="D4036" s="5" t="s">
        <v>81</v>
      </c>
      <c r="E4036" s="5" t="s">
        <v>552</v>
      </c>
      <c r="F4036" s="9">
        <v>94</v>
      </c>
      <c r="G4036" s="9">
        <v>1005</v>
      </c>
      <c r="H4036" s="5" t="s">
        <v>20</v>
      </c>
      <c r="I4036" s="5" t="s">
        <v>9352</v>
      </c>
      <c r="J4036" s="12" t="str">
        <f>HYPERLINK("https://www.boe.es/gazeta/dias/1805/11/22/pdfs/GMD-1805-94.pdf#page=5","Abrir facsímil")</f>
        <v>Abrir facsímil</v>
      </c>
      <c r="K4036" s="15" t="s">
        <v>22</v>
      </c>
    </row>
    <row r="4037" spans="1:11" ht="42" customHeight="1">
      <c r="A4037" s="4" t="s">
        <v>9339</v>
      </c>
      <c r="B4037" s="5" t="s">
        <v>9340</v>
      </c>
      <c r="C4037" s="5" t="s">
        <v>85</v>
      </c>
      <c r="D4037" s="5" t="s">
        <v>86</v>
      </c>
      <c r="E4037" s="5" t="s">
        <v>539</v>
      </c>
      <c r="F4037" s="9">
        <v>97</v>
      </c>
      <c r="G4037" s="9">
        <v>1039</v>
      </c>
      <c r="H4037" s="5" t="s">
        <v>20</v>
      </c>
      <c r="I4037" s="5" t="s">
        <v>9353</v>
      </c>
      <c r="J4037" s="12" t="str">
        <f>HYPERLINK("https://www.boe.es/gazeta/dias/1805/12/03/pdfs/GMD-1805-97.pdf#page=3","Abrir facsímil")</f>
        <v>Abrir facsímil</v>
      </c>
      <c r="K4037" s="15" t="s">
        <v>22</v>
      </c>
    </row>
    <row r="4038" spans="1:11" ht="42" customHeight="1">
      <c r="A4038" s="4" t="s">
        <v>9339</v>
      </c>
      <c r="B4038" s="5" t="s">
        <v>9340</v>
      </c>
      <c r="C4038" s="5" t="s">
        <v>35</v>
      </c>
      <c r="D4038" s="5" t="s">
        <v>36</v>
      </c>
      <c r="E4038" s="5" t="s">
        <v>539</v>
      </c>
      <c r="F4038" s="9">
        <v>97</v>
      </c>
      <c r="G4038" s="9">
        <v>1040</v>
      </c>
      <c r="H4038" s="5" t="s">
        <v>20</v>
      </c>
      <c r="I4038" s="5" t="s">
        <v>9354</v>
      </c>
      <c r="J4038" s="12" t="str">
        <f>HYPERLINK("https://www.boe.es/gazeta/dias/1805/12/03/pdfs/GMD-1805-97.pdf#page=4","Abrir facsímil")</f>
        <v>Abrir facsímil</v>
      </c>
      <c r="K4038" s="15" t="s">
        <v>22</v>
      </c>
    </row>
    <row r="4039" spans="1:11" ht="42" customHeight="1">
      <c r="A4039" s="4" t="s">
        <v>9339</v>
      </c>
      <c r="B4039" s="5" t="s">
        <v>9340</v>
      </c>
      <c r="C4039" s="5" t="s">
        <v>80</v>
      </c>
      <c r="D4039" s="5" t="s">
        <v>81</v>
      </c>
      <c r="E4039" s="5" t="s">
        <v>63</v>
      </c>
      <c r="F4039" s="9">
        <v>101</v>
      </c>
      <c r="G4039" s="9">
        <v>1089</v>
      </c>
      <c r="H4039" s="5" t="s">
        <v>20</v>
      </c>
      <c r="I4039" s="5" t="s">
        <v>9355</v>
      </c>
      <c r="J4039" s="12" t="str">
        <f>HYPERLINK("https://www.boe.es/gazeta/dias/1805/12/17/pdfs/GMD-1805-101.pdf#page=5","Abrir facsímil")</f>
        <v>Abrir facsímil</v>
      </c>
      <c r="K4039" s="15" t="s">
        <v>22</v>
      </c>
    </row>
    <row r="4040" spans="1:11" ht="42" customHeight="1">
      <c r="A4040" s="4" t="s">
        <v>9339</v>
      </c>
      <c r="B4040" s="5" t="s">
        <v>9340</v>
      </c>
      <c r="C4040" s="5" t="s">
        <v>17</v>
      </c>
      <c r="D4040" s="5" t="s">
        <v>18</v>
      </c>
      <c r="E4040" s="5" t="s">
        <v>495</v>
      </c>
      <c r="F4040" s="9">
        <v>103</v>
      </c>
      <c r="G4040" s="9">
        <v>1113</v>
      </c>
      <c r="H4040" s="5" t="s">
        <v>20</v>
      </c>
      <c r="I4040" s="5" t="s">
        <v>9356</v>
      </c>
      <c r="J4040" s="12" t="str">
        <f>HYPERLINK("https://www.boe.es/gazeta/dias/1805/12/24/pdfs/GMD-1805-103.pdf#page=5","Abrir facsímil")</f>
        <v>Abrir facsímil</v>
      </c>
      <c r="K4040" s="15" t="s">
        <v>22</v>
      </c>
    </row>
    <row r="4041" spans="1:11" ht="42" customHeight="1">
      <c r="A4041" s="4" t="s">
        <v>9357</v>
      </c>
      <c r="B4041" s="5" t="s">
        <v>9357</v>
      </c>
      <c r="C4041" s="5" t="s">
        <v>17</v>
      </c>
      <c r="D4041" s="5" t="s">
        <v>18</v>
      </c>
      <c r="E4041" s="5" t="s">
        <v>300</v>
      </c>
      <c r="F4041" s="9">
        <v>81</v>
      </c>
      <c r="G4041" s="9">
        <v>859</v>
      </c>
      <c r="H4041" s="5" t="s">
        <v>20</v>
      </c>
      <c r="I4041" s="5" t="s">
        <v>9358</v>
      </c>
      <c r="J4041" s="12" t="str">
        <f>HYPERLINK("https://www.boe.es/gazeta/dias/1805/10/08/pdfs/GMD-1805-81.pdf#page=7","Abrir facsímil")</f>
        <v>Abrir facsímil</v>
      </c>
      <c r="K4041" s="15" t="s">
        <v>22</v>
      </c>
    </row>
    <row r="4042" spans="1:11" ht="42" customHeight="1">
      <c r="A4042" s="4" t="s">
        <v>9359</v>
      </c>
      <c r="B4042" s="5" t="s">
        <v>9360</v>
      </c>
      <c r="C4042" s="5" t="s">
        <v>80</v>
      </c>
      <c r="D4042" s="5" t="s">
        <v>81</v>
      </c>
      <c r="E4042" s="5" t="s">
        <v>335</v>
      </c>
      <c r="F4042" s="9">
        <v>79</v>
      </c>
      <c r="G4042" s="9">
        <v>832</v>
      </c>
      <c r="H4042" s="5" t="s">
        <v>20</v>
      </c>
      <c r="I4042" s="5" t="s">
        <v>9361</v>
      </c>
      <c r="J4042" s="12" t="str">
        <f>HYPERLINK("https://www.boe.es/gazeta/dias/1805/10/01/pdfs/GMD-1805-79.pdf#page=4","Abrir facsímil")</f>
        <v>Abrir facsímil</v>
      </c>
      <c r="K4042" s="15" t="s">
        <v>22</v>
      </c>
    </row>
    <row r="4043" spans="1:11" ht="42" customHeight="1">
      <c r="A4043" s="4" t="s">
        <v>9362</v>
      </c>
      <c r="B4043" s="5" t="s">
        <v>9363</v>
      </c>
      <c r="C4043" s="5" t="s">
        <v>80</v>
      </c>
      <c r="D4043" s="5" t="s">
        <v>81</v>
      </c>
      <c r="E4043" s="5" t="s">
        <v>512</v>
      </c>
      <c r="F4043" s="9">
        <v>100</v>
      </c>
      <c r="G4043" s="9">
        <v>1074</v>
      </c>
      <c r="H4043" s="5" t="s">
        <v>20</v>
      </c>
      <c r="I4043" s="5" t="s">
        <v>9364</v>
      </c>
      <c r="J4043" s="12" t="str">
        <f>HYPERLINK("https://www.boe.es/gazeta/dias/1805/12/13/pdfs/GMD-1805-100.pdf#page=2","Abrir facsímil")</f>
        <v>Abrir facsímil</v>
      </c>
      <c r="K4043" s="15" t="s">
        <v>22</v>
      </c>
    </row>
    <row r="4044" spans="1:11" ht="42" customHeight="1">
      <c r="A4044" s="4" t="s">
        <v>9365</v>
      </c>
      <c r="B4044" s="5" t="s">
        <v>9365</v>
      </c>
      <c r="C4044" s="5" t="s">
        <v>80</v>
      </c>
      <c r="D4044" s="5" t="s">
        <v>81</v>
      </c>
      <c r="E4044" s="5" t="s">
        <v>711</v>
      </c>
      <c r="F4044" s="9">
        <v>63</v>
      </c>
      <c r="G4044" s="9">
        <v>670</v>
      </c>
      <c r="H4044" s="5" t="s">
        <v>20</v>
      </c>
      <c r="I4044" s="5" t="s">
        <v>9366</v>
      </c>
      <c r="J4044" s="12" t="str">
        <f>HYPERLINK("https://www.boe.es/gazeta/dias/1805/08/06/pdfs/GMD-1805-63.pdf#page=6","Abrir facsímil")</f>
        <v>Abrir facsímil</v>
      </c>
      <c r="K4044" s="15" t="s">
        <v>22</v>
      </c>
    </row>
    <row r="4045" spans="1:11" ht="42" customHeight="1">
      <c r="A4045" s="4" t="s">
        <v>9367</v>
      </c>
      <c r="B4045" s="5" t="s">
        <v>9368</v>
      </c>
      <c r="C4045" s="5" t="s">
        <v>52</v>
      </c>
      <c r="D4045" s="5" t="s">
        <v>53</v>
      </c>
      <c r="E4045" s="5" t="s">
        <v>144</v>
      </c>
      <c r="F4045" s="9">
        <v>85</v>
      </c>
      <c r="G4045" s="9" t="s">
        <v>772</v>
      </c>
      <c r="H4045" s="5" t="s">
        <v>20</v>
      </c>
      <c r="I4045" s="5" t="s">
        <v>9369</v>
      </c>
      <c r="J4045" s="12" t="str">
        <f>HYPERLINK("https://www.boe.es/gazeta/dias/1805/10/22/pdfs/GMD-C-1805-85.pdf#page=6","Abrir facsímil")</f>
        <v>Abrir facsímil</v>
      </c>
      <c r="K4045" s="15" t="s">
        <v>22</v>
      </c>
    </row>
    <row r="4046" spans="1:11" ht="42" customHeight="1">
      <c r="A4046" s="4" t="s">
        <v>9370</v>
      </c>
      <c r="B4046" s="5" t="s">
        <v>9371</v>
      </c>
      <c r="C4046" s="5" t="s">
        <v>80</v>
      </c>
      <c r="D4046" s="5" t="s">
        <v>81</v>
      </c>
      <c r="E4046" s="5" t="s">
        <v>958</v>
      </c>
      <c r="F4046" s="9">
        <v>58</v>
      </c>
      <c r="G4046" s="9">
        <v>618</v>
      </c>
      <c r="H4046" s="5" t="s">
        <v>20</v>
      </c>
      <c r="I4046" s="5" t="s">
        <v>9372</v>
      </c>
      <c r="J4046" s="12" t="str">
        <f>HYPERLINK("https://www.boe.es/gazeta/dias/1805/07/19/pdfs/GMD-1805-58.pdf#page=2","Abrir facsímil")</f>
        <v>Abrir facsímil</v>
      </c>
      <c r="K4046" s="15" t="s">
        <v>22</v>
      </c>
    </row>
    <row r="4047" spans="1:11" ht="42" customHeight="1">
      <c r="A4047" s="4" t="s">
        <v>9373</v>
      </c>
      <c r="B4047" s="5" t="s">
        <v>9374</v>
      </c>
      <c r="C4047" s="5" t="s">
        <v>35</v>
      </c>
      <c r="D4047" s="5" t="s">
        <v>36</v>
      </c>
      <c r="E4047" s="5" t="s">
        <v>886</v>
      </c>
      <c r="F4047" s="9">
        <v>93</v>
      </c>
      <c r="G4047" s="9">
        <v>991</v>
      </c>
      <c r="H4047" s="5" t="s">
        <v>20</v>
      </c>
      <c r="I4047" s="5" t="s">
        <v>9375</v>
      </c>
      <c r="J4047" s="12" t="str">
        <f>HYPERLINK("https://www.boe.es/gazeta/dias/1805/11/19/pdfs/GMD-1805-93.pdf#page=3","Abrir facsímil")</f>
        <v>Abrir facsímil</v>
      </c>
      <c r="K4047" s="15" t="s">
        <v>22</v>
      </c>
    </row>
    <row r="4048" spans="1:11" ht="42" customHeight="1">
      <c r="A4048" s="4" t="s">
        <v>9376</v>
      </c>
      <c r="B4048" s="5" t="s">
        <v>9377</v>
      </c>
      <c r="C4048" s="5" t="s">
        <v>17</v>
      </c>
      <c r="D4048" s="5" t="s">
        <v>18</v>
      </c>
      <c r="E4048" s="5" t="s">
        <v>71</v>
      </c>
      <c r="F4048" s="9">
        <v>33</v>
      </c>
      <c r="G4048" s="9">
        <v>350</v>
      </c>
      <c r="H4048" s="5" t="s">
        <v>20</v>
      </c>
      <c r="I4048" s="5" t="s">
        <v>9378</v>
      </c>
      <c r="J4048" s="12" t="str">
        <f>HYPERLINK("https://www.boe.es/gazeta/dias/1805/04/23/pdfs/GMD-1805-33.pdf#page=6","Abrir facsímil")</f>
        <v>Abrir facsímil</v>
      </c>
      <c r="K4048" s="15" t="s">
        <v>22</v>
      </c>
    </row>
    <row r="4049" spans="1:11" ht="42" customHeight="1">
      <c r="A4049" s="4" t="s">
        <v>9379</v>
      </c>
      <c r="B4049" s="5" t="s">
        <v>9380</v>
      </c>
      <c r="C4049" s="5" t="s">
        <v>35</v>
      </c>
      <c r="D4049" s="5" t="s">
        <v>36</v>
      </c>
      <c r="E4049" s="5" t="s">
        <v>91</v>
      </c>
      <c r="F4049" s="9">
        <v>28</v>
      </c>
      <c r="G4049" s="9">
        <v>300</v>
      </c>
      <c r="H4049" s="5" t="s">
        <v>20</v>
      </c>
      <c r="I4049" s="5" t="s">
        <v>9381</v>
      </c>
      <c r="J4049" s="12" t="str">
        <f>HYPERLINK("https://www.boe.es/gazeta/dias/1805/04/05/pdfs/GMD-1805-28.pdf#page=8","Abrir facsímil")</f>
        <v>Abrir facsímil</v>
      </c>
      <c r="K4049" s="15" t="s">
        <v>22</v>
      </c>
    </row>
    <row r="4050" spans="1:11" ht="42" customHeight="1">
      <c r="A4050" s="4" t="s">
        <v>9382</v>
      </c>
      <c r="B4050" s="5" t="s">
        <v>9382</v>
      </c>
      <c r="C4050" s="5" t="s">
        <v>35</v>
      </c>
      <c r="D4050" s="5" t="s">
        <v>36</v>
      </c>
      <c r="E4050" s="5" t="s">
        <v>1471</v>
      </c>
      <c r="F4050" s="9">
        <v>34</v>
      </c>
      <c r="G4050" s="9">
        <v>361</v>
      </c>
      <c r="H4050" s="5" t="s">
        <v>20</v>
      </c>
      <c r="I4050" s="5" t="s">
        <v>9383</v>
      </c>
      <c r="J4050" s="12" t="str">
        <f>HYPERLINK("https://www.boe.es/gazeta/dias/1805/04/26/pdfs/GMD-1805-34.pdf#page=5","Abrir facsímil")</f>
        <v>Abrir facsímil</v>
      </c>
      <c r="K4050" s="15" t="s">
        <v>22</v>
      </c>
    </row>
    <row r="4051" spans="1:11" ht="42" customHeight="1">
      <c r="A4051" s="4" t="s">
        <v>9384</v>
      </c>
      <c r="B4051" s="5" t="s">
        <v>9385</v>
      </c>
      <c r="C4051" s="5" t="s">
        <v>17</v>
      </c>
      <c r="D4051" s="5" t="s">
        <v>18</v>
      </c>
      <c r="E4051" s="5" t="s">
        <v>24</v>
      </c>
      <c r="F4051" s="9">
        <v>11</v>
      </c>
      <c r="G4051" s="9">
        <v>121</v>
      </c>
      <c r="H4051" s="5" t="s">
        <v>20</v>
      </c>
      <c r="I4051" s="5" t="s">
        <v>9386</v>
      </c>
      <c r="J4051" s="12" t="str">
        <f>HYPERLINK("https://www.boe.es/gazeta/dias/1805/02/05/pdfs/GMD-1805-11.pdf#page=9","Abrir facsímil")</f>
        <v>Abrir facsímil</v>
      </c>
      <c r="K4051" s="15" t="s">
        <v>22</v>
      </c>
    </row>
    <row r="4052" spans="1:11" ht="42" customHeight="1">
      <c r="A4052" s="4" t="s">
        <v>9387</v>
      </c>
      <c r="B4052" s="5" t="s">
        <v>9388</v>
      </c>
      <c r="C4052" s="5" t="s">
        <v>35</v>
      </c>
      <c r="D4052" s="5" t="s">
        <v>36</v>
      </c>
      <c r="E4052" s="5" t="s">
        <v>904</v>
      </c>
      <c r="F4052" s="9">
        <v>47</v>
      </c>
      <c r="G4052" s="9">
        <v>509</v>
      </c>
      <c r="H4052" s="5" t="s">
        <v>20</v>
      </c>
      <c r="I4052" s="5" t="s">
        <v>9389</v>
      </c>
      <c r="J4052" s="12" t="str">
        <f>HYPERLINK("https://www.boe.es/gazeta/dias/1805/06/11/pdfs/GMD-1805-47.pdf#page=9","Abrir facsímil")</f>
        <v>Abrir facsímil</v>
      </c>
      <c r="K4052" s="15" t="s">
        <v>22</v>
      </c>
    </row>
    <row r="4053" spans="1:11" ht="42" customHeight="1">
      <c r="A4053" s="4" t="s">
        <v>9390</v>
      </c>
      <c r="B4053" s="5" t="s">
        <v>9391</v>
      </c>
      <c r="C4053" s="5" t="s">
        <v>35</v>
      </c>
      <c r="D4053" s="5" t="s">
        <v>36</v>
      </c>
      <c r="E4053" s="5" t="s">
        <v>303</v>
      </c>
      <c r="F4053" s="9">
        <v>57</v>
      </c>
      <c r="G4053" s="9">
        <v>611</v>
      </c>
      <c r="H4053" s="5" t="s">
        <v>20</v>
      </c>
      <c r="I4053" s="5" t="s">
        <v>9392</v>
      </c>
      <c r="J4053" s="12" t="str">
        <f>HYPERLINK("https://www.boe.es/gazeta/dias/1805/07/16/pdfs/GMD-1805-57.pdf#page=7","Abrir facsímil")</f>
        <v>Abrir facsímil</v>
      </c>
      <c r="K4053" s="15" t="s">
        <v>22</v>
      </c>
    </row>
    <row r="4054" spans="1:11" ht="42" customHeight="1">
      <c r="A4054" s="4" t="s">
        <v>9393</v>
      </c>
      <c r="B4054" s="5" t="s">
        <v>9393</v>
      </c>
      <c r="C4054" s="5" t="s">
        <v>184</v>
      </c>
      <c r="D4054" s="5" t="s">
        <v>86</v>
      </c>
      <c r="E4054" s="5" t="s">
        <v>200</v>
      </c>
      <c r="F4054" s="9">
        <v>91</v>
      </c>
      <c r="G4054" s="9">
        <v>972</v>
      </c>
      <c r="H4054" s="5" t="s">
        <v>20</v>
      </c>
      <c r="I4054" s="5" t="s">
        <v>9394</v>
      </c>
      <c r="J4054" s="12" t="str">
        <f>HYPERLINK("https://www.boe.es/gazeta/dias/1805/11/12/pdfs/GMD-1805-91.pdf#page=4","Abrir facsímil")</f>
        <v>Abrir facsímil</v>
      </c>
      <c r="K4054" s="15" t="s">
        <v>22</v>
      </c>
    </row>
    <row r="4055" spans="1:11" ht="42" customHeight="1">
      <c r="A4055" s="4" t="s">
        <v>9395</v>
      </c>
      <c r="B4055" s="5" t="s">
        <v>9396</v>
      </c>
      <c r="C4055" s="5" t="s">
        <v>80</v>
      </c>
      <c r="D4055" s="5" t="s">
        <v>81</v>
      </c>
      <c r="E4055" s="5" t="s">
        <v>456</v>
      </c>
      <c r="F4055" s="9">
        <v>70</v>
      </c>
      <c r="G4055" s="9">
        <v>742</v>
      </c>
      <c r="H4055" s="5" t="s">
        <v>20</v>
      </c>
      <c r="I4055" s="5" t="s">
        <v>9397</v>
      </c>
      <c r="J4055" s="12" t="str">
        <f>HYPERLINK("https://www.boe.es/gazeta/dias/1805/08/30/pdfs/GMD-1805-70.pdf#page=2","Abrir facsímil")</f>
        <v>Abrir facsímil</v>
      </c>
      <c r="K4055" s="15" t="s">
        <v>22</v>
      </c>
    </row>
    <row r="4056" spans="1:11" ht="42" customHeight="1">
      <c r="A4056" s="4" t="s">
        <v>9398</v>
      </c>
      <c r="B4056" s="5" t="s">
        <v>9399</v>
      </c>
      <c r="C4056" s="5" t="s">
        <v>35</v>
      </c>
      <c r="D4056" s="5" t="s">
        <v>36</v>
      </c>
      <c r="E4056" s="5" t="s">
        <v>356</v>
      </c>
      <c r="F4056" s="9">
        <v>12</v>
      </c>
      <c r="G4056" s="9">
        <v>127</v>
      </c>
      <c r="H4056" s="5" t="s">
        <v>20</v>
      </c>
      <c r="I4056" s="5" t="s">
        <v>9400</v>
      </c>
      <c r="J4056" s="12" t="str">
        <f>HYPERLINK("https://www.boe.es/gazeta/dias/1805/02/08/pdfs/GMD-1805-12.pdf#page=3","Abrir facsímil")</f>
        <v>Abrir facsímil</v>
      </c>
      <c r="K4056" s="15" t="s">
        <v>22</v>
      </c>
    </row>
    <row r="4057" spans="1:11" ht="42" customHeight="1">
      <c r="A4057" s="4" t="s">
        <v>9398</v>
      </c>
      <c r="B4057" s="5" t="s">
        <v>9399</v>
      </c>
      <c r="C4057" s="5" t="s">
        <v>184</v>
      </c>
      <c r="D4057" s="5" t="s">
        <v>86</v>
      </c>
      <c r="E4057" s="5" t="s">
        <v>114</v>
      </c>
      <c r="F4057" s="9">
        <v>17</v>
      </c>
      <c r="G4057" s="9">
        <v>173</v>
      </c>
      <c r="H4057" s="5" t="s">
        <v>20</v>
      </c>
      <c r="I4057" s="5" t="s">
        <v>9401</v>
      </c>
      <c r="J4057" s="12" t="str">
        <f>HYPERLINK("https://www.boe.es/gazeta/dias/1805/02/26/pdfs/GMD-1805-17.pdf#page=5","Abrir facsímil")</f>
        <v>Abrir facsímil</v>
      </c>
      <c r="K4057" s="15" t="s">
        <v>22</v>
      </c>
    </row>
    <row r="4058" spans="1:11" ht="42" customHeight="1">
      <c r="A4058" s="4" t="s">
        <v>9398</v>
      </c>
      <c r="B4058" s="5" t="s">
        <v>9399</v>
      </c>
      <c r="C4058" s="5" t="s">
        <v>80</v>
      </c>
      <c r="D4058" s="5" t="s">
        <v>81</v>
      </c>
      <c r="E4058" s="5" t="s">
        <v>711</v>
      </c>
      <c r="F4058" s="9">
        <v>63</v>
      </c>
      <c r="G4058" s="9">
        <v>667</v>
      </c>
      <c r="H4058" s="5" t="s">
        <v>20</v>
      </c>
      <c r="I4058" s="5" t="s">
        <v>9402</v>
      </c>
      <c r="J4058" s="12" t="str">
        <f>HYPERLINK("https://www.boe.es/gazeta/dias/1805/08/06/pdfs/GMD-1805-63.pdf#page=3","Abrir facsímil")</f>
        <v>Abrir facsímil</v>
      </c>
      <c r="K4058" s="15" t="s">
        <v>22</v>
      </c>
    </row>
    <row r="4059" spans="1:11" ht="42" customHeight="1">
      <c r="A4059" s="4" t="s">
        <v>9398</v>
      </c>
      <c r="B4059" s="5" t="s">
        <v>9399</v>
      </c>
      <c r="C4059" s="5" t="s">
        <v>80</v>
      </c>
      <c r="D4059" s="5" t="s">
        <v>81</v>
      </c>
      <c r="E4059" s="5" t="s">
        <v>207</v>
      </c>
      <c r="F4059" s="9">
        <v>76</v>
      </c>
      <c r="G4059" s="9">
        <v>801</v>
      </c>
      <c r="H4059" s="5" t="s">
        <v>20</v>
      </c>
      <c r="I4059" s="5" t="s">
        <v>9403</v>
      </c>
      <c r="J4059" s="12" t="str">
        <f>HYPERLINK("https://www.boe.es/gazeta/dias/1805/09/20/pdfs/GMD-1805-76.pdf#page=1","Abrir facsímil")</f>
        <v>Abrir facsímil</v>
      </c>
      <c r="K4059" s="15" t="s">
        <v>22</v>
      </c>
    </row>
    <row r="4060" spans="1:11" ht="42" customHeight="1">
      <c r="A4060" s="4" t="s">
        <v>9398</v>
      </c>
      <c r="B4060" s="5" t="s">
        <v>9399</v>
      </c>
      <c r="C4060" s="5" t="s">
        <v>80</v>
      </c>
      <c r="D4060" s="5" t="s">
        <v>81</v>
      </c>
      <c r="E4060" s="5" t="s">
        <v>335</v>
      </c>
      <c r="F4060" s="9">
        <v>79</v>
      </c>
      <c r="G4060" s="9">
        <v>835</v>
      </c>
      <c r="H4060" s="5" t="s">
        <v>20</v>
      </c>
      <c r="I4060" s="5" t="s">
        <v>9404</v>
      </c>
      <c r="J4060" s="12" t="str">
        <f>HYPERLINK("https://www.boe.es/gazeta/dias/1805/10/01/pdfs/GMD-1805-79.pdf#page=7","Abrir facsímil")</f>
        <v>Abrir facsímil</v>
      </c>
      <c r="K4060" s="15" t="s">
        <v>22</v>
      </c>
    </row>
    <row r="4061" spans="1:11" ht="42" customHeight="1">
      <c r="A4061" s="4" t="s">
        <v>9398</v>
      </c>
      <c r="B4061" s="5" t="s">
        <v>9399</v>
      </c>
      <c r="C4061" s="5" t="s">
        <v>80</v>
      </c>
      <c r="D4061" s="5" t="s">
        <v>81</v>
      </c>
      <c r="E4061" s="5" t="s">
        <v>99</v>
      </c>
      <c r="F4061" s="9">
        <v>83</v>
      </c>
      <c r="G4061" s="9">
        <v>873</v>
      </c>
      <c r="H4061" s="5" t="s">
        <v>20</v>
      </c>
      <c r="I4061" s="5" t="s">
        <v>9405</v>
      </c>
      <c r="J4061" s="12" t="str">
        <f>HYPERLINK("https://www.boe.es/gazeta/dias/1805/10/15/pdfs/GMD-1805-83.pdf#page=1","Abrir facsímil")</f>
        <v>Abrir facsímil</v>
      </c>
      <c r="K4061" s="15" t="s">
        <v>22</v>
      </c>
    </row>
    <row r="4062" spans="1:11" ht="42" customHeight="1">
      <c r="A4062" s="4" t="s">
        <v>9398</v>
      </c>
      <c r="B4062" s="5" t="s">
        <v>9399</v>
      </c>
      <c r="C4062" s="5" t="s">
        <v>80</v>
      </c>
      <c r="D4062" s="5" t="s">
        <v>81</v>
      </c>
      <c r="E4062" s="5" t="s">
        <v>669</v>
      </c>
      <c r="F4062" s="9">
        <v>84</v>
      </c>
      <c r="G4062" s="9">
        <v>888</v>
      </c>
      <c r="H4062" s="5" t="s">
        <v>20</v>
      </c>
      <c r="I4062" s="5" t="s">
        <v>9406</v>
      </c>
      <c r="J4062" s="12" t="str">
        <f>HYPERLINK("https://www.boe.es/gazeta/dias/1805/10/18/pdfs/GMD-1805-84.pdf#page=4","Abrir facsímil")</f>
        <v>Abrir facsímil</v>
      </c>
      <c r="K4062" s="15" t="s">
        <v>22</v>
      </c>
    </row>
    <row r="4063" spans="1:11" ht="42" customHeight="1">
      <c r="A4063" s="4" t="s">
        <v>9398</v>
      </c>
      <c r="B4063" s="5" t="s">
        <v>9399</v>
      </c>
      <c r="C4063" s="5" t="s">
        <v>80</v>
      </c>
      <c r="D4063" s="5" t="s">
        <v>81</v>
      </c>
      <c r="E4063" s="5" t="s">
        <v>864</v>
      </c>
      <c r="F4063" s="9">
        <v>88</v>
      </c>
      <c r="G4063" s="9">
        <v>931</v>
      </c>
      <c r="H4063" s="5" t="s">
        <v>20</v>
      </c>
      <c r="I4063" s="5" t="s">
        <v>9407</v>
      </c>
      <c r="J4063" s="12" t="str">
        <f>HYPERLINK("https://www.boe.es/gazeta/dias/1805/11/01/pdfs/GMD-1805-88.pdf#page=3","Abrir facsímil")</f>
        <v>Abrir facsímil</v>
      </c>
      <c r="K4063" s="15" t="s">
        <v>22</v>
      </c>
    </row>
    <row r="4064" spans="1:11" ht="42" customHeight="1">
      <c r="A4064" s="4" t="s">
        <v>9398</v>
      </c>
      <c r="B4064" s="5" t="s">
        <v>9399</v>
      </c>
      <c r="C4064" s="5" t="s">
        <v>80</v>
      </c>
      <c r="D4064" s="5" t="s">
        <v>81</v>
      </c>
      <c r="E4064" s="5" t="s">
        <v>864</v>
      </c>
      <c r="F4064" s="9">
        <v>88</v>
      </c>
      <c r="G4064" s="9">
        <v>936</v>
      </c>
      <c r="H4064" s="5" t="s">
        <v>20</v>
      </c>
      <c r="I4064" s="5" t="s">
        <v>9408</v>
      </c>
      <c r="J4064" s="12" t="str">
        <f>HYPERLINK("https://www.boe.es/gazeta/dias/1805/11/01/pdfs/GMD-1805-88.pdf#page=8","Abrir facsímil")</f>
        <v>Abrir facsímil</v>
      </c>
      <c r="K4064" s="15" t="s">
        <v>22</v>
      </c>
    </row>
    <row r="4065" spans="1:11" ht="42" customHeight="1">
      <c r="A4065" s="4" t="s">
        <v>9398</v>
      </c>
      <c r="B4065" s="5" t="s">
        <v>9399</v>
      </c>
      <c r="C4065" s="5" t="s">
        <v>35</v>
      </c>
      <c r="D4065" s="5" t="s">
        <v>36</v>
      </c>
      <c r="E4065" s="5" t="s">
        <v>864</v>
      </c>
      <c r="F4065" s="9">
        <v>88</v>
      </c>
      <c r="G4065" s="9">
        <v>937</v>
      </c>
      <c r="H4065" s="5" t="s">
        <v>20</v>
      </c>
      <c r="I4065" s="5" t="s">
        <v>9409</v>
      </c>
      <c r="J4065" s="12" t="str">
        <f>HYPERLINK("https://www.boe.es/gazeta/dias/1805/11/01/pdfs/GMD-1805-88.pdf#page=9","Abrir facsímil")</f>
        <v>Abrir facsímil</v>
      </c>
      <c r="K4065" s="15" t="s">
        <v>22</v>
      </c>
    </row>
    <row r="4066" spans="1:11" ht="42" customHeight="1">
      <c r="A4066" s="4" t="s">
        <v>9398</v>
      </c>
      <c r="B4066" s="5" t="s">
        <v>9399</v>
      </c>
      <c r="C4066" s="5" t="s">
        <v>35</v>
      </c>
      <c r="D4066" s="5" t="s">
        <v>36</v>
      </c>
      <c r="E4066" s="5" t="s">
        <v>209</v>
      </c>
      <c r="F4066" s="9">
        <v>89</v>
      </c>
      <c r="G4066" s="9">
        <v>950</v>
      </c>
      <c r="H4066" s="5" t="s">
        <v>20</v>
      </c>
      <c r="I4066" s="5" t="s">
        <v>9410</v>
      </c>
      <c r="J4066" s="12" t="str">
        <f>HYPERLINK("https://www.boe.es/gazeta/dias/1805/11/05/pdfs/GMD-1805-89.pdf#page=10","Abrir facsímil")</f>
        <v>Abrir facsímil</v>
      </c>
      <c r="K4066" s="15" t="s">
        <v>22</v>
      </c>
    </row>
    <row r="4067" spans="1:11" ht="42" customHeight="1">
      <c r="A4067" s="4" t="s">
        <v>9398</v>
      </c>
      <c r="B4067" s="5" t="s">
        <v>9399</v>
      </c>
      <c r="C4067" s="5" t="s">
        <v>35</v>
      </c>
      <c r="D4067" s="5" t="s">
        <v>36</v>
      </c>
      <c r="E4067" s="5" t="s">
        <v>209</v>
      </c>
      <c r="F4067" s="9">
        <v>89</v>
      </c>
      <c r="G4067" s="9">
        <v>951</v>
      </c>
      <c r="H4067" s="5" t="s">
        <v>20</v>
      </c>
      <c r="I4067" s="5" t="s">
        <v>9411</v>
      </c>
      <c r="J4067" s="12" t="str">
        <f>HYPERLINK("https://www.boe.es/gazeta/dias/1805/11/05/pdfs/GMD-1805-89.pdf#page=11","Abrir facsímil")</f>
        <v>Abrir facsímil</v>
      </c>
      <c r="K4067" s="15" t="s">
        <v>22</v>
      </c>
    </row>
    <row r="4068" spans="1:11" ht="42" customHeight="1">
      <c r="A4068" s="4" t="s">
        <v>9398</v>
      </c>
      <c r="B4068" s="5" t="s">
        <v>9399</v>
      </c>
      <c r="C4068" s="5" t="s">
        <v>80</v>
      </c>
      <c r="D4068" s="5" t="s">
        <v>81</v>
      </c>
      <c r="E4068" s="5" t="s">
        <v>181</v>
      </c>
      <c r="F4068" s="9">
        <v>90</v>
      </c>
      <c r="G4068" s="9">
        <v>958</v>
      </c>
      <c r="H4068" s="5" t="s">
        <v>20</v>
      </c>
      <c r="I4068" s="5" t="s">
        <v>9412</v>
      </c>
      <c r="J4068" s="12" t="str">
        <f>HYPERLINK("https://www.boe.es/gazeta/dias/1805/11/08/pdfs/GMD-1805-90.pdf#page=2","Abrir facsímil")</f>
        <v>Abrir facsímil</v>
      </c>
      <c r="K4068" s="15" t="s">
        <v>22</v>
      </c>
    </row>
    <row r="4069" spans="1:11" ht="42" customHeight="1">
      <c r="A4069" s="4" t="s">
        <v>9398</v>
      </c>
      <c r="B4069" s="5" t="s">
        <v>9399</v>
      </c>
      <c r="C4069" s="5" t="s">
        <v>80</v>
      </c>
      <c r="D4069" s="5" t="s">
        <v>81</v>
      </c>
      <c r="E4069" s="5" t="s">
        <v>181</v>
      </c>
      <c r="F4069" s="9">
        <v>90</v>
      </c>
      <c r="G4069" s="9">
        <v>960</v>
      </c>
      <c r="H4069" s="5" t="s">
        <v>20</v>
      </c>
      <c r="I4069" s="5" t="s">
        <v>9413</v>
      </c>
      <c r="J4069" s="12" t="str">
        <f>HYPERLINK("https://www.boe.es/gazeta/dias/1805/11/08/pdfs/GMD-1805-90.pdf#page=4","Abrir facsímil")</f>
        <v>Abrir facsímil</v>
      </c>
      <c r="K4069" s="15" t="s">
        <v>22</v>
      </c>
    </row>
    <row r="4070" spans="1:11" ht="42" customHeight="1">
      <c r="A4070" s="4" t="s">
        <v>9398</v>
      </c>
      <c r="B4070" s="5" t="s">
        <v>9399</v>
      </c>
      <c r="C4070" s="5" t="s">
        <v>35</v>
      </c>
      <c r="D4070" s="5" t="s">
        <v>36</v>
      </c>
      <c r="E4070" s="5" t="s">
        <v>181</v>
      </c>
      <c r="F4070" s="9">
        <v>90</v>
      </c>
      <c r="G4070" s="9">
        <v>961</v>
      </c>
      <c r="H4070" s="5" t="s">
        <v>20</v>
      </c>
      <c r="I4070" s="5" t="s">
        <v>9414</v>
      </c>
      <c r="J4070" s="12" t="str">
        <f>HYPERLINK("https://www.boe.es/gazeta/dias/1805/11/08/pdfs/GMD-1805-90.pdf#page=5","Abrir facsímil")</f>
        <v>Abrir facsímil</v>
      </c>
      <c r="K4070" s="15" t="s">
        <v>22</v>
      </c>
    </row>
    <row r="4071" spans="1:11" ht="42" customHeight="1">
      <c r="A4071" s="4" t="s">
        <v>9398</v>
      </c>
      <c r="B4071" s="5" t="s">
        <v>9399</v>
      </c>
      <c r="C4071" s="5" t="s">
        <v>80</v>
      </c>
      <c r="D4071" s="5" t="s">
        <v>81</v>
      </c>
      <c r="E4071" s="5" t="s">
        <v>886</v>
      </c>
      <c r="F4071" s="9">
        <v>93</v>
      </c>
      <c r="G4071" s="9">
        <v>993</v>
      </c>
      <c r="H4071" s="5" t="s">
        <v>20</v>
      </c>
      <c r="I4071" s="5" t="s">
        <v>9415</v>
      </c>
      <c r="J4071" s="12" t="str">
        <f>HYPERLINK("https://www.boe.es/gazeta/dias/1805/11/19/pdfs/GMD-1805-93.pdf#page=5","Abrir facsímil")</f>
        <v>Abrir facsímil</v>
      </c>
      <c r="K4071" s="15" t="s">
        <v>22</v>
      </c>
    </row>
    <row r="4072" spans="1:11" ht="42" customHeight="1">
      <c r="A4072" s="4" t="s">
        <v>9398</v>
      </c>
      <c r="B4072" s="5" t="s">
        <v>9399</v>
      </c>
      <c r="C4072" s="5" t="s">
        <v>17</v>
      </c>
      <c r="D4072" s="5" t="s">
        <v>18</v>
      </c>
      <c r="E4072" s="5" t="s">
        <v>787</v>
      </c>
      <c r="F4072" s="9">
        <v>95</v>
      </c>
      <c r="G4072" s="9">
        <v>1016</v>
      </c>
      <c r="H4072" s="5" t="s">
        <v>20</v>
      </c>
      <c r="I4072" s="5" t="s">
        <v>9416</v>
      </c>
      <c r="J4072" s="12" t="str">
        <f>HYPERLINK("https://www.boe.es/gazeta/dias/1805/11/26/pdfs/GMD-1805-95.pdf#page=4","Abrir facsímil")</f>
        <v>Abrir facsímil</v>
      </c>
      <c r="K4072" s="15" t="s">
        <v>22</v>
      </c>
    </row>
    <row r="4073" spans="1:11" ht="42" customHeight="1">
      <c r="A4073" s="4" t="s">
        <v>9398</v>
      </c>
      <c r="B4073" s="5" t="s">
        <v>9399</v>
      </c>
      <c r="C4073" s="5" t="s">
        <v>80</v>
      </c>
      <c r="D4073" s="5" t="s">
        <v>81</v>
      </c>
      <c r="E4073" s="5" t="s">
        <v>217</v>
      </c>
      <c r="F4073" s="9">
        <v>96</v>
      </c>
      <c r="G4073" s="9">
        <v>1026</v>
      </c>
      <c r="H4073" s="5" t="s">
        <v>20</v>
      </c>
      <c r="I4073" s="5" t="s">
        <v>9417</v>
      </c>
      <c r="J4073" s="12" t="str">
        <f>HYPERLINK("https://www.boe.es/gazeta/dias/1805/11/29/pdfs/GMD-1805-96.pdf#page=2","Abrir facsímil")</f>
        <v>Abrir facsímil</v>
      </c>
      <c r="K4073" s="15" t="s">
        <v>22</v>
      </c>
    </row>
    <row r="4074" spans="1:11" ht="42" customHeight="1">
      <c r="A4074" s="4" t="s">
        <v>9398</v>
      </c>
      <c r="B4074" s="5" t="s">
        <v>9399</v>
      </c>
      <c r="C4074" s="5" t="s">
        <v>80</v>
      </c>
      <c r="D4074" s="5" t="s">
        <v>81</v>
      </c>
      <c r="E4074" s="5" t="s">
        <v>67</v>
      </c>
      <c r="F4074" s="9">
        <v>98</v>
      </c>
      <c r="G4074" s="9">
        <v>1049</v>
      </c>
      <c r="H4074" s="5" t="s">
        <v>20</v>
      </c>
      <c r="I4074" s="5" t="s">
        <v>9418</v>
      </c>
      <c r="J4074" s="12" t="str">
        <f>HYPERLINK("https://www.boe.es/gazeta/dias/1805/12/06/pdfs/GMD-1805-98.pdf#page=1","Abrir facsímil")</f>
        <v>Abrir facsímil</v>
      </c>
      <c r="K4074" s="15" t="s">
        <v>22</v>
      </c>
    </row>
    <row r="4075" spans="1:11" ht="42" customHeight="1">
      <c r="A4075" s="4" t="s">
        <v>9398</v>
      </c>
      <c r="B4075" s="5" t="s">
        <v>9399</v>
      </c>
      <c r="C4075" s="5" t="s">
        <v>80</v>
      </c>
      <c r="D4075" s="5" t="s">
        <v>81</v>
      </c>
      <c r="E4075" s="5" t="s">
        <v>67</v>
      </c>
      <c r="F4075" s="9">
        <v>98</v>
      </c>
      <c r="G4075" s="9">
        <v>1050</v>
      </c>
      <c r="H4075" s="5" t="s">
        <v>20</v>
      </c>
      <c r="I4075" s="5" t="s">
        <v>9419</v>
      </c>
      <c r="J4075" s="12" t="str">
        <f>HYPERLINK("https://www.boe.es/gazeta/dias/1805/12/06/pdfs/GMD-1805-98.pdf#page=2","Abrir facsímil")</f>
        <v>Abrir facsímil</v>
      </c>
      <c r="K4075" s="15" t="s">
        <v>22</v>
      </c>
    </row>
    <row r="4076" spans="1:11" ht="42" customHeight="1">
      <c r="A4076" s="4" t="s">
        <v>9420</v>
      </c>
      <c r="B4076" s="5" t="s">
        <v>9421</v>
      </c>
      <c r="C4076" s="5" t="s">
        <v>35</v>
      </c>
      <c r="D4076" s="5" t="s">
        <v>36</v>
      </c>
      <c r="E4076" s="5" t="s">
        <v>209</v>
      </c>
      <c r="F4076" s="9">
        <v>89</v>
      </c>
      <c r="G4076" s="9">
        <v>951</v>
      </c>
      <c r="H4076" s="5" t="s">
        <v>20</v>
      </c>
      <c r="I4076" s="5" t="s">
        <v>9422</v>
      </c>
      <c r="J4076" s="12" t="str">
        <f>HYPERLINK("https://www.boe.es/gazeta/dias/1805/11/05/pdfs/GMD-1805-89.pdf#page=11","Abrir facsímil")</f>
        <v>Abrir facsímil</v>
      </c>
      <c r="K4076" s="15" t="s">
        <v>22</v>
      </c>
    </row>
    <row r="4077" spans="1:11" ht="42" customHeight="1">
      <c r="A4077" s="4" t="s">
        <v>9423</v>
      </c>
      <c r="B4077" s="5" t="s">
        <v>9424</v>
      </c>
      <c r="C4077" s="5" t="s">
        <v>80</v>
      </c>
      <c r="D4077" s="5" t="s">
        <v>81</v>
      </c>
      <c r="E4077" s="5" t="s">
        <v>356</v>
      </c>
      <c r="F4077" s="9">
        <v>12</v>
      </c>
      <c r="G4077" s="9">
        <v>128</v>
      </c>
      <c r="H4077" s="5" t="s">
        <v>20</v>
      </c>
      <c r="I4077" s="5" t="s">
        <v>9425</v>
      </c>
      <c r="J4077" s="12" t="str">
        <f>HYPERLINK("https://www.boe.es/gazeta/dias/1805/02/08/pdfs/GMD-1805-12.pdf#page=4","Abrir facsímil")</f>
        <v>Abrir facsímil</v>
      </c>
      <c r="K4077" s="15" t="s">
        <v>22</v>
      </c>
    </row>
    <row r="4078" spans="1:11" ht="42" customHeight="1">
      <c r="A4078" s="4" t="s">
        <v>9426</v>
      </c>
      <c r="B4078" s="5" t="s">
        <v>9427</v>
      </c>
      <c r="C4078" s="5" t="s">
        <v>17</v>
      </c>
      <c r="D4078" s="5" t="s">
        <v>18</v>
      </c>
      <c r="E4078" s="5" t="s">
        <v>107</v>
      </c>
      <c r="F4078" s="9">
        <v>19</v>
      </c>
      <c r="G4078" s="9">
        <v>197</v>
      </c>
      <c r="H4078" s="5" t="s">
        <v>20</v>
      </c>
      <c r="I4078" s="5" t="s">
        <v>9428</v>
      </c>
      <c r="J4078" s="12" t="str">
        <f>HYPERLINK("https://www.boe.es/gazeta/dias/1805/03/05/pdfs/GMD-1805-19.pdf#page=9","Abrir facsímil")</f>
        <v>Abrir facsímil</v>
      </c>
      <c r="K4078" s="15" t="s">
        <v>22</v>
      </c>
    </row>
    <row r="4079" spans="1:11" ht="42" customHeight="1">
      <c r="A4079" s="4" t="s">
        <v>9429</v>
      </c>
      <c r="B4079" s="5" t="s">
        <v>9430</v>
      </c>
      <c r="C4079" s="5" t="s">
        <v>85</v>
      </c>
      <c r="D4079" s="5" t="s">
        <v>86</v>
      </c>
      <c r="E4079" s="5" t="s">
        <v>273</v>
      </c>
      <c r="F4079" s="9">
        <v>8</v>
      </c>
      <c r="G4079" s="9">
        <v>88</v>
      </c>
      <c r="H4079" s="5" t="s">
        <v>20</v>
      </c>
      <c r="I4079" s="5" t="s">
        <v>9431</v>
      </c>
      <c r="J4079" s="12" t="str">
        <f>HYPERLINK("https://www.boe.es/gazeta/dias/1805/01/25/pdfs/GMD-1805-8.pdf#page=8","Abrir facsímil")</f>
        <v>Abrir facsímil</v>
      </c>
      <c r="K4079" s="15" t="s">
        <v>22</v>
      </c>
    </row>
    <row r="4080" spans="1:11" ht="42" customHeight="1">
      <c r="A4080" s="4" t="s">
        <v>9432</v>
      </c>
      <c r="B4080" s="5" t="s">
        <v>9432</v>
      </c>
      <c r="C4080" s="5" t="s">
        <v>52</v>
      </c>
      <c r="D4080" s="5" t="s">
        <v>53</v>
      </c>
      <c r="E4080" s="5" t="s">
        <v>82</v>
      </c>
      <c r="F4080" s="9">
        <v>25</v>
      </c>
      <c r="G4080" s="9" t="s">
        <v>222</v>
      </c>
      <c r="H4080" s="5" t="s">
        <v>20</v>
      </c>
      <c r="I4080" s="5" t="s">
        <v>9433</v>
      </c>
      <c r="J4080" s="12" t="str">
        <f>HYPERLINK("https://www.boe.es/gazeta/dias/1805/03/26/pdfs/GMD-C-1805-25.pdf#page=1","Abrir facsímil")</f>
        <v>Abrir facsímil</v>
      </c>
      <c r="K4080" s="15" t="s">
        <v>22</v>
      </c>
    </row>
    <row r="4081" spans="1:11" ht="42" customHeight="1">
      <c r="A4081" s="4" t="s">
        <v>9434</v>
      </c>
      <c r="B4081" s="5" t="s">
        <v>9435</v>
      </c>
      <c r="C4081" s="5" t="s">
        <v>35</v>
      </c>
      <c r="D4081" s="5" t="s">
        <v>36</v>
      </c>
      <c r="E4081" s="5" t="s">
        <v>293</v>
      </c>
      <c r="F4081" s="9">
        <v>5</v>
      </c>
      <c r="G4081" s="9">
        <v>46</v>
      </c>
      <c r="H4081" s="5" t="s">
        <v>20</v>
      </c>
      <c r="I4081" s="5" t="s">
        <v>9436</v>
      </c>
      <c r="J4081" s="12" t="str">
        <f>HYPERLINK("https://www.boe.es/gazeta/dias/1805/01/15/pdfs/GMD-1805-5.pdf#page=2","Abrir facsímil")</f>
        <v>Abrir facsímil</v>
      </c>
      <c r="K4081" s="15" t="s">
        <v>22</v>
      </c>
    </row>
    <row r="4082" spans="1:11" ht="42" customHeight="1">
      <c r="A4082" s="4" t="s">
        <v>9437</v>
      </c>
      <c r="B4082" s="5" t="s">
        <v>9438</v>
      </c>
      <c r="C4082" s="5" t="s">
        <v>17</v>
      </c>
      <c r="D4082" s="5" t="s">
        <v>18</v>
      </c>
      <c r="E4082" s="5" t="s">
        <v>567</v>
      </c>
      <c r="F4082" s="9">
        <v>49</v>
      </c>
      <c r="G4082" s="9">
        <v>528</v>
      </c>
      <c r="H4082" s="5" t="s">
        <v>20</v>
      </c>
      <c r="I4082" s="5" t="s">
        <v>9439</v>
      </c>
      <c r="J4082" s="12" t="str">
        <f>HYPERLINK("https://www.boe.es/gazeta/dias/1805/06/18/pdfs/GMD-1805-49.pdf#page=4","Abrir facsímil")</f>
        <v>Abrir facsímil</v>
      </c>
      <c r="K4082" s="15" t="s">
        <v>22</v>
      </c>
    </row>
    <row r="4083" spans="1:11" ht="42" customHeight="1">
      <c r="A4083" s="4" t="s">
        <v>9440</v>
      </c>
      <c r="B4083" s="5" t="s">
        <v>9441</v>
      </c>
      <c r="C4083" s="5" t="s">
        <v>80</v>
      </c>
      <c r="D4083" s="5" t="s">
        <v>81</v>
      </c>
      <c r="E4083" s="5" t="s">
        <v>1494</v>
      </c>
      <c r="F4083" s="9">
        <v>31</v>
      </c>
      <c r="G4083" s="9">
        <v>325</v>
      </c>
      <c r="H4083" s="5" t="s">
        <v>20</v>
      </c>
      <c r="I4083" s="5" t="s">
        <v>9442</v>
      </c>
      <c r="J4083" s="12" t="str">
        <f>HYPERLINK("https://www.boe.es/gazeta/dias/1805/04/16/pdfs/GMD-1805-31.pdf#page=1","Abrir facsímil")</f>
        <v>Abrir facsímil</v>
      </c>
      <c r="K4083" s="15" t="s">
        <v>22</v>
      </c>
    </row>
    <row r="4084" spans="1:11" ht="42" customHeight="1">
      <c r="A4084" s="4" t="s">
        <v>9443</v>
      </c>
      <c r="B4084" s="5" t="s">
        <v>9443</v>
      </c>
      <c r="C4084" s="5" t="s">
        <v>35</v>
      </c>
      <c r="D4084" s="5" t="s">
        <v>36</v>
      </c>
      <c r="E4084" s="5" t="s">
        <v>87</v>
      </c>
      <c r="F4084" s="9">
        <v>14</v>
      </c>
      <c r="G4084" s="9">
        <v>145</v>
      </c>
      <c r="H4084" s="5" t="s">
        <v>20</v>
      </c>
      <c r="I4084" s="5" t="s">
        <v>9444</v>
      </c>
      <c r="J4084" s="12" t="str">
        <f>HYPERLINK("https://www.boe.es/gazeta/dias/1805/02/15/pdfs/GMD-1805-14.pdf#page=5","Abrir facsímil")</f>
        <v>Abrir facsímil</v>
      </c>
      <c r="K4084" s="15" t="s">
        <v>22</v>
      </c>
    </row>
    <row r="4085" spans="1:11" ht="42" customHeight="1">
      <c r="A4085" s="4" t="s">
        <v>9445</v>
      </c>
      <c r="B4085" s="5" t="s">
        <v>9446</v>
      </c>
      <c r="C4085" s="5" t="s">
        <v>80</v>
      </c>
      <c r="D4085" s="5" t="s">
        <v>81</v>
      </c>
      <c r="E4085" s="5" t="s">
        <v>76</v>
      </c>
      <c r="F4085" s="9">
        <v>66</v>
      </c>
      <c r="G4085" s="9">
        <v>704</v>
      </c>
      <c r="H4085" s="5" t="s">
        <v>20</v>
      </c>
      <c r="I4085" s="5" t="s">
        <v>9447</v>
      </c>
      <c r="J4085" s="12" t="str">
        <f>HYPERLINK("https://www.boe.es/gazeta/dias/1805/08/16/pdfs/GMD-1805-66.pdf#page=4","Abrir facsímil")</f>
        <v>Abrir facsímil</v>
      </c>
      <c r="K4085" s="15" t="s">
        <v>22</v>
      </c>
    </row>
    <row r="4086" spans="1:11" ht="42" customHeight="1">
      <c r="A4086" s="4" t="s">
        <v>9448</v>
      </c>
      <c r="B4086" s="5" t="s">
        <v>9449</v>
      </c>
      <c r="C4086" s="5" t="s">
        <v>35</v>
      </c>
      <c r="D4086" s="5" t="s">
        <v>36</v>
      </c>
      <c r="E4086" s="5" t="s">
        <v>711</v>
      </c>
      <c r="F4086" s="9">
        <v>63</v>
      </c>
      <c r="G4086" s="9">
        <v>669</v>
      </c>
      <c r="H4086" s="5" t="s">
        <v>20</v>
      </c>
      <c r="I4086" s="5" t="s">
        <v>9450</v>
      </c>
      <c r="J4086" s="12" t="str">
        <f>HYPERLINK("https://www.boe.es/gazeta/dias/1805/08/06/pdfs/GMD-1805-63.pdf#page=5","Abrir facsímil")</f>
        <v>Abrir facsímil</v>
      </c>
      <c r="K4086" s="15" t="s">
        <v>22</v>
      </c>
    </row>
    <row r="4087" spans="1:11" ht="42" customHeight="1">
      <c r="A4087" s="4" t="s">
        <v>9451</v>
      </c>
      <c r="B4087" s="5" t="s">
        <v>9452</v>
      </c>
      <c r="C4087" s="5" t="s">
        <v>29</v>
      </c>
      <c r="D4087" s="5" t="s">
        <v>30</v>
      </c>
      <c r="E4087" s="5" t="s">
        <v>399</v>
      </c>
      <c r="F4087" s="9">
        <v>39</v>
      </c>
      <c r="G4087" s="9">
        <v>421</v>
      </c>
      <c r="H4087" s="5" t="s">
        <v>20</v>
      </c>
      <c r="I4087" s="5" t="s">
        <v>9453</v>
      </c>
      <c r="J4087" s="12" t="str">
        <f>HYPERLINK("https://www.boe.es/gazeta/dias/1805/05/14/pdfs/GMD-1805-39.pdf#page=9","Abrir facsímil")</f>
        <v>Abrir facsímil</v>
      </c>
      <c r="K4087" s="15" t="s">
        <v>22</v>
      </c>
    </row>
    <row r="4088" spans="1:11" ht="42" customHeight="1">
      <c r="A4088" s="4" t="s">
        <v>9454</v>
      </c>
      <c r="B4088" s="5" t="s">
        <v>9454</v>
      </c>
      <c r="C4088" s="5" t="s">
        <v>17</v>
      </c>
      <c r="D4088" s="5" t="s">
        <v>18</v>
      </c>
      <c r="E4088" s="5" t="s">
        <v>669</v>
      </c>
      <c r="F4088" s="9">
        <v>84</v>
      </c>
      <c r="G4088" s="9">
        <v>890</v>
      </c>
      <c r="H4088" s="5" t="s">
        <v>20</v>
      </c>
      <c r="I4088" s="5" t="s">
        <v>9455</v>
      </c>
      <c r="J4088" s="12" t="str">
        <f>HYPERLINK("https://www.boe.es/gazeta/dias/1805/10/18/pdfs/GMD-1805-84.pdf#page=6","Abrir facsímil")</f>
        <v>Abrir facsímil</v>
      </c>
      <c r="K4088" s="15" t="s">
        <v>22</v>
      </c>
    </row>
    <row r="4089" spans="1:11" ht="42" customHeight="1">
      <c r="A4089" s="4" t="s">
        <v>9456</v>
      </c>
      <c r="B4089" s="5" t="s">
        <v>9457</v>
      </c>
      <c r="C4089" s="5" t="s">
        <v>17</v>
      </c>
      <c r="D4089" s="5" t="s">
        <v>18</v>
      </c>
      <c r="E4089" s="5" t="s">
        <v>1292</v>
      </c>
      <c r="F4089" s="9">
        <v>43</v>
      </c>
      <c r="G4089" s="9">
        <v>463</v>
      </c>
      <c r="H4089" s="5" t="s">
        <v>20</v>
      </c>
      <c r="I4089" s="5" t="s">
        <v>9458</v>
      </c>
      <c r="J4089" s="12" t="str">
        <f>HYPERLINK("https://www.boe.es/gazeta/dias/1805/05/28/pdfs/GMD-1805-43.pdf#page=7","Abrir facsímil")</f>
        <v>Abrir facsímil</v>
      </c>
      <c r="K4089" s="15" t="s">
        <v>22</v>
      </c>
    </row>
    <row r="4090" spans="1:11" ht="42" customHeight="1">
      <c r="A4090" s="4" t="s">
        <v>9459</v>
      </c>
      <c r="B4090" s="5" t="s">
        <v>9459</v>
      </c>
      <c r="C4090" s="5" t="s">
        <v>85</v>
      </c>
      <c r="D4090" s="5" t="s">
        <v>86</v>
      </c>
      <c r="E4090" s="5" t="s">
        <v>1259</v>
      </c>
      <c r="F4090" s="9">
        <v>78</v>
      </c>
      <c r="G4090" s="9">
        <v>827</v>
      </c>
      <c r="H4090" s="5" t="s">
        <v>20</v>
      </c>
      <c r="I4090" s="5" t="s">
        <v>9460</v>
      </c>
      <c r="J4090" s="12" t="str">
        <f>HYPERLINK("https://www.boe.es/gazeta/dias/1805/09/27/pdfs/GMD-1805-78.pdf#page=7","Abrir facsímil")</f>
        <v>Abrir facsímil</v>
      </c>
      <c r="K4090" s="15" t="s">
        <v>22</v>
      </c>
    </row>
    <row r="4091" spans="1:11" ht="42" customHeight="1">
      <c r="A4091" s="4" t="s">
        <v>9461</v>
      </c>
      <c r="B4091" s="5" t="s">
        <v>9461</v>
      </c>
      <c r="C4091" s="5" t="s">
        <v>80</v>
      </c>
      <c r="D4091" s="5" t="s">
        <v>81</v>
      </c>
      <c r="E4091" s="5" t="s">
        <v>904</v>
      </c>
      <c r="F4091" s="9">
        <v>47</v>
      </c>
      <c r="G4091" s="9">
        <v>501</v>
      </c>
      <c r="H4091" s="5" t="s">
        <v>20</v>
      </c>
      <c r="I4091" s="5" t="s">
        <v>9462</v>
      </c>
      <c r="J4091" s="12" t="str">
        <f>HYPERLINK("https://www.boe.es/gazeta/dias/1805/06/11/pdfs/GMD-1805-47.pdf#page=1","Abrir facsímil")</f>
        <v>Abrir facsímil</v>
      </c>
      <c r="K4091" s="15" t="s">
        <v>22</v>
      </c>
    </row>
    <row r="4092" spans="1:11" ht="42" customHeight="1">
      <c r="A4092" s="4" t="s">
        <v>9463</v>
      </c>
      <c r="B4092" s="5" t="s">
        <v>9464</v>
      </c>
      <c r="C4092" s="5" t="s">
        <v>17</v>
      </c>
      <c r="D4092" s="5" t="s">
        <v>18</v>
      </c>
      <c r="E4092" s="5" t="s">
        <v>117</v>
      </c>
      <c r="F4092" s="9">
        <v>20</v>
      </c>
      <c r="G4092" s="9">
        <v>209</v>
      </c>
      <c r="H4092" s="5" t="s">
        <v>20</v>
      </c>
      <c r="I4092" s="5" t="s">
        <v>9465</v>
      </c>
      <c r="J4092" s="12" t="str">
        <f>HYPERLINK("https://www.boe.es/gazeta/dias/1805/03/08/pdfs/GMD-1805-20.pdf#page=9","Abrir facsímil")</f>
        <v>Abrir facsímil</v>
      </c>
      <c r="K4092" s="15" t="s">
        <v>22</v>
      </c>
    </row>
    <row r="4093" spans="1:11" ht="42" customHeight="1">
      <c r="A4093" s="4" t="s">
        <v>9466</v>
      </c>
      <c r="B4093" s="5" t="s">
        <v>9467</v>
      </c>
      <c r="C4093" s="5" t="s">
        <v>80</v>
      </c>
      <c r="D4093" s="5" t="s">
        <v>81</v>
      </c>
      <c r="E4093" s="5" t="s">
        <v>886</v>
      </c>
      <c r="F4093" s="9">
        <v>93</v>
      </c>
      <c r="G4093" s="9">
        <v>995</v>
      </c>
      <c r="H4093" s="5" t="s">
        <v>20</v>
      </c>
      <c r="I4093" s="5" t="s">
        <v>9468</v>
      </c>
      <c r="J4093" s="12" t="str">
        <f>HYPERLINK("https://www.boe.es/gazeta/dias/1805/11/19/pdfs/GMD-1805-93.pdf#page=7","Abrir facsímil")</f>
        <v>Abrir facsímil</v>
      </c>
      <c r="K4093" s="15" t="s">
        <v>22</v>
      </c>
    </row>
    <row r="4094" spans="1:11" ht="42" customHeight="1">
      <c r="A4094" s="4" t="s">
        <v>9469</v>
      </c>
      <c r="B4094" s="5" t="s">
        <v>9469</v>
      </c>
      <c r="C4094" s="5" t="s">
        <v>184</v>
      </c>
      <c r="D4094" s="5" t="s">
        <v>86</v>
      </c>
      <c r="E4094" s="5" t="s">
        <v>789</v>
      </c>
      <c r="F4094" s="9">
        <v>104</v>
      </c>
      <c r="G4094" s="9">
        <v>1128</v>
      </c>
      <c r="H4094" s="5" t="s">
        <v>20</v>
      </c>
      <c r="I4094" s="5" t="s">
        <v>9470</v>
      </c>
      <c r="J4094" s="12" t="str">
        <f>HYPERLINK("https://www.boe.es/gazeta/dias/1805/12/27/pdfs/GMD-1805-104.pdf#page=12","Abrir facsímil")</f>
        <v>Abrir facsímil</v>
      </c>
      <c r="K4094" s="15" t="s">
        <v>22</v>
      </c>
    </row>
    <row r="4095" spans="1:11" ht="42" customHeight="1">
      <c r="A4095" s="4" t="s">
        <v>9471</v>
      </c>
      <c r="B4095" s="5" t="s">
        <v>9471</v>
      </c>
      <c r="C4095" s="5" t="s">
        <v>35</v>
      </c>
      <c r="D4095" s="5" t="s">
        <v>36</v>
      </c>
      <c r="E4095" s="5" t="s">
        <v>854</v>
      </c>
      <c r="F4095" s="9">
        <v>46</v>
      </c>
      <c r="G4095" s="9">
        <v>499</v>
      </c>
      <c r="H4095" s="5" t="s">
        <v>20</v>
      </c>
      <c r="I4095" s="5" t="s">
        <v>9472</v>
      </c>
      <c r="J4095" s="12" t="str">
        <f>HYPERLINK("https://www.boe.es/gazeta/dias/1805/06/07/pdfs/GMD-1805-46.pdf#page=11","Abrir facsímil")</f>
        <v>Abrir facsímil</v>
      </c>
      <c r="K4095" s="15" t="s">
        <v>22</v>
      </c>
    </row>
    <row r="4096" spans="1:11" ht="42" customHeight="1">
      <c r="A4096" s="4" t="s">
        <v>9473</v>
      </c>
      <c r="B4096" s="5" t="s">
        <v>9474</v>
      </c>
      <c r="C4096" s="5" t="s">
        <v>35</v>
      </c>
      <c r="D4096" s="5" t="s">
        <v>36</v>
      </c>
      <c r="E4096" s="5" t="s">
        <v>352</v>
      </c>
      <c r="F4096" s="9">
        <v>60</v>
      </c>
      <c r="G4096" s="9">
        <v>645</v>
      </c>
      <c r="H4096" s="5" t="s">
        <v>20</v>
      </c>
      <c r="I4096" s="5" t="s">
        <v>9475</v>
      </c>
      <c r="J4096" s="12" t="str">
        <f>HYPERLINK("https://www.boe.es/gazeta/dias/1805/07/26/pdfs/GMD-1805-60.pdf#page=9","Abrir facsímil")</f>
        <v>Abrir facsímil</v>
      </c>
      <c r="K4096" s="15" t="s">
        <v>22</v>
      </c>
    </row>
    <row r="4097" spans="1:11" ht="42" customHeight="1">
      <c r="A4097" s="4" t="s">
        <v>9476</v>
      </c>
      <c r="B4097" s="5" t="s">
        <v>9477</v>
      </c>
      <c r="C4097" s="5" t="s">
        <v>29</v>
      </c>
      <c r="D4097" s="5" t="s">
        <v>30</v>
      </c>
      <c r="E4097" s="5" t="s">
        <v>135</v>
      </c>
      <c r="F4097" s="9">
        <v>71</v>
      </c>
      <c r="G4097" s="9">
        <v>760</v>
      </c>
      <c r="H4097" s="5" t="s">
        <v>20</v>
      </c>
      <c r="I4097" s="5" t="s">
        <v>9478</v>
      </c>
      <c r="J4097" s="12" t="str">
        <f>HYPERLINK("https://www.boe.es/gazeta/dias/1805/09/03/pdfs/GMD-1805-71.pdf#page=12","Abrir facsímil")</f>
        <v>Abrir facsímil</v>
      </c>
      <c r="K4097" s="15" t="s">
        <v>22</v>
      </c>
    </row>
    <row r="4098" spans="1:11" ht="42" customHeight="1">
      <c r="A4098" s="4" t="s">
        <v>9479</v>
      </c>
      <c r="B4098" s="5" t="s">
        <v>9480</v>
      </c>
      <c r="C4098" s="5" t="s">
        <v>17</v>
      </c>
      <c r="D4098" s="5" t="s">
        <v>18</v>
      </c>
      <c r="E4098" s="5" t="s">
        <v>63</v>
      </c>
      <c r="F4098" s="9">
        <v>101</v>
      </c>
      <c r="G4098" s="9">
        <v>1093</v>
      </c>
      <c r="H4098" s="5" t="s">
        <v>20</v>
      </c>
      <c r="I4098" s="5" t="s">
        <v>9481</v>
      </c>
      <c r="J4098" s="12" t="str">
        <f>HYPERLINK("https://www.boe.es/gazeta/dias/1805/12/17/pdfs/GMD-1805-101.pdf#page=9","Abrir facsímil")</f>
        <v>Abrir facsímil</v>
      </c>
      <c r="K4098" s="15" t="s">
        <v>22</v>
      </c>
    </row>
    <row r="4099" spans="1:11" ht="42" customHeight="1">
      <c r="A4099" s="4" t="s">
        <v>9482</v>
      </c>
      <c r="B4099" s="5" t="s">
        <v>9483</v>
      </c>
      <c r="C4099" s="5" t="s">
        <v>17</v>
      </c>
      <c r="D4099" s="5" t="s">
        <v>18</v>
      </c>
      <c r="E4099" s="5" t="s">
        <v>54</v>
      </c>
      <c r="F4099" s="9">
        <v>99</v>
      </c>
      <c r="G4099" s="9">
        <v>1070</v>
      </c>
      <c r="H4099" s="5" t="s">
        <v>20</v>
      </c>
      <c r="I4099" s="5" t="s">
        <v>9484</v>
      </c>
      <c r="J4099" s="12" t="str">
        <f>HYPERLINK("https://www.boe.es/gazeta/dias/1805/12/10/pdfs/GMD-1805-99.pdf#page=10","Abrir facsímil")</f>
        <v>Abrir facsímil</v>
      </c>
      <c r="K4099" s="15" t="s">
        <v>22</v>
      </c>
    </row>
    <row r="4100" spans="1:11" ht="42" customHeight="1">
      <c r="A4100" s="4" t="s">
        <v>9485</v>
      </c>
      <c r="B4100" s="5" t="s">
        <v>9485</v>
      </c>
      <c r="C4100" s="5" t="s">
        <v>184</v>
      </c>
      <c r="D4100" s="5" t="s">
        <v>86</v>
      </c>
      <c r="E4100" s="5" t="s">
        <v>1471</v>
      </c>
      <c r="F4100" s="9">
        <v>34</v>
      </c>
      <c r="G4100" s="9">
        <v>362</v>
      </c>
      <c r="H4100" s="5" t="s">
        <v>20</v>
      </c>
      <c r="I4100" s="5" t="s">
        <v>9486</v>
      </c>
      <c r="J4100" s="12" t="str">
        <f>HYPERLINK("https://www.boe.es/gazeta/dias/1805/04/26/pdfs/GMD-1805-34.pdf#page=6","Abrir facsímil")</f>
        <v>Abrir facsímil</v>
      </c>
      <c r="K4100" s="15" t="s">
        <v>22</v>
      </c>
    </row>
    <row r="4101" spans="1:11" ht="42" customHeight="1">
      <c r="A4101" s="4" t="s">
        <v>9487</v>
      </c>
      <c r="B4101" s="5" t="s">
        <v>9487</v>
      </c>
      <c r="C4101" s="5" t="s">
        <v>35</v>
      </c>
      <c r="D4101" s="5" t="s">
        <v>36</v>
      </c>
      <c r="E4101" s="5" t="s">
        <v>506</v>
      </c>
      <c r="F4101" s="9">
        <v>80</v>
      </c>
      <c r="G4101" s="9">
        <v>850</v>
      </c>
      <c r="H4101" s="5" t="s">
        <v>20</v>
      </c>
      <c r="I4101" s="5" t="s">
        <v>9488</v>
      </c>
      <c r="J4101" s="12" t="str">
        <f>HYPERLINK("https://www.boe.es/gazeta/dias/1805/10/04/pdfs/GMD-1805-80.pdf#page=10","Abrir facsímil")</f>
        <v>Abrir facsímil</v>
      </c>
      <c r="K4101" s="15" t="s">
        <v>22</v>
      </c>
    </row>
    <row r="4102" spans="1:11" ht="42" customHeight="1">
      <c r="A4102" s="4" t="s">
        <v>9489</v>
      </c>
      <c r="B4102" s="5" t="s">
        <v>9489</v>
      </c>
      <c r="C4102" s="5" t="s">
        <v>35</v>
      </c>
      <c r="D4102" s="5" t="s">
        <v>36</v>
      </c>
      <c r="E4102" s="5" t="s">
        <v>261</v>
      </c>
      <c r="F4102" s="9">
        <v>18</v>
      </c>
      <c r="G4102" s="9">
        <v>186</v>
      </c>
      <c r="H4102" s="5" t="s">
        <v>20</v>
      </c>
      <c r="I4102" s="5" t="s">
        <v>9490</v>
      </c>
      <c r="J4102" s="12" t="str">
        <f>HYPERLINK("https://www.boe.es/gazeta/dias/1805/03/01/pdfs/GMD-1805-18.pdf#page=6","Abrir facsímil")</f>
        <v>Abrir facsímil</v>
      </c>
      <c r="K4102" s="15" t="s">
        <v>22</v>
      </c>
    </row>
    <row r="4103" spans="1:11" ht="42" customHeight="1">
      <c r="A4103" s="4" t="s">
        <v>9491</v>
      </c>
      <c r="B4103" s="5" t="s">
        <v>9491</v>
      </c>
      <c r="C4103" s="5" t="s">
        <v>184</v>
      </c>
      <c r="D4103" s="5" t="s">
        <v>86</v>
      </c>
      <c r="E4103" s="5" t="s">
        <v>512</v>
      </c>
      <c r="F4103" s="9">
        <v>100</v>
      </c>
      <c r="G4103" s="9">
        <v>1082</v>
      </c>
      <c r="H4103" s="5" t="s">
        <v>20</v>
      </c>
      <c r="I4103" s="5" t="s">
        <v>9492</v>
      </c>
      <c r="J4103" s="12" t="str">
        <f>HYPERLINK("https://www.boe.es/gazeta/dias/1805/12/13/pdfs/GMD-1805-100.pdf#page=10","Abrir facsímil")</f>
        <v>Abrir facsímil</v>
      </c>
      <c r="K4103" s="15" t="s">
        <v>22</v>
      </c>
    </row>
    <row r="4104" spans="1:11" ht="42" customHeight="1">
      <c r="A4104" s="4" t="s">
        <v>9493</v>
      </c>
      <c r="B4104" s="5" t="s">
        <v>9493</v>
      </c>
      <c r="C4104" s="5" t="s">
        <v>35</v>
      </c>
      <c r="D4104" s="5" t="s">
        <v>36</v>
      </c>
      <c r="E4104" s="5" t="s">
        <v>226</v>
      </c>
      <c r="F4104" s="9">
        <v>73</v>
      </c>
      <c r="G4104" s="9">
        <v>773</v>
      </c>
      <c r="H4104" s="5" t="s">
        <v>20</v>
      </c>
      <c r="I4104" s="5" t="s">
        <v>9494</v>
      </c>
      <c r="J4104" s="12" t="str">
        <f>HYPERLINK("https://www.boe.es/gazeta/dias/1805/09/10/pdfs/GMD-1805-73.pdf#page=5","Abrir facsímil")</f>
        <v>Abrir facsímil</v>
      </c>
      <c r="K4104" s="15" t="s">
        <v>22</v>
      </c>
    </row>
    <row r="4105" spans="1:11" ht="42" customHeight="1">
      <c r="A4105" s="4" t="s">
        <v>9495</v>
      </c>
      <c r="B4105" s="5" t="s">
        <v>9495</v>
      </c>
      <c r="C4105" s="5" t="s">
        <v>17</v>
      </c>
      <c r="D4105" s="5" t="s">
        <v>18</v>
      </c>
      <c r="E4105" s="5" t="s">
        <v>24</v>
      </c>
      <c r="F4105" s="9">
        <v>11</v>
      </c>
      <c r="G4105" s="9">
        <v>123</v>
      </c>
      <c r="H4105" s="5" t="s">
        <v>20</v>
      </c>
      <c r="I4105" s="5" t="s">
        <v>9496</v>
      </c>
      <c r="J4105" s="12" t="str">
        <f>HYPERLINK("https://www.boe.es/gazeta/dias/1805/02/05/pdfs/GMD-1805-11.pdf#page=11","Abrir facsímil")</f>
        <v>Abrir facsímil</v>
      </c>
      <c r="K4105" s="15" t="s">
        <v>22</v>
      </c>
    </row>
    <row r="4106" spans="1:11" ht="42" customHeight="1">
      <c r="A4106" s="4" t="s">
        <v>9497</v>
      </c>
      <c r="B4106" s="5" t="s">
        <v>9497</v>
      </c>
      <c r="C4106" s="5" t="s">
        <v>17</v>
      </c>
      <c r="D4106" s="5" t="s">
        <v>18</v>
      </c>
      <c r="E4106" s="5" t="s">
        <v>226</v>
      </c>
      <c r="F4106" s="9">
        <v>73</v>
      </c>
      <c r="G4106" s="9">
        <v>776</v>
      </c>
      <c r="H4106" s="5" t="s">
        <v>20</v>
      </c>
      <c r="I4106" s="5" t="s">
        <v>9498</v>
      </c>
      <c r="J4106" s="12" t="str">
        <f>HYPERLINK("https://www.boe.es/gazeta/dias/1805/09/10/pdfs/GMD-1805-73.pdf#page=8","Abrir facsímil")</f>
        <v>Abrir facsímil</v>
      </c>
      <c r="K4106" s="15" t="s">
        <v>22</v>
      </c>
    </row>
    <row r="4107" spans="1:11" ht="42" customHeight="1">
      <c r="A4107" s="4" t="s">
        <v>9499</v>
      </c>
      <c r="B4107" s="5" t="s">
        <v>9499</v>
      </c>
      <c r="C4107" s="5" t="s">
        <v>29</v>
      </c>
      <c r="D4107" s="5" t="s">
        <v>30</v>
      </c>
      <c r="E4107" s="5" t="s">
        <v>1132</v>
      </c>
      <c r="F4107" s="9">
        <v>72</v>
      </c>
      <c r="G4107" s="9">
        <v>767</v>
      </c>
      <c r="H4107" s="5" t="s">
        <v>20</v>
      </c>
      <c r="I4107" s="5" t="s">
        <v>9500</v>
      </c>
      <c r="J4107" s="12" t="str">
        <f>HYPERLINK("https://www.boe.es/gazeta/dias/1805/09/06/pdfs/GMD-1805-72.pdf#page=7","Abrir facsímil")</f>
        <v>Abrir facsímil</v>
      </c>
      <c r="K4107" s="15" t="s">
        <v>22</v>
      </c>
    </row>
    <row r="4108" spans="1:11" ht="42" customHeight="1">
      <c r="A4108" s="4" t="s">
        <v>9501</v>
      </c>
      <c r="B4108" s="5" t="s">
        <v>9502</v>
      </c>
      <c r="C4108" s="5" t="s">
        <v>17</v>
      </c>
      <c r="D4108" s="5" t="s">
        <v>18</v>
      </c>
      <c r="E4108" s="5" t="s">
        <v>226</v>
      </c>
      <c r="F4108" s="9">
        <v>73</v>
      </c>
      <c r="G4108" s="9">
        <v>773</v>
      </c>
      <c r="H4108" s="5" t="s">
        <v>20</v>
      </c>
      <c r="I4108" s="5" t="s">
        <v>9503</v>
      </c>
      <c r="J4108" s="12" t="str">
        <f>HYPERLINK("https://www.boe.es/gazeta/dias/1805/09/10/pdfs/GMD-1805-73.pdf#page=5","Abrir facsímil")</f>
        <v>Abrir facsímil</v>
      </c>
      <c r="K4108" s="15" t="s">
        <v>22</v>
      </c>
    </row>
    <row r="4109" spans="1:11" ht="42" customHeight="1">
      <c r="A4109" s="4" t="s">
        <v>9504</v>
      </c>
      <c r="B4109" s="5" t="s">
        <v>9505</v>
      </c>
      <c r="C4109" s="5" t="s">
        <v>52</v>
      </c>
      <c r="D4109" s="5" t="s">
        <v>53</v>
      </c>
      <c r="E4109" s="5" t="s">
        <v>144</v>
      </c>
      <c r="F4109" s="9">
        <v>85</v>
      </c>
      <c r="G4109" s="9" t="s">
        <v>145</v>
      </c>
      <c r="H4109" s="5" t="s">
        <v>20</v>
      </c>
      <c r="I4109" s="5" t="s">
        <v>9506</v>
      </c>
      <c r="J4109" s="12" t="str">
        <f>HYPERLINK("https://www.boe.es/gazeta/dias/1805/10/22/pdfs/GMD-C-1805-85.pdf#page=2","Abrir facsímil")</f>
        <v>Abrir facsímil</v>
      </c>
      <c r="K4109" s="15" t="s">
        <v>22</v>
      </c>
    </row>
    <row r="4110" spans="1:11" ht="42" customHeight="1">
      <c r="A4110" s="4" t="s">
        <v>9507</v>
      </c>
      <c r="B4110" s="5" t="s">
        <v>9508</v>
      </c>
      <c r="C4110" s="5" t="s">
        <v>80</v>
      </c>
      <c r="D4110" s="5" t="s">
        <v>81</v>
      </c>
      <c r="E4110" s="5" t="s">
        <v>539</v>
      </c>
      <c r="F4110" s="9">
        <v>97</v>
      </c>
      <c r="G4110" s="9">
        <v>1038</v>
      </c>
      <c r="H4110" s="5" t="s">
        <v>20</v>
      </c>
      <c r="I4110" s="5" t="s">
        <v>9509</v>
      </c>
      <c r="J4110" s="12" t="str">
        <f>HYPERLINK("https://www.boe.es/gazeta/dias/1805/12/03/pdfs/GMD-1805-97.pdf#page=2","Abrir facsímil")</f>
        <v>Abrir facsímil</v>
      </c>
      <c r="K4110" s="15" t="s">
        <v>22</v>
      </c>
    </row>
    <row r="4111" spans="1:11" ht="42" customHeight="1">
      <c r="A4111" s="4" t="s">
        <v>9510</v>
      </c>
      <c r="B4111" s="5" t="s">
        <v>9511</v>
      </c>
      <c r="C4111" s="5" t="s">
        <v>35</v>
      </c>
      <c r="D4111" s="5" t="s">
        <v>36</v>
      </c>
      <c r="E4111" s="5" t="s">
        <v>422</v>
      </c>
      <c r="F4111" s="9">
        <v>74</v>
      </c>
      <c r="G4111" s="9">
        <v>786</v>
      </c>
      <c r="H4111" s="5" t="s">
        <v>20</v>
      </c>
      <c r="I4111" s="5" t="s">
        <v>9512</v>
      </c>
      <c r="J4111" s="12" t="str">
        <f>HYPERLINK("https://www.boe.es/gazeta/dias/1805/09/13/pdfs/GMD-1805-74.pdf#page=10","Abrir facsímil")</f>
        <v>Abrir facsímil</v>
      </c>
      <c r="K4111" s="15" t="s">
        <v>22</v>
      </c>
    </row>
    <row r="4112" spans="1:11" ht="42" customHeight="1">
      <c r="A4112" s="4" t="s">
        <v>9513</v>
      </c>
      <c r="B4112" s="5" t="s">
        <v>9513</v>
      </c>
      <c r="C4112" s="5" t="s">
        <v>35</v>
      </c>
      <c r="D4112" s="5" t="s">
        <v>36</v>
      </c>
      <c r="E4112" s="5" t="s">
        <v>1432</v>
      </c>
      <c r="F4112" s="9">
        <v>53</v>
      </c>
      <c r="G4112" s="9">
        <v>569</v>
      </c>
      <c r="H4112" s="5" t="s">
        <v>20</v>
      </c>
      <c r="I4112" s="5" t="s">
        <v>9514</v>
      </c>
      <c r="J4112" s="12" t="str">
        <f>HYPERLINK("https://www.boe.es/gazeta/dias/1805/07/02/pdfs/GMD-1805-53.pdf#page=5","Abrir facsímil")</f>
        <v>Abrir facsímil</v>
      </c>
      <c r="K4112" s="15" t="s">
        <v>22</v>
      </c>
    </row>
    <row r="4113" spans="1:11" ht="42" customHeight="1">
      <c r="A4113" s="4" t="s">
        <v>9515</v>
      </c>
      <c r="B4113" s="5" t="s">
        <v>9515</v>
      </c>
      <c r="C4113" s="5" t="s">
        <v>29</v>
      </c>
      <c r="D4113" s="5" t="s">
        <v>30</v>
      </c>
      <c r="E4113" s="5" t="s">
        <v>107</v>
      </c>
      <c r="F4113" s="9">
        <v>19</v>
      </c>
      <c r="G4113" s="9">
        <v>194</v>
      </c>
      <c r="H4113" s="5" t="s">
        <v>20</v>
      </c>
      <c r="I4113" s="5" t="s">
        <v>9516</v>
      </c>
      <c r="J4113" s="12" t="str">
        <f>HYPERLINK("https://www.boe.es/gazeta/dias/1805/03/05/pdfs/GMD-1805-19.pdf#page=6","Abrir facsímil")</f>
        <v>Abrir facsímil</v>
      </c>
      <c r="K4113" s="15" t="s">
        <v>22</v>
      </c>
    </row>
    <row r="4114" spans="1:11" ht="42" customHeight="1">
      <c r="A4114" s="4" t="s">
        <v>9515</v>
      </c>
      <c r="B4114" s="5" t="s">
        <v>9515</v>
      </c>
      <c r="C4114" s="5" t="s">
        <v>29</v>
      </c>
      <c r="D4114" s="5" t="s">
        <v>30</v>
      </c>
      <c r="E4114" s="5" t="s">
        <v>107</v>
      </c>
      <c r="F4114" s="9">
        <v>19</v>
      </c>
      <c r="G4114" s="9">
        <v>195</v>
      </c>
      <c r="H4114" s="5" t="s">
        <v>20</v>
      </c>
      <c r="I4114" s="5" t="s">
        <v>9517</v>
      </c>
      <c r="J4114" s="12" t="str">
        <f>HYPERLINK("https://www.boe.es/gazeta/dias/1805/03/05/pdfs/GMD-1805-19.pdf#page=7","Abrir facsímil")</f>
        <v>Abrir facsímil</v>
      </c>
      <c r="K4114" s="15" t="s">
        <v>22</v>
      </c>
    </row>
    <row r="4115" spans="1:11" ht="42" customHeight="1">
      <c r="A4115" s="4" t="s">
        <v>9518</v>
      </c>
      <c r="B4115" s="5" t="s">
        <v>9519</v>
      </c>
      <c r="C4115" s="5" t="s">
        <v>35</v>
      </c>
      <c r="D4115" s="5" t="s">
        <v>36</v>
      </c>
      <c r="E4115" s="5" t="s">
        <v>276</v>
      </c>
      <c r="F4115" s="9">
        <v>51</v>
      </c>
      <c r="G4115" s="9">
        <v>551</v>
      </c>
      <c r="H4115" s="5" t="s">
        <v>20</v>
      </c>
      <c r="I4115" s="5" t="s">
        <v>9520</v>
      </c>
      <c r="J4115" s="12" t="str">
        <f>HYPERLINK("https://www.boe.es/gazeta/dias/1805/06/25/pdfs/GMD-1805-51.pdf#page=7","Abrir facsímil")</f>
        <v>Abrir facsímil</v>
      </c>
      <c r="K4115" s="15" t="s">
        <v>22</v>
      </c>
    </row>
    <row r="4116" spans="1:11" ht="42" customHeight="1">
      <c r="A4116" s="4" t="s">
        <v>9521</v>
      </c>
      <c r="B4116" s="5" t="s">
        <v>9521</v>
      </c>
      <c r="C4116" s="5" t="s">
        <v>85</v>
      </c>
      <c r="D4116" s="5" t="s">
        <v>86</v>
      </c>
      <c r="E4116" s="5" t="s">
        <v>40</v>
      </c>
      <c r="F4116" s="9">
        <v>59</v>
      </c>
      <c r="G4116" s="9">
        <v>630</v>
      </c>
      <c r="H4116" s="5" t="s">
        <v>20</v>
      </c>
      <c r="I4116" s="5" t="s">
        <v>9522</v>
      </c>
      <c r="J4116" s="12" t="str">
        <f>HYPERLINK("https://www.boe.es/gazeta/dias/1805/07/23/pdfs/GMD-1805-59.pdf#page=6","Abrir facsímil")</f>
        <v>Abrir facsímil</v>
      </c>
      <c r="K4116" s="15" t="s">
        <v>22</v>
      </c>
    </row>
    <row r="4117" spans="1:11" ht="42" customHeight="1">
      <c r="A4117" s="4" t="s">
        <v>9523</v>
      </c>
      <c r="B4117" s="5" t="s">
        <v>9523</v>
      </c>
      <c r="C4117" s="5" t="s">
        <v>17</v>
      </c>
      <c r="D4117" s="5" t="s">
        <v>18</v>
      </c>
      <c r="E4117" s="5" t="s">
        <v>71</v>
      </c>
      <c r="F4117" s="9">
        <v>33</v>
      </c>
      <c r="G4117" s="9">
        <v>352</v>
      </c>
      <c r="H4117" s="5" t="s">
        <v>20</v>
      </c>
      <c r="I4117" s="5" t="s">
        <v>9524</v>
      </c>
      <c r="J4117" s="12" t="str">
        <f>HYPERLINK("https://www.boe.es/gazeta/dias/1805/04/23/pdfs/GMD-1805-33.pdf#page=8","Abrir facsímil")</f>
        <v>Abrir facsímil</v>
      </c>
      <c r="K4117" s="15" t="s">
        <v>22</v>
      </c>
    </row>
    <row r="4118" spans="1:11" ht="42" customHeight="1">
      <c r="A4118" s="4" t="s">
        <v>9525</v>
      </c>
      <c r="B4118" s="5" t="s">
        <v>9526</v>
      </c>
      <c r="C4118" s="5" t="s">
        <v>29</v>
      </c>
      <c r="D4118" s="5" t="s">
        <v>30</v>
      </c>
      <c r="E4118" s="5" t="s">
        <v>352</v>
      </c>
      <c r="F4118" s="9">
        <v>60</v>
      </c>
      <c r="G4118" s="9">
        <v>645</v>
      </c>
      <c r="H4118" s="5" t="s">
        <v>20</v>
      </c>
      <c r="I4118" s="5" t="s">
        <v>9527</v>
      </c>
      <c r="J4118" s="12" t="str">
        <f>HYPERLINK("https://www.boe.es/gazeta/dias/1805/07/26/pdfs/GMD-1805-60.pdf#page=9","Abrir facsímil")</f>
        <v>Abrir facsímil</v>
      </c>
      <c r="K4118" s="15" t="s">
        <v>22</v>
      </c>
    </row>
    <row r="4119" spans="1:11" ht="42" customHeight="1">
      <c r="A4119" s="4" t="s">
        <v>9528</v>
      </c>
      <c r="B4119" s="5" t="s">
        <v>9529</v>
      </c>
      <c r="C4119" s="5" t="s">
        <v>35</v>
      </c>
      <c r="D4119" s="5" t="s">
        <v>36</v>
      </c>
      <c r="E4119" s="5" t="s">
        <v>645</v>
      </c>
      <c r="F4119" s="9">
        <v>55</v>
      </c>
      <c r="G4119" s="9">
        <v>585</v>
      </c>
      <c r="H4119" s="5" t="s">
        <v>20</v>
      </c>
      <c r="I4119" s="5" t="s">
        <v>9530</v>
      </c>
      <c r="J4119" s="12" t="str">
        <f>HYPERLINK("https://www.boe.es/gazeta/dias/1805/07/09/pdfs/GMD-1805-55.pdf#page=5","Abrir facsímil")</f>
        <v>Abrir facsímil</v>
      </c>
      <c r="K4119" s="15" t="s">
        <v>22</v>
      </c>
    </row>
    <row r="4120" spans="1:11" ht="42" customHeight="1">
      <c r="A4120" s="4" t="s">
        <v>9531</v>
      </c>
      <c r="B4120" s="5" t="s">
        <v>9531</v>
      </c>
      <c r="C4120" s="5" t="s">
        <v>17</v>
      </c>
      <c r="D4120" s="5" t="s">
        <v>18</v>
      </c>
      <c r="E4120" s="5" t="s">
        <v>135</v>
      </c>
      <c r="F4120" s="9">
        <v>71</v>
      </c>
      <c r="G4120" s="9">
        <v>755</v>
      </c>
      <c r="H4120" s="5" t="s">
        <v>20</v>
      </c>
      <c r="I4120" s="5" t="s">
        <v>9532</v>
      </c>
      <c r="J4120" s="12" t="str">
        <f>HYPERLINK("https://www.boe.es/gazeta/dias/1805/09/03/pdfs/GMD-1805-71.pdf#page=7","Abrir facsímil")</f>
        <v>Abrir facsímil</v>
      </c>
      <c r="K4120" s="15" t="s">
        <v>22</v>
      </c>
    </row>
    <row r="4121" spans="1:11" ht="42" customHeight="1">
      <c r="A4121" s="4" t="s">
        <v>9533</v>
      </c>
      <c r="B4121" s="5" t="s">
        <v>9533</v>
      </c>
      <c r="C4121" s="5" t="s">
        <v>17</v>
      </c>
      <c r="D4121" s="5" t="s">
        <v>18</v>
      </c>
      <c r="E4121" s="5" t="s">
        <v>135</v>
      </c>
      <c r="F4121" s="9">
        <v>71</v>
      </c>
      <c r="G4121" s="9">
        <v>755</v>
      </c>
      <c r="H4121" s="5" t="s">
        <v>20</v>
      </c>
      <c r="I4121" s="5" t="s">
        <v>9534</v>
      </c>
      <c r="J4121" s="12" t="str">
        <f>HYPERLINK("https://www.boe.es/gazeta/dias/1805/09/03/pdfs/GMD-1805-71.pdf#page=7","Abrir facsímil")</f>
        <v>Abrir facsímil</v>
      </c>
      <c r="K4121" s="15" t="s">
        <v>22</v>
      </c>
    </row>
    <row r="4122" spans="1:11" ht="42" customHeight="1">
      <c r="A4122" s="4" t="s">
        <v>9535</v>
      </c>
      <c r="B4122" s="5" t="s">
        <v>9535</v>
      </c>
      <c r="C4122" s="5" t="s">
        <v>17</v>
      </c>
      <c r="D4122" s="5" t="s">
        <v>18</v>
      </c>
      <c r="E4122" s="5" t="s">
        <v>261</v>
      </c>
      <c r="F4122" s="9">
        <v>18</v>
      </c>
      <c r="G4122" s="9">
        <v>184</v>
      </c>
      <c r="H4122" s="5" t="s">
        <v>20</v>
      </c>
      <c r="I4122" s="5" t="s">
        <v>9536</v>
      </c>
      <c r="J4122" s="12" t="str">
        <f>HYPERLINK("https://www.boe.es/gazeta/dias/1805/03/01/pdfs/GMD-1805-18.pdf#page=4","Abrir facsímil")</f>
        <v>Abrir facsímil</v>
      </c>
      <c r="K4122" s="15" t="s">
        <v>22</v>
      </c>
    </row>
    <row r="4123" spans="1:11" ht="42" customHeight="1">
      <c r="A4123" s="4" t="s">
        <v>9537</v>
      </c>
      <c r="B4123" s="5" t="s">
        <v>9538</v>
      </c>
      <c r="C4123" s="5" t="s">
        <v>29</v>
      </c>
      <c r="D4123" s="5" t="s">
        <v>30</v>
      </c>
      <c r="E4123" s="5" t="s">
        <v>1292</v>
      </c>
      <c r="F4123" s="9">
        <v>43</v>
      </c>
      <c r="G4123" s="9">
        <v>461</v>
      </c>
      <c r="H4123" s="5" t="s">
        <v>20</v>
      </c>
      <c r="I4123" s="5" t="s">
        <v>9539</v>
      </c>
      <c r="J4123" s="12" t="str">
        <f>HYPERLINK("https://www.boe.es/gazeta/dias/1805/05/28/pdfs/GMD-1805-43.pdf#page=5","Abrir facsímil")</f>
        <v>Abrir facsímil</v>
      </c>
      <c r="K4123" s="15" t="s">
        <v>22</v>
      </c>
    </row>
    <row r="4124" spans="1:11" ht="42" customHeight="1">
      <c r="A4124" s="4" t="s">
        <v>9540</v>
      </c>
      <c r="B4124" s="5" t="s">
        <v>9540</v>
      </c>
      <c r="C4124" s="5" t="s">
        <v>80</v>
      </c>
      <c r="D4124" s="5" t="s">
        <v>81</v>
      </c>
      <c r="E4124" s="5" t="s">
        <v>44</v>
      </c>
      <c r="F4124" s="9">
        <v>29</v>
      </c>
      <c r="G4124" s="9">
        <v>309</v>
      </c>
      <c r="H4124" s="5" t="s">
        <v>20</v>
      </c>
      <c r="I4124" s="5" t="s">
        <v>9541</v>
      </c>
      <c r="J4124" s="12" t="str">
        <f>HYPERLINK("https://www.boe.es/gazeta/dias/1805/04/09/pdfs/GMD-1805-29.pdf#page=5","Abrir facsímil")</f>
        <v>Abrir facsímil</v>
      </c>
      <c r="K4124" s="15" t="s">
        <v>22</v>
      </c>
    </row>
    <row r="4125" spans="1:11" ht="42" customHeight="1">
      <c r="A4125" s="4" t="s">
        <v>9540</v>
      </c>
      <c r="B4125" s="5" t="s">
        <v>9540</v>
      </c>
      <c r="C4125" s="5" t="s">
        <v>80</v>
      </c>
      <c r="D4125" s="5" t="s">
        <v>81</v>
      </c>
      <c r="E4125" s="5" t="s">
        <v>192</v>
      </c>
      <c r="F4125" s="9">
        <v>105</v>
      </c>
      <c r="G4125" s="9">
        <v>1134</v>
      </c>
      <c r="H4125" s="5" t="s">
        <v>20</v>
      </c>
      <c r="I4125" s="5" t="s">
        <v>9542</v>
      </c>
      <c r="J4125" s="12" t="str">
        <f>HYPERLINK("https://www.boe.es/gazeta/dias/1805/12/31/pdfs/GMD-1805-105.pdf#page=6","Abrir facsímil")</f>
        <v>Abrir facsímil</v>
      </c>
      <c r="K4125" s="15" t="s">
        <v>22</v>
      </c>
    </row>
    <row r="4126" spans="1:11" ht="42" customHeight="1">
      <c r="A4126" s="4" t="s">
        <v>9543</v>
      </c>
      <c r="B4126" s="5" t="s">
        <v>9543</v>
      </c>
      <c r="C4126" s="5" t="s">
        <v>184</v>
      </c>
      <c r="D4126" s="5" t="s">
        <v>86</v>
      </c>
      <c r="E4126" s="5" t="s">
        <v>114</v>
      </c>
      <c r="F4126" s="9">
        <v>17</v>
      </c>
      <c r="G4126" s="9">
        <v>178</v>
      </c>
      <c r="H4126" s="5" t="s">
        <v>20</v>
      </c>
      <c r="I4126" s="5" t="s">
        <v>9544</v>
      </c>
      <c r="J4126" s="12" t="str">
        <f>HYPERLINK("https://www.boe.es/gazeta/dias/1805/02/26/pdfs/GMD-1805-17.pdf#page=10","Abrir facsímil")</f>
        <v>Abrir facsímil</v>
      </c>
      <c r="K4126" s="15" t="s">
        <v>22</v>
      </c>
    </row>
    <row r="4127" spans="1:11" ht="42" customHeight="1">
      <c r="A4127" s="4" t="s">
        <v>9545</v>
      </c>
      <c r="B4127" s="5" t="s">
        <v>9546</v>
      </c>
      <c r="C4127" s="5" t="s">
        <v>184</v>
      </c>
      <c r="D4127" s="5" t="s">
        <v>86</v>
      </c>
      <c r="E4127" s="5" t="s">
        <v>422</v>
      </c>
      <c r="F4127" s="9">
        <v>74</v>
      </c>
      <c r="G4127" s="9">
        <v>788</v>
      </c>
      <c r="H4127" s="5" t="s">
        <v>20</v>
      </c>
      <c r="I4127" s="5" t="s">
        <v>9547</v>
      </c>
      <c r="J4127" s="12" t="str">
        <f>HYPERLINK("https://www.boe.es/gazeta/dias/1805/09/13/pdfs/GMD-1805-74.pdf#page=12","Abrir facsímil")</f>
        <v>Abrir facsímil</v>
      </c>
      <c r="K4127" s="15" t="s">
        <v>22</v>
      </c>
    </row>
    <row r="4128" spans="1:11" ht="42" customHeight="1">
      <c r="A4128" s="4" t="s">
        <v>9548</v>
      </c>
      <c r="B4128" s="5" t="s">
        <v>9549</v>
      </c>
      <c r="C4128" s="5" t="s">
        <v>17</v>
      </c>
      <c r="D4128" s="5" t="s">
        <v>18</v>
      </c>
      <c r="E4128" s="5" t="s">
        <v>196</v>
      </c>
      <c r="F4128" s="9">
        <v>67</v>
      </c>
      <c r="G4128" s="9">
        <v>718</v>
      </c>
      <c r="H4128" s="5" t="s">
        <v>20</v>
      </c>
      <c r="I4128" s="5" t="s">
        <v>9550</v>
      </c>
      <c r="J4128" s="12" t="str">
        <f>HYPERLINK("https://www.boe.es/gazeta/dias/1805/08/20/pdfs/GMD-1805-67.pdf#page=6","Abrir facsímil")</f>
        <v>Abrir facsímil</v>
      </c>
      <c r="K4128" s="15" t="s">
        <v>22</v>
      </c>
    </row>
    <row r="4129" spans="1:11" ht="42" customHeight="1">
      <c r="A4129" s="4" t="s">
        <v>9551</v>
      </c>
      <c r="B4129" s="5" t="s">
        <v>9551</v>
      </c>
      <c r="C4129" s="5" t="s">
        <v>85</v>
      </c>
      <c r="D4129" s="5" t="s">
        <v>86</v>
      </c>
      <c r="E4129" s="5" t="s">
        <v>114</v>
      </c>
      <c r="F4129" s="9">
        <v>17</v>
      </c>
      <c r="G4129" s="9">
        <v>177</v>
      </c>
      <c r="H4129" s="5" t="s">
        <v>20</v>
      </c>
      <c r="I4129" s="5" t="s">
        <v>9552</v>
      </c>
      <c r="J4129" s="12" t="str">
        <f>HYPERLINK("https://www.boe.es/gazeta/dias/1805/02/26/pdfs/GMD-1805-17.pdf#page=9","Abrir facsímil")</f>
        <v>Abrir facsímil</v>
      </c>
      <c r="K4129" s="15" t="s">
        <v>22</v>
      </c>
    </row>
    <row r="4130" spans="1:11" ht="42" customHeight="1">
      <c r="A4130" s="4" t="s">
        <v>9553</v>
      </c>
      <c r="B4130" s="5" t="s">
        <v>9553</v>
      </c>
      <c r="C4130" s="5" t="s">
        <v>35</v>
      </c>
      <c r="D4130" s="5" t="s">
        <v>36</v>
      </c>
      <c r="E4130" s="5" t="s">
        <v>40</v>
      </c>
      <c r="F4130" s="9">
        <v>59</v>
      </c>
      <c r="G4130" s="9">
        <v>631</v>
      </c>
      <c r="H4130" s="5" t="s">
        <v>20</v>
      </c>
      <c r="I4130" s="5" t="s">
        <v>9554</v>
      </c>
      <c r="J4130" s="12" t="str">
        <f>HYPERLINK("https://www.boe.es/gazeta/dias/1805/07/23/pdfs/GMD-1805-59.pdf#page=7","Abrir facsímil")</f>
        <v>Abrir facsímil</v>
      </c>
      <c r="K4130" s="15" t="s">
        <v>22</v>
      </c>
    </row>
    <row r="4131" spans="1:11" ht="42" customHeight="1">
      <c r="A4131" s="4" t="s">
        <v>9555</v>
      </c>
      <c r="B4131" s="5" t="s">
        <v>9555</v>
      </c>
      <c r="C4131" s="5" t="s">
        <v>17</v>
      </c>
      <c r="D4131" s="5" t="s">
        <v>18</v>
      </c>
      <c r="E4131" s="5" t="s">
        <v>226</v>
      </c>
      <c r="F4131" s="9">
        <v>73</v>
      </c>
      <c r="G4131" s="9">
        <v>773</v>
      </c>
      <c r="H4131" s="5" t="s">
        <v>20</v>
      </c>
      <c r="I4131" s="5" t="s">
        <v>9556</v>
      </c>
      <c r="J4131" s="12" t="str">
        <f>HYPERLINK("https://www.boe.es/gazeta/dias/1805/09/10/pdfs/GMD-1805-73.pdf#page=5","Abrir facsímil")</f>
        <v>Abrir facsímil</v>
      </c>
      <c r="K4131" s="15" t="s">
        <v>22</v>
      </c>
    </row>
    <row r="4132" spans="1:11" ht="42" customHeight="1">
      <c r="A4132" s="4" t="s">
        <v>9557</v>
      </c>
      <c r="B4132" s="5" t="s">
        <v>9557</v>
      </c>
      <c r="C4132" s="5" t="s">
        <v>35</v>
      </c>
      <c r="D4132" s="5" t="s">
        <v>36</v>
      </c>
      <c r="E4132" s="5" t="s">
        <v>91</v>
      </c>
      <c r="F4132" s="9">
        <v>28</v>
      </c>
      <c r="G4132" s="9">
        <v>300</v>
      </c>
      <c r="H4132" s="5" t="s">
        <v>20</v>
      </c>
      <c r="I4132" s="5" t="s">
        <v>9558</v>
      </c>
      <c r="J4132" s="12" t="str">
        <f>HYPERLINK("https://www.boe.es/gazeta/dias/1805/04/05/pdfs/GMD-1805-28.pdf#page=8","Abrir facsímil")</f>
        <v>Abrir facsímil</v>
      </c>
      <c r="K4132" s="15" t="s">
        <v>22</v>
      </c>
    </row>
    <row r="4133" spans="1:11" ht="42" customHeight="1">
      <c r="A4133" s="4" t="s">
        <v>9559</v>
      </c>
      <c r="B4133" s="5" t="s">
        <v>9559</v>
      </c>
      <c r="C4133" s="5" t="s">
        <v>184</v>
      </c>
      <c r="D4133" s="5" t="s">
        <v>86</v>
      </c>
      <c r="E4133" s="5" t="s">
        <v>363</v>
      </c>
      <c r="F4133" s="9">
        <v>1</v>
      </c>
      <c r="G4133" s="9">
        <v>12</v>
      </c>
      <c r="H4133" s="5" t="s">
        <v>20</v>
      </c>
      <c r="I4133" s="5" t="s">
        <v>9560</v>
      </c>
      <c r="J4133" s="12" t="str">
        <f>HYPERLINK("https://www.boe.es/gazeta/dias/1805/01/01/pdfs/GMD-1805-1.pdf#page=12","Abrir facsímil")</f>
        <v>Abrir facsímil</v>
      </c>
      <c r="K4133" s="15" t="s">
        <v>22</v>
      </c>
    </row>
    <row r="4134" spans="1:11" ht="42" customHeight="1">
      <c r="A4134" s="4" t="s">
        <v>9559</v>
      </c>
      <c r="B4134" s="5" t="s">
        <v>9559</v>
      </c>
      <c r="C4134" s="5" t="s">
        <v>184</v>
      </c>
      <c r="D4134" s="5" t="s">
        <v>86</v>
      </c>
      <c r="E4134" s="5" t="s">
        <v>1445</v>
      </c>
      <c r="F4134" s="9">
        <v>6</v>
      </c>
      <c r="G4134" s="9">
        <v>67</v>
      </c>
      <c r="H4134" s="5" t="s">
        <v>20</v>
      </c>
      <c r="I4134" s="5" t="s">
        <v>9561</v>
      </c>
      <c r="J4134" s="12" t="str">
        <f>HYPERLINK("https://www.boe.es/gazeta/dias/1805/01/18/pdfs/GMD-1805-6.pdf#page=11","Abrir facsímil")</f>
        <v>Abrir facsímil</v>
      </c>
      <c r="K4134" s="15" t="s">
        <v>22</v>
      </c>
    </row>
    <row r="4135" spans="1:11" ht="42" customHeight="1">
      <c r="A4135" s="4" t="s">
        <v>9559</v>
      </c>
      <c r="B4135" s="5" t="s">
        <v>9559</v>
      </c>
      <c r="C4135" s="5" t="s">
        <v>184</v>
      </c>
      <c r="D4135" s="5" t="s">
        <v>86</v>
      </c>
      <c r="E4135" s="5" t="s">
        <v>273</v>
      </c>
      <c r="F4135" s="9">
        <v>8</v>
      </c>
      <c r="G4135" s="9">
        <v>90</v>
      </c>
      <c r="H4135" s="5" t="s">
        <v>20</v>
      </c>
      <c r="I4135" s="5" t="s">
        <v>9562</v>
      </c>
      <c r="J4135" s="12" t="str">
        <f>HYPERLINK("https://www.boe.es/gazeta/dias/1805/01/25/pdfs/GMD-1805-8.pdf#page=10","Abrir facsímil")</f>
        <v>Abrir facsímil</v>
      </c>
      <c r="K4135" s="15" t="s">
        <v>22</v>
      </c>
    </row>
    <row r="4136" spans="1:11" ht="42" customHeight="1">
      <c r="A4136" s="4" t="s">
        <v>9559</v>
      </c>
      <c r="B4136" s="5" t="s">
        <v>9559</v>
      </c>
      <c r="C4136" s="5" t="s">
        <v>184</v>
      </c>
      <c r="D4136" s="5" t="s">
        <v>86</v>
      </c>
      <c r="E4136" s="5" t="s">
        <v>95</v>
      </c>
      <c r="F4136" s="9">
        <v>13</v>
      </c>
      <c r="G4136" s="9">
        <v>139</v>
      </c>
      <c r="H4136" s="5" t="s">
        <v>20</v>
      </c>
      <c r="I4136" s="5" t="s">
        <v>9563</v>
      </c>
      <c r="J4136" s="12" t="str">
        <f>HYPERLINK("https://www.boe.es/gazeta/dias/1805/02/12/pdfs/GMD-1805-13.pdf#page=7","Abrir facsímil")</f>
        <v>Abrir facsímil</v>
      </c>
      <c r="K4136" s="15" t="s">
        <v>22</v>
      </c>
    </row>
    <row r="4137" spans="1:11" ht="42" customHeight="1">
      <c r="A4137" s="4" t="s">
        <v>9559</v>
      </c>
      <c r="B4137" s="5" t="s">
        <v>9559</v>
      </c>
      <c r="C4137" s="5" t="s">
        <v>184</v>
      </c>
      <c r="D4137" s="5" t="s">
        <v>86</v>
      </c>
      <c r="E4137" s="5" t="s">
        <v>117</v>
      </c>
      <c r="F4137" s="9">
        <v>20</v>
      </c>
      <c r="G4137" s="9">
        <v>212</v>
      </c>
      <c r="H4137" s="5" t="s">
        <v>20</v>
      </c>
      <c r="I4137" s="5" t="s">
        <v>9564</v>
      </c>
      <c r="J4137" s="12" t="str">
        <f>HYPERLINK("https://www.boe.es/gazeta/dias/1805/03/08/pdfs/GMD-1805-20.pdf#page=12","Abrir facsímil")</f>
        <v>Abrir facsímil</v>
      </c>
      <c r="K4137" s="15" t="s">
        <v>22</v>
      </c>
    </row>
    <row r="4138" spans="1:11" ht="42" customHeight="1">
      <c r="A4138" s="4" t="s">
        <v>9559</v>
      </c>
      <c r="B4138" s="5" t="s">
        <v>9559</v>
      </c>
      <c r="C4138" s="5" t="s">
        <v>184</v>
      </c>
      <c r="D4138" s="5" t="s">
        <v>86</v>
      </c>
      <c r="E4138" s="5" t="s">
        <v>120</v>
      </c>
      <c r="F4138" s="9">
        <v>24</v>
      </c>
      <c r="G4138" s="9">
        <v>259</v>
      </c>
      <c r="H4138" s="5" t="s">
        <v>20</v>
      </c>
      <c r="I4138" s="5" t="s">
        <v>9565</v>
      </c>
      <c r="J4138" s="12" t="str">
        <f>HYPERLINK("https://www.boe.es/gazeta/dias/1805/03/22/pdfs/GMD-1805-24.pdf#page=11","Abrir facsímil")</f>
        <v>Abrir facsímil</v>
      </c>
      <c r="K4138" s="15" t="s">
        <v>22</v>
      </c>
    </row>
    <row r="4139" spans="1:11" ht="42" customHeight="1">
      <c r="A4139" s="4" t="s">
        <v>9559</v>
      </c>
      <c r="B4139" s="5" t="s">
        <v>9559</v>
      </c>
      <c r="C4139" s="5" t="s">
        <v>184</v>
      </c>
      <c r="D4139" s="5" t="s">
        <v>86</v>
      </c>
      <c r="E4139" s="5" t="s">
        <v>91</v>
      </c>
      <c r="F4139" s="9">
        <v>28</v>
      </c>
      <c r="G4139" s="9">
        <v>303</v>
      </c>
      <c r="H4139" s="5" t="s">
        <v>20</v>
      </c>
      <c r="I4139" s="5" t="s">
        <v>9566</v>
      </c>
      <c r="J4139" s="12" t="str">
        <f>HYPERLINK("https://www.boe.es/gazeta/dias/1805/04/05/pdfs/GMD-1805-28.pdf#page=11","Abrir facsímil")</f>
        <v>Abrir facsímil</v>
      </c>
      <c r="K4139" s="15" t="s">
        <v>22</v>
      </c>
    </row>
    <row r="4140" spans="1:11" ht="42" customHeight="1">
      <c r="A4140" s="4" t="s">
        <v>9559</v>
      </c>
      <c r="B4140" s="5" t="s">
        <v>9559</v>
      </c>
      <c r="C4140" s="5" t="s">
        <v>17</v>
      </c>
      <c r="D4140" s="5" t="s">
        <v>18</v>
      </c>
      <c r="E4140" s="5" t="s">
        <v>1432</v>
      </c>
      <c r="F4140" s="9">
        <v>53</v>
      </c>
      <c r="G4140" s="9">
        <v>571</v>
      </c>
      <c r="H4140" s="5" t="s">
        <v>20</v>
      </c>
      <c r="I4140" s="5" t="s">
        <v>9567</v>
      </c>
      <c r="J4140" s="12" t="str">
        <f>HYPERLINK("https://www.boe.es/gazeta/dias/1805/07/02/pdfs/GMD-1805-53.pdf#page=7","Abrir facsímil")</f>
        <v>Abrir facsímil</v>
      </c>
      <c r="K4140" s="15" t="s">
        <v>22</v>
      </c>
    </row>
    <row r="4141" spans="1:11" ht="42" customHeight="1">
      <c r="A4141" s="4" t="s">
        <v>9559</v>
      </c>
      <c r="B4141" s="5" t="s">
        <v>9559</v>
      </c>
      <c r="C4141" s="5" t="s">
        <v>184</v>
      </c>
      <c r="D4141" s="5" t="s">
        <v>86</v>
      </c>
      <c r="E4141" s="5" t="s">
        <v>409</v>
      </c>
      <c r="F4141" s="9">
        <v>69</v>
      </c>
      <c r="G4141" s="9">
        <v>739</v>
      </c>
      <c r="H4141" s="5" t="s">
        <v>20</v>
      </c>
      <c r="I4141" s="5" t="s">
        <v>9568</v>
      </c>
      <c r="J4141" s="12" t="str">
        <f>HYPERLINK("https://www.boe.es/gazeta/dias/1805/08/27/pdfs/GMD-1805-69.pdf#page=7","Abrir facsímil")</f>
        <v>Abrir facsímil</v>
      </c>
      <c r="K4141" s="15" t="s">
        <v>22</v>
      </c>
    </row>
    <row r="4142" spans="1:11" ht="42" customHeight="1">
      <c r="A4142" s="4" t="s">
        <v>9559</v>
      </c>
      <c r="B4142" s="5" t="s">
        <v>9559</v>
      </c>
      <c r="C4142" s="5" t="s">
        <v>184</v>
      </c>
      <c r="D4142" s="5" t="s">
        <v>86</v>
      </c>
      <c r="E4142" s="5" t="s">
        <v>99</v>
      </c>
      <c r="F4142" s="9">
        <v>83</v>
      </c>
      <c r="G4142" s="9">
        <v>883</v>
      </c>
      <c r="H4142" s="5" t="s">
        <v>20</v>
      </c>
      <c r="I4142" s="5" t="s">
        <v>9569</v>
      </c>
      <c r="J4142" s="12" t="str">
        <f>HYPERLINK("https://www.boe.es/gazeta/dias/1805/10/15/pdfs/GMD-1805-83.pdf#page=11","Abrir facsímil")</f>
        <v>Abrir facsímil</v>
      </c>
      <c r="K4142" s="15" t="s">
        <v>22</v>
      </c>
    </row>
    <row r="4143" spans="1:11" ht="42" customHeight="1">
      <c r="A4143" s="4" t="s">
        <v>9559</v>
      </c>
      <c r="B4143" s="5" t="s">
        <v>9559</v>
      </c>
      <c r="C4143" s="5" t="s">
        <v>184</v>
      </c>
      <c r="D4143" s="5" t="s">
        <v>86</v>
      </c>
      <c r="E4143" s="5" t="s">
        <v>552</v>
      </c>
      <c r="F4143" s="9">
        <v>94</v>
      </c>
      <c r="G4143" s="9">
        <v>1011</v>
      </c>
      <c r="H4143" s="5" t="s">
        <v>20</v>
      </c>
      <c r="I4143" s="5" t="s">
        <v>9570</v>
      </c>
      <c r="J4143" s="12" t="str">
        <f>HYPERLINK("https://www.boe.es/gazeta/dias/1805/11/22/pdfs/GMD-1805-94.pdf#page=11","Abrir facsímil")</f>
        <v>Abrir facsímil</v>
      </c>
      <c r="K4143" s="15" t="s">
        <v>22</v>
      </c>
    </row>
    <row r="4144" spans="1:11" ht="42" customHeight="1">
      <c r="A4144" s="4" t="s">
        <v>9559</v>
      </c>
      <c r="B4144" s="5" t="s">
        <v>9559</v>
      </c>
      <c r="C4144" s="5" t="s">
        <v>17</v>
      </c>
      <c r="D4144" s="5" t="s">
        <v>18</v>
      </c>
      <c r="E4144" s="5" t="s">
        <v>54</v>
      </c>
      <c r="F4144" s="9">
        <v>99</v>
      </c>
      <c r="G4144" s="9">
        <v>1071</v>
      </c>
      <c r="H4144" s="5" t="s">
        <v>20</v>
      </c>
      <c r="I4144" s="5" t="s">
        <v>9571</v>
      </c>
      <c r="J4144" s="12" t="str">
        <f>HYPERLINK("https://www.boe.es/gazeta/dias/1805/12/10/pdfs/GMD-1805-99.pdf#page=11","Abrir facsímil")</f>
        <v>Abrir facsímil</v>
      </c>
      <c r="K4144" s="15" t="s">
        <v>22</v>
      </c>
    </row>
    <row r="4145" spans="1:11" ht="42" customHeight="1">
      <c r="A4145" s="4" t="s">
        <v>9559</v>
      </c>
      <c r="B4145" s="5" t="s">
        <v>9559</v>
      </c>
      <c r="C4145" s="5" t="s">
        <v>184</v>
      </c>
      <c r="D4145" s="5" t="s">
        <v>86</v>
      </c>
      <c r="E4145" s="5" t="s">
        <v>512</v>
      </c>
      <c r="F4145" s="9">
        <v>100</v>
      </c>
      <c r="G4145" s="9">
        <v>1083</v>
      </c>
      <c r="H4145" s="5" t="s">
        <v>20</v>
      </c>
      <c r="I4145" s="5" t="s">
        <v>9572</v>
      </c>
      <c r="J4145" s="12" t="str">
        <f>HYPERLINK("https://www.boe.es/gazeta/dias/1805/12/13/pdfs/GMD-1805-100.pdf#page=11","Abrir facsímil")</f>
        <v>Abrir facsímil</v>
      </c>
      <c r="K4145" s="15" t="s">
        <v>22</v>
      </c>
    </row>
    <row r="4146" spans="1:11" ht="42" customHeight="1">
      <c r="A4146" s="4" t="s">
        <v>9559</v>
      </c>
      <c r="B4146" s="5" t="s">
        <v>9559</v>
      </c>
      <c r="C4146" s="5" t="s">
        <v>184</v>
      </c>
      <c r="D4146" s="5" t="s">
        <v>86</v>
      </c>
      <c r="E4146" s="5" t="s">
        <v>495</v>
      </c>
      <c r="F4146" s="9">
        <v>103</v>
      </c>
      <c r="G4146" s="9">
        <v>1116</v>
      </c>
      <c r="H4146" s="5" t="s">
        <v>20</v>
      </c>
      <c r="I4146" s="5" t="s">
        <v>9573</v>
      </c>
      <c r="J4146" s="12" t="str">
        <f>HYPERLINK("https://www.boe.es/gazeta/dias/1805/12/24/pdfs/GMD-1805-103.pdf#page=8","Abrir facsímil")</f>
        <v>Abrir facsímil</v>
      </c>
      <c r="K4146" s="15" t="s">
        <v>22</v>
      </c>
    </row>
    <row r="4147" spans="1:11" ht="42" customHeight="1">
      <c r="A4147" s="4" t="s">
        <v>9574</v>
      </c>
      <c r="B4147" s="5" t="s">
        <v>9574</v>
      </c>
      <c r="C4147" s="5" t="s">
        <v>17</v>
      </c>
      <c r="D4147" s="5" t="s">
        <v>18</v>
      </c>
      <c r="E4147" s="5" t="s">
        <v>63</v>
      </c>
      <c r="F4147" s="9">
        <v>101</v>
      </c>
      <c r="G4147" s="9">
        <v>1093</v>
      </c>
      <c r="H4147" s="5" t="s">
        <v>20</v>
      </c>
      <c r="I4147" s="5" t="s">
        <v>9575</v>
      </c>
      <c r="J4147" s="12" t="str">
        <f>HYPERLINK("https://www.boe.es/gazeta/dias/1805/12/17/pdfs/GMD-1805-101.pdf#page=9","Abrir facsímil")</f>
        <v>Abrir facsímil</v>
      </c>
      <c r="K4147" s="15" t="s">
        <v>22</v>
      </c>
    </row>
    <row r="4148" spans="1:11" ht="42" customHeight="1">
      <c r="A4148" s="4" t="s">
        <v>9576</v>
      </c>
      <c r="B4148" s="5" t="s">
        <v>9576</v>
      </c>
      <c r="C4148" s="5" t="s">
        <v>184</v>
      </c>
      <c r="D4148" s="5" t="s">
        <v>86</v>
      </c>
      <c r="E4148" s="5" t="s">
        <v>76</v>
      </c>
      <c r="F4148" s="9">
        <v>66</v>
      </c>
      <c r="G4148" s="9">
        <v>709</v>
      </c>
      <c r="H4148" s="5" t="s">
        <v>20</v>
      </c>
      <c r="I4148" s="5" t="s">
        <v>9577</v>
      </c>
      <c r="J4148" s="12" t="str">
        <f>HYPERLINK("https://www.boe.es/gazeta/dias/1805/08/16/pdfs/GMD-1805-66.pdf#page=9","Abrir facsímil")</f>
        <v>Abrir facsímil</v>
      </c>
      <c r="K4148" s="15" t="s">
        <v>22</v>
      </c>
    </row>
    <row r="4149" spans="1:11" ht="42" customHeight="1">
      <c r="A4149" s="4" t="s">
        <v>9578</v>
      </c>
      <c r="B4149" s="5" t="s">
        <v>9578</v>
      </c>
      <c r="C4149" s="5" t="s">
        <v>184</v>
      </c>
      <c r="D4149" s="5" t="s">
        <v>86</v>
      </c>
      <c r="E4149" s="5" t="s">
        <v>138</v>
      </c>
      <c r="F4149" s="9">
        <v>102</v>
      </c>
      <c r="G4149" s="9">
        <v>1104</v>
      </c>
      <c r="H4149" s="5" t="s">
        <v>20</v>
      </c>
      <c r="I4149" s="5" t="s">
        <v>9579</v>
      </c>
      <c r="J4149" s="12" t="str">
        <f>HYPERLINK("https://www.boe.es/gazeta/dias/1805/12/20/pdfs/GMD-1805-102.pdf#page=8","Abrir facsímil")</f>
        <v>Abrir facsímil</v>
      </c>
      <c r="K4149" s="15" t="s">
        <v>22</v>
      </c>
    </row>
    <row r="4150" spans="1:11" ht="42" customHeight="1">
      <c r="A4150" s="4" t="s">
        <v>9580</v>
      </c>
      <c r="B4150" s="5" t="s">
        <v>9580</v>
      </c>
      <c r="C4150" s="5" t="s">
        <v>35</v>
      </c>
      <c r="D4150" s="5" t="s">
        <v>36</v>
      </c>
      <c r="E4150" s="5" t="s">
        <v>63</v>
      </c>
      <c r="F4150" s="9">
        <v>101</v>
      </c>
      <c r="G4150" s="9">
        <v>1092</v>
      </c>
      <c r="H4150" s="5" t="s">
        <v>20</v>
      </c>
      <c r="I4150" s="5" t="s">
        <v>9581</v>
      </c>
      <c r="J4150" s="12" t="str">
        <f>HYPERLINK("https://www.boe.es/gazeta/dias/1805/12/17/pdfs/GMD-1805-101.pdf#page=8","Abrir facsímil")</f>
        <v>Abrir facsímil</v>
      </c>
      <c r="K4150" s="15" t="s">
        <v>22</v>
      </c>
    </row>
    <row r="4151" spans="1:11" ht="42" customHeight="1">
      <c r="A4151" s="4" t="s">
        <v>9582</v>
      </c>
      <c r="B4151" s="5" t="s">
        <v>9582</v>
      </c>
      <c r="C4151" s="5" t="s">
        <v>29</v>
      </c>
      <c r="D4151" s="5" t="s">
        <v>30</v>
      </c>
      <c r="E4151" s="5" t="s">
        <v>217</v>
      </c>
      <c r="F4151" s="9">
        <v>96</v>
      </c>
      <c r="G4151" s="9">
        <v>1031</v>
      </c>
      <c r="H4151" s="5" t="s">
        <v>20</v>
      </c>
      <c r="I4151" s="5" t="s">
        <v>9583</v>
      </c>
      <c r="J4151" s="12" t="str">
        <f>HYPERLINK("https://www.boe.es/gazeta/dias/1805/11/29/pdfs/GMD-1805-96.pdf#page=7","Abrir facsímil")</f>
        <v>Abrir facsímil</v>
      </c>
      <c r="K4151" s="15" t="s">
        <v>22</v>
      </c>
    </row>
    <row r="4152" spans="1:11" ht="42" customHeight="1">
      <c r="A4152" s="4" t="s">
        <v>9584</v>
      </c>
      <c r="B4152" s="5" t="s">
        <v>9584</v>
      </c>
      <c r="C4152" s="5" t="s">
        <v>17</v>
      </c>
      <c r="D4152" s="5" t="s">
        <v>18</v>
      </c>
      <c r="E4152" s="5" t="s">
        <v>40</v>
      </c>
      <c r="F4152" s="9">
        <v>59</v>
      </c>
      <c r="G4152" s="9">
        <v>631</v>
      </c>
      <c r="H4152" s="5" t="s">
        <v>20</v>
      </c>
      <c r="I4152" s="5" t="s">
        <v>9585</v>
      </c>
      <c r="J4152" s="12" t="str">
        <f>HYPERLINK("https://www.boe.es/gazeta/dias/1805/07/23/pdfs/GMD-1805-59.pdf#page=7","Abrir facsímil")</f>
        <v>Abrir facsímil</v>
      </c>
      <c r="K4152" s="15" t="s">
        <v>22</v>
      </c>
    </row>
    <row r="4153" spans="1:11" ht="42" customHeight="1">
      <c r="A4153" s="4" t="s">
        <v>9586</v>
      </c>
      <c r="B4153" s="5" t="s">
        <v>9586</v>
      </c>
      <c r="C4153" s="5" t="s">
        <v>35</v>
      </c>
      <c r="D4153" s="5" t="s">
        <v>36</v>
      </c>
      <c r="E4153" s="5" t="s">
        <v>63</v>
      </c>
      <c r="F4153" s="9">
        <v>101</v>
      </c>
      <c r="G4153" s="9">
        <v>1092</v>
      </c>
      <c r="H4153" s="5" t="s">
        <v>20</v>
      </c>
      <c r="I4153" s="5" t="s">
        <v>9587</v>
      </c>
      <c r="J4153" s="12" t="str">
        <f>HYPERLINK("https://www.boe.es/gazeta/dias/1805/12/17/pdfs/GMD-1805-101.pdf#page=8","Abrir facsímil")</f>
        <v>Abrir facsímil</v>
      </c>
      <c r="K4153" s="15" t="s">
        <v>22</v>
      </c>
    </row>
    <row r="4154" spans="1:11" ht="42" customHeight="1">
      <c r="A4154" s="4" t="s">
        <v>9588</v>
      </c>
      <c r="B4154" s="5" t="s">
        <v>9588</v>
      </c>
      <c r="C4154" s="5" t="s">
        <v>17</v>
      </c>
      <c r="D4154" s="5" t="s">
        <v>18</v>
      </c>
      <c r="E4154" s="5" t="s">
        <v>138</v>
      </c>
      <c r="F4154" s="9">
        <v>102</v>
      </c>
      <c r="G4154" s="9">
        <v>1104</v>
      </c>
      <c r="H4154" s="5" t="s">
        <v>20</v>
      </c>
      <c r="I4154" s="5" t="s">
        <v>9589</v>
      </c>
      <c r="J4154" s="12" t="str">
        <f>HYPERLINK("https://www.boe.es/gazeta/dias/1805/12/20/pdfs/GMD-1805-102.pdf#page=8","Abrir facsímil")</f>
        <v>Abrir facsímil</v>
      </c>
      <c r="K4154" s="15" t="s">
        <v>22</v>
      </c>
    </row>
    <row r="4155" spans="1:11" ht="42" customHeight="1">
      <c r="A4155" s="4" t="s">
        <v>9590</v>
      </c>
      <c r="B4155" s="5" t="s">
        <v>9590</v>
      </c>
      <c r="C4155" s="5" t="s">
        <v>35</v>
      </c>
      <c r="D4155" s="5" t="s">
        <v>36</v>
      </c>
      <c r="E4155" s="5" t="s">
        <v>67</v>
      </c>
      <c r="F4155" s="9">
        <v>98</v>
      </c>
      <c r="G4155" s="9">
        <v>1058</v>
      </c>
      <c r="H4155" s="5" t="s">
        <v>20</v>
      </c>
      <c r="I4155" s="5" t="s">
        <v>9591</v>
      </c>
      <c r="J4155" s="12" t="str">
        <f>HYPERLINK("https://www.boe.es/gazeta/dias/1805/12/06/pdfs/GMD-1805-98.pdf#page=10","Abrir facsímil")</f>
        <v>Abrir facsímil</v>
      </c>
      <c r="K4155" s="15" t="s">
        <v>22</v>
      </c>
    </row>
    <row r="4156" spans="1:11" ht="42" customHeight="1">
      <c r="A4156" s="4" t="s">
        <v>9592</v>
      </c>
      <c r="B4156" s="5" t="s">
        <v>9592</v>
      </c>
      <c r="C4156" s="5" t="s">
        <v>85</v>
      </c>
      <c r="D4156" s="5" t="s">
        <v>86</v>
      </c>
      <c r="E4156" s="5" t="s">
        <v>226</v>
      </c>
      <c r="F4156" s="9">
        <v>73</v>
      </c>
      <c r="G4156" s="9">
        <v>773</v>
      </c>
      <c r="H4156" s="5" t="s">
        <v>20</v>
      </c>
      <c r="I4156" s="5" t="s">
        <v>9593</v>
      </c>
      <c r="J4156" s="12" t="str">
        <f>HYPERLINK("https://www.boe.es/gazeta/dias/1805/09/10/pdfs/GMD-1805-73.pdf#page=5","Abrir facsímil")</f>
        <v>Abrir facsímil</v>
      </c>
      <c r="K4156" s="15" t="s">
        <v>22</v>
      </c>
    </row>
    <row r="4157" spans="1:11" ht="42" customHeight="1">
      <c r="A4157" s="4" t="s">
        <v>9594</v>
      </c>
      <c r="B4157" s="5" t="s">
        <v>9594</v>
      </c>
      <c r="C4157" s="5" t="s">
        <v>35</v>
      </c>
      <c r="D4157" s="5" t="s">
        <v>36</v>
      </c>
      <c r="E4157" s="5" t="s">
        <v>76</v>
      </c>
      <c r="F4157" s="9">
        <v>66</v>
      </c>
      <c r="G4157" s="9">
        <v>710</v>
      </c>
      <c r="H4157" s="5" t="s">
        <v>20</v>
      </c>
      <c r="I4157" s="5" t="s">
        <v>9595</v>
      </c>
      <c r="J4157" s="12" t="str">
        <f>HYPERLINK("https://www.boe.es/gazeta/dias/1805/08/16/pdfs/GMD-1805-66.pdf#page=10","Abrir facsímil")</f>
        <v>Abrir facsímil</v>
      </c>
      <c r="K4157" s="15" t="s">
        <v>22</v>
      </c>
    </row>
    <row r="4158" spans="1:11" ht="42" customHeight="1">
      <c r="A4158" s="4" t="s">
        <v>9594</v>
      </c>
      <c r="B4158" s="5" t="s">
        <v>9594</v>
      </c>
      <c r="C4158" s="5" t="s">
        <v>17</v>
      </c>
      <c r="D4158" s="5" t="s">
        <v>18</v>
      </c>
      <c r="E4158" s="5" t="s">
        <v>196</v>
      </c>
      <c r="F4158" s="9">
        <v>67</v>
      </c>
      <c r="G4158" s="9">
        <v>718</v>
      </c>
      <c r="H4158" s="5" t="s">
        <v>20</v>
      </c>
      <c r="I4158" s="5" t="s">
        <v>9596</v>
      </c>
      <c r="J4158" s="12" t="str">
        <f>HYPERLINK("https://www.boe.es/gazeta/dias/1805/08/20/pdfs/GMD-1805-67.pdf#page=6","Abrir facsímil")</f>
        <v>Abrir facsímil</v>
      </c>
      <c r="K4158" s="15" t="s">
        <v>22</v>
      </c>
    </row>
    <row r="4159" spans="1:11" ht="42" customHeight="1">
      <c r="A4159" s="4" t="s">
        <v>9597</v>
      </c>
      <c r="B4159" s="5" t="s">
        <v>9597</v>
      </c>
      <c r="C4159" s="5" t="s">
        <v>17</v>
      </c>
      <c r="D4159" s="5" t="s">
        <v>18</v>
      </c>
      <c r="E4159" s="5" t="s">
        <v>71</v>
      </c>
      <c r="F4159" s="9">
        <v>33</v>
      </c>
      <c r="G4159" s="9">
        <v>352</v>
      </c>
      <c r="H4159" s="5" t="s">
        <v>20</v>
      </c>
      <c r="I4159" s="5" t="s">
        <v>9598</v>
      </c>
      <c r="J4159" s="12" t="str">
        <f>HYPERLINK("https://www.boe.es/gazeta/dias/1805/04/23/pdfs/GMD-1805-33.pdf#page=8","Abrir facsímil")</f>
        <v>Abrir facsímil</v>
      </c>
      <c r="K4159" s="15" t="s">
        <v>22</v>
      </c>
    </row>
    <row r="4160" spans="1:11" ht="42" customHeight="1">
      <c r="A4160" s="4" t="s">
        <v>9599</v>
      </c>
      <c r="B4160" s="5" t="s">
        <v>9599</v>
      </c>
      <c r="C4160" s="5" t="s">
        <v>35</v>
      </c>
      <c r="D4160" s="5" t="s">
        <v>36</v>
      </c>
      <c r="E4160" s="5" t="s">
        <v>188</v>
      </c>
      <c r="F4160" s="9">
        <v>68</v>
      </c>
      <c r="G4160" s="9">
        <v>729</v>
      </c>
      <c r="H4160" s="5" t="s">
        <v>20</v>
      </c>
      <c r="I4160" s="5" t="s">
        <v>9600</v>
      </c>
      <c r="J4160" s="12" t="str">
        <f>HYPERLINK("https://www.boe.es/gazeta/dias/1805/08/23/pdfs/GMD-1805-68.pdf#page=9","Abrir facsímil")</f>
        <v>Abrir facsímil</v>
      </c>
      <c r="K4160" s="15" t="s">
        <v>22</v>
      </c>
    </row>
    <row r="4161" spans="1:11" ht="42" customHeight="1">
      <c r="A4161" s="4" t="s">
        <v>9601</v>
      </c>
      <c r="B4161" s="5" t="s">
        <v>9601</v>
      </c>
      <c r="C4161" s="5" t="s">
        <v>17</v>
      </c>
      <c r="D4161" s="5" t="s">
        <v>18</v>
      </c>
      <c r="E4161" s="5" t="s">
        <v>506</v>
      </c>
      <c r="F4161" s="9">
        <v>80</v>
      </c>
      <c r="G4161" s="9">
        <v>850</v>
      </c>
      <c r="H4161" s="5" t="s">
        <v>20</v>
      </c>
      <c r="I4161" s="5" t="s">
        <v>9602</v>
      </c>
      <c r="J4161" s="12" t="str">
        <f>HYPERLINK("https://www.boe.es/gazeta/dias/1805/10/04/pdfs/GMD-1805-80.pdf#page=10","Abrir facsímil")</f>
        <v>Abrir facsímil</v>
      </c>
      <c r="K4161" s="15" t="s">
        <v>22</v>
      </c>
    </row>
    <row r="4162" spans="1:11" ht="42" customHeight="1">
      <c r="A4162" s="4" t="s">
        <v>9603</v>
      </c>
      <c r="B4162" s="5" t="s">
        <v>9603</v>
      </c>
      <c r="C4162" s="5" t="s">
        <v>85</v>
      </c>
      <c r="D4162" s="5" t="s">
        <v>86</v>
      </c>
      <c r="E4162" s="5" t="s">
        <v>112</v>
      </c>
      <c r="F4162" s="9">
        <v>16</v>
      </c>
      <c r="G4162" s="9">
        <v>166</v>
      </c>
      <c r="H4162" s="5" t="s">
        <v>20</v>
      </c>
      <c r="I4162" s="5" t="s">
        <v>9604</v>
      </c>
      <c r="J4162" s="12" t="str">
        <f>HYPERLINK("https://www.boe.es/gazeta/dias/1805/02/22/pdfs/GMD-1805-16.pdf#page=6","Abrir facsímil")</f>
        <v>Abrir facsímil</v>
      </c>
      <c r="K4162" s="15" t="s">
        <v>22</v>
      </c>
    </row>
    <row r="4163" spans="1:11" ht="42" customHeight="1">
      <c r="A4163" s="4" t="s">
        <v>9603</v>
      </c>
      <c r="B4163" s="5" t="s">
        <v>9603</v>
      </c>
      <c r="C4163" s="5" t="s">
        <v>85</v>
      </c>
      <c r="D4163" s="5" t="s">
        <v>86</v>
      </c>
      <c r="E4163" s="5" t="s">
        <v>107</v>
      </c>
      <c r="F4163" s="9">
        <v>19</v>
      </c>
      <c r="G4163" s="9">
        <v>198</v>
      </c>
      <c r="H4163" s="5" t="s">
        <v>20</v>
      </c>
      <c r="I4163" s="5" t="s">
        <v>9605</v>
      </c>
      <c r="J4163" s="12" t="str">
        <f>HYPERLINK("https://www.boe.es/gazeta/dias/1805/03/05/pdfs/GMD-1805-19.pdf#page=10","Abrir facsímil")</f>
        <v>Abrir facsímil</v>
      </c>
      <c r="K4163" s="15" t="s">
        <v>22</v>
      </c>
    </row>
    <row r="4164" spans="1:11" ht="42" customHeight="1">
      <c r="A4164" s="4" t="s">
        <v>9606</v>
      </c>
      <c r="B4164" s="5" t="s">
        <v>9606</v>
      </c>
      <c r="C4164" s="5" t="s">
        <v>17</v>
      </c>
      <c r="D4164" s="5" t="s">
        <v>18</v>
      </c>
      <c r="E4164" s="5" t="s">
        <v>138</v>
      </c>
      <c r="F4164" s="9">
        <v>102</v>
      </c>
      <c r="G4164" s="9">
        <v>1104</v>
      </c>
      <c r="H4164" s="5" t="s">
        <v>20</v>
      </c>
      <c r="I4164" s="5" t="s">
        <v>9607</v>
      </c>
      <c r="J4164" s="12" t="str">
        <f>HYPERLINK("https://www.boe.es/gazeta/dias/1805/12/20/pdfs/GMD-1805-102.pdf#page=8","Abrir facsímil")</f>
        <v>Abrir facsímil</v>
      </c>
      <c r="K4164" s="15" t="s">
        <v>22</v>
      </c>
    </row>
    <row r="4165" spans="1:11" ht="42" customHeight="1">
      <c r="A4165" s="4" t="s">
        <v>9608</v>
      </c>
      <c r="B4165" s="5" t="s">
        <v>9608</v>
      </c>
      <c r="C4165" s="5" t="s">
        <v>17</v>
      </c>
      <c r="D4165" s="5" t="s">
        <v>18</v>
      </c>
      <c r="E4165" s="5" t="s">
        <v>63</v>
      </c>
      <c r="F4165" s="9">
        <v>101</v>
      </c>
      <c r="G4165" s="9">
        <v>1092</v>
      </c>
      <c r="H4165" s="5" t="s">
        <v>20</v>
      </c>
      <c r="I4165" s="5" t="s">
        <v>9609</v>
      </c>
      <c r="J4165" s="12" t="str">
        <f>HYPERLINK("https://www.boe.es/gazeta/dias/1805/12/17/pdfs/GMD-1805-101.pdf#page=8","Abrir facsímil")</f>
        <v>Abrir facsímil</v>
      </c>
      <c r="K4165" s="15" t="s">
        <v>22</v>
      </c>
    </row>
    <row r="4166" spans="1:11" ht="42" customHeight="1">
      <c r="A4166" s="4" t="s">
        <v>9610</v>
      </c>
      <c r="B4166" s="5" t="s">
        <v>9610</v>
      </c>
      <c r="C4166" s="5" t="s">
        <v>35</v>
      </c>
      <c r="D4166" s="5" t="s">
        <v>36</v>
      </c>
      <c r="E4166" s="5" t="s">
        <v>138</v>
      </c>
      <c r="F4166" s="9">
        <v>102</v>
      </c>
      <c r="G4166" s="9">
        <v>1104</v>
      </c>
      <c r="H4166" s="5" t="s">
        <v>20</v>
      </c>
      <c r="I4166" s="5" t="s">
        <v>9611</v>
      </c>
      <c r="J4166" s="12" t="str">
        <f>HYPERLINK("https://www.boe.es/gazeta/dias/1805/12/20/pdfs/GMD-1805-102.pdf#page=8","Abrir facsímil")</f>
        <v>Abrir facsímil</v>
      </c>
      <c r="K4166" s="15" t="s">
        <v>22</v>
      </c>
    </row>
    <row r="4167" spans="1:11" ht="42" customHeight="1">
      <c r="A4167" s="4" t="s">
        <v>9612</v>
      </c>
      <c r="B4167" s="5" t="s">
        <v>9612</v>
      </c>
      <c r="C4167" s="5" t="s">
        <v>35</v>
      </c>
      <c r="D4167" s="5" t="s">
        <v>36</v>
      </c>
      <c r="E4167" s="5" t="s">
        <v>422</v>
      </c>
      <c r="F4167" s="9">
        <v>74</v>
      </c>
      <c r="G4167" s="9">
        <v>786</v>
      </c>
      <c r="H4167" s="5" t="s">
        <v>20</v>
      </c>
      <c r="I4167" s="5" t="s">
        <v>9613</v>
      </c>
      <c r="J4167" s="12" t="str">
        <f>HYPERLINK("https://www.boe.es/gazeta/dias/1805/09/13/pdfs/GMD-1805-74.pdf#page=10","Abrir facsímil")</f>
        <v>Abrir facsímil</v>
      </c>
      <c r="K4167" s="15" t="s">
        <v>22</v>
      </c>
    </row>
    <row r="4168" spans="1:11" ht="42" customHeight="1">
      <c r="A4168" s="4" t="s">
        <v>9614</v>
      </c>
      <c r="B4168" s="5" t="s">
        <v>9614</v>
      </c>
      <c r="C4168" s="5" t="s">
        <v>35</v>
      </c>
      <c r="D4168" s="5" t="s">
        <v>36</v>
      </c>
      <c r="E4168" s="5" t="s">
        <v>117</v>
      </c>
      <c r="F4168" s="9">
        <v>20</v>
      </c>
      <c r="G4168" s="9">
        <v>209</v>
      </c>
      <c r="H4168" s="5" t="s">
        <v>20</v>
      </c>
      <c r="I4168" s="5" t="s">
        <v>9615</v>
      </c>
      <c r="J4168" s="12" t="str">
        <f>HYPERLINK("https://www.boe.es/gazeta/dias/1805/03/08/pdfs/GMD-1805-20.pdf#page=9","Abrir facsímil")</f>
        <v>Abrir facsímil</v>
      </c>
      <c r="K4168" s="15" t="s">
        <v>22</v>
      </c>
    </row>
    <row r="4169" spans="1:11" ht="42" customHeight="1">
      <c r="A4169" s="4" t="s">
        <v>9614</v>
      </c>
      <c r="B4169" s="5" t="s">
        <v>9614</v>
      </c>
      <c r="C4169" s="5" t="s">
        <v>35</v>
      </c>
      <c r="D4169" s="5" t="s">
        <v>36</v>
      </c>
      <c r="E4169" s="5" t="s">
        <v>122</v>
      </c>
      <c r="F4169" s="9">
        <v>38</v>
      </c>
      <c r="G4169" s="9">
        <v>411</v>
      </c>
      <c r="H4169" s="5" t="s">
        <v>20</v>
      </c>
      <c r="I4169" s="5" t="s">
        <v>9616</v>
      </c>
      <c r="J4169" s="12" t="str">
        <f>HYPERLINK("https://www.boe.es/gazeta/dias/1805/05/10/pdfs/GMD-1805-38.pdf#page=7","Abrir facsímil")</f>
        <v>Abrir facsímil</v>
      </c>
      <c r="K4169" s="15" t="s">
        <v>22</v>
      </c>
    </row>
    <row r="4170" spans="1:11" ht="42" customHeight="1">
      <c r="A4170" s="4" t="s">
        <v>9617</v>
      </c>
      <c r="B4170" s="5" t="s">
        <v>9617</v>
      </c>
      <c r="C4170" s="5" t="s">
        <v>35</v>
      </c>
      <c r="D4170" s="5" t="s">
        <v>36</v>
      </c>
      <c r="E4170" s="5" t="s">
        <v>63</v>
      </c>
      <c r="F4170" s="9">
        <v>101</v>
      </c>
      <c r="G4170" s="9">
        <v>1091</v>
      </c>
      <c r="H4170" s="5" t="s">
        <v>20</v>
      </c>
      <c r="I4170" s="5" t="s">
        <v>9618</v>
      </c>
      <c r="J4170" s="12" t="str">
        <f>HYPERLINK("https://www.boe.es/gazeta/dias/1805/12/17/pdfs/GMD-1805-101.pdf#page=7","Abrir facsímil")</f>
        <v>Abrir facsímil</v>
      </c>
      <c r="K4170" s="15" t="s">
        <v>22</v>
      </c>
    </row>
    <row r="4171" spans="1:11" ht="42" customHeight="1">
      <c r="A4171" s="4" t="s">
        <v>9619</v>
      </c>
      <c r="B4171" s="5" t="s">
        <v>9619</v>
      </c>
      <c r="C4171" s="5" t="s">
        <v>35</v>
      </c>
      <c r="D4171" s="5" t="s">
        <v>36</v>
      </c>
      <c r="E4171" s="5" t="s">
        <v>506</v>
      </c>
      <c r="F4171" s="9">
        <v>80</v>
      </c>
      <c r="G4171" s="9">
        <v>850</v>
      </c>
      <c r="H4171" s="5" t="s">
        <v>20</v>
      </c>
      <c r="I4171" s="5" t="s">
        <v>9620</v>
      </c>
      <c r="J4171" s="12" t="str">
        <f>HYPERLINK("https://www.boe.es/gazeta/dias/1805/10/04/pdfs/GMD-1805-80.pdf#page=10","Abrir facsímil")</f>
        <v>Abrir facsímil</v>
      </c>
      <c r="K4171" s="15" t="s">
        <v>22</v>
      </c>
    </row>
    <row r="4172" spans="1:11" ht="42" customHeight="1">
      <c r="A4172" s="4" t="s">
        <v>9619</v>
      </c>
      <c r="B4172" s="5" t="s">
        <v>9619</v>
      </c>
      <c r="C4172" s="5" t="s">
        <v>17</v>
      </c>
      <c r="D4172" s="5" t="s">
        <v>18</v>
      </c>
      <c r="E4172" s="5" t="s">
        <v>495</v>
      </c>
      <c r="F4172" s="9">
        <v>103</v>
      </c>
      <c r="G4172" s="9">
        <v>1115</v>
      </c>
      <c r="H4172" s="5" t="s">
        <v>20</v>
      </c>
      <c r="I4172" s="5" t="s">
        <v>9621</v>
      </c>
      <c r="J4172" s="12" t="str">
        <f>HYPERLINK("https://www.boe.es/gazeta/dias/1805/12/24/pdfs/GMD-1805-103.pdf#page=7","Abrir facsímil")</f>
        <v>Abrir facsímil</v>
      </c>
      <c r="K4172" s="15" t="s">
        <v>22</v>
      </c>
    </row>
    <row r="4173" spans="1:11" ht="42" customHeight="1">
      <c r="A4173" s="4" t="s">
        <v>9622</v>
      </c>
      <c r="B4173" s="5" t="s">
        <v>9622</v>
      </c>
      <c r="C4173" s="5" t="s">
        <v>52</v>
      </c>
      <c r="D4173" s="5" t="s">
        <v>53</v>
      </c>
      <c r="E4173" s="5" t="s">
        <v>82</v>
      </c>
      <c r="F4173" s="9">
        <v>25</v>
      </c>
      <c r="G4173" s="9" t="s">
        <v>222</v>
      </c>
      <c r="H4173" s="5" t="s">
        <v>20</v>
      </c>
      <c r="I4173" s="5" t="s">
        <v>9623</v>
      </c>
      <c r="J4173" s="12" t="str">
        <f>HYPERLINK("https://www.boe.es/gazeta/dias/1805/03/26/pdfs/GMD-C-1805-25.pdf#page=1","Abrir facsímil")</f>
        <v>Abrir facsímil</v>
      </c>
      <c r="K4173" s="15" t="s">
        <v>22</v>
      </c>
    </row>
    <row r="4174" spans="1:11" ht="42" customHeight="1">
      <c r="A4174" s="4" t="s">
        <v>9624</v>
      </c>
      <c r="B4174" s="5" t="s">
        <v>9624</v>
      </c>
      <c r="C4174" s="5" t="s">
        <v>17</v>
      </c>
      <c r="D4174" s="5" t="s">
        <v>18</v>
      </c>
      <c r="E4174" s="5" t="s">
        <v>63</v>
      </c>
      <c r="F4174" s="9">
        <v>101</v>
      </c>
      <c r="G4174" s="9">
        <v>1092</v>
      </c>
      <c r="H4174" s="5" t="s">
        <v>20</v>
      </c>
      <c r="I4174" s="5" t="s">
        <v>9625</v>
      </c>
      <c r="J4174" s="12" t="str">
        <f>HYPERLINK("https://www.boe.es/gazeta/dias/1805/12/17/pdfs/GMD-1805-101.pdf#page=8","Abrir facsímil")</f>
        <v>Abrir facsímil</v>
      </c>
      <c r="K4174" s="15" t="s">
        <v>22</v>
      </c>
    </row>
    <row r="4175" spans="1:11" ht="42" customHeight="1">
      <c r="A4175" s="4" t="s">
        <v>9626</v>
      </c>
      <c r="B4175" s="5" t="s">
        <v>9626</v>
      </c>
      <c r="C4175" s="5" t="s">
        <v>35</v>
      </c>
      <c r="D4175" s="5" t="s">
        <v>36</v>
      </c>
      <c r="E4175" s="5" t="s">
        <v>138</v>
      </c>
      <c r="F4175" s="9">
        <v>102</v>
      </c>
      <c r="G4175" s="9">
        <v>1103</v>
      </c>
      <c r="H4175" s="5" t="s">
        <v>20</v>
      </c>
      <c r="I4175" s="5" t="s">
        <v>9627</v>
      </c>
      <c r="J4175" s="12" t="str">
        <f>HYPERLINK("https://www.boe.es/gazeta/dias/1805/12/20/pdfs/GMD-1805-102.pdf#page=7","Abrir facsímil")</f>
        <v>Abrir facsímil</v>
      </c>
      <c r="K4175" s="15" t="s">
        <v>22</v>
      </c>
    </row>
    <row r="4176" spans="1:11" ht="42" customHeight="1">
      <c r="A4176" s="4" t="s">
        <v>9628</v>
      </c>
      <c r="B4176" s="5" t="s">
        <v>9628</v>
      </c>
      <c r="C4176" s="5" t="s">
        <v>35</v>
      </c>
      <c r="D4176" s="5" t="s">
        <v>36</v>
      </c>
      <c r="E4176" s="5" t="s">
        <v>181</v>
      </c>
      <c r="F4176" s="9">
        <v>90</v>
      </c>
      <c r="G4176" s="9">
        <v>965</v>
      </c>
      <c r="H4176" s="5" t="s">
        <v>20</v>
      </c>
      <c r="I4176" s="5" t="s">
        <v>9629</v>
      </c>
      <c r="J4176" s="12" t="str">
        <f>HYPERLINK("https://www.boe.es/gazeta/dias/1805/11/08/pdfs/GMD-1805-90.pdf#page=9","Abrir facsímil")</f>
        <v>Abrir facsímil</v>
      </c>
      <c r="K4176" s="15" t="s">
        <v>22</v>
      </c>
    </row>
    <row r="4177" spans="1:11" ht="42" customHeight="1">
      <c r="A4177" s="4" t="s">
        <v>9630</v>
      </c>
      <c r="B4177" s="5" t="s">
        <v>9630</v>
      </c>
      <c r="C4177" s="5" t="s">
        <v>85</v>
      </c>
      <c r="D4177" s="5" t="s">
        <v>86</v>
      </c>
      <c r="E4177" s="5" t="s">
        <v>387</v>
      </c>
      <c r="F4177" s="9">
        <v>4</v>
      </c>
      <c r="G4177" s="9">
        <v>42</v>
      </c>
      <c r="H4177" s="5" t="s">
        <v>20</v>
      </c>
      <c r="I4177" s="5" t="s">
        <v>9631</v>
      </c>
      <c r="J4177" s="12" t="str">
        <f>HYPERLINK("https://www.boe.es/gazeta/dias/1805/01/11/pdfs/GMD-1805-4.pdf#page=10","Abrir facsímil")</f>
        <v>Abrir facsímil</v>
      </c>
      <c r="K4177" s="15" t="s">
        <v>22</v>
      </c>
    </row>
    <row r="4178" spans="1:11" ht="42" customHeight="1">
      <c r="A4178" s="4" t="s">
        <v>9632</v>
      </c>
      <c r="B4178" s="5" t="s">
        <v>9632</v>
      </c>
      <c r="C4178" s="5" t="s">
        <v>184</v>
      </c>
      <c r="D4178" s="5" t="s">
        <v>86</v>
      </c>
      <c r="E4178" s="5" t="s">
        <v>787</v>
      </c>
      <c r="F4178" s="9">
        <v>95</v>
      </c>
      <c r="G4178" s="9">
        <v>1022</v>
      </c>
      <c r="H4178" s="5" t="s">
        <v>20</v>
      </c>
      <c r="I4178" s="5" t="s">
        <v>9633</v>
      </c>
      <c r="J4178" s="12" t="str">
        <f>HYPERLINK("https://www.boe.es/gazeta/dias/1805/11/26/pdfs/GMD-1805-95.pdf#page=10","Abrir facsímil")</f>
        <v>Abrir facsímil</v>
      </c>
      <c r="K4178" s="15" t="s">
        <v>22</v>
      </c>
    </row>
    <row r="4179" spans="1:11" ht="42" customHeight="1">
      <c r="A4179" s="4" t="s">
        <v>9634</v>
      </c>
      <c r="B4179" s="5" t="s">
        <v>9634</v>
      </c>
      <c r="C4179" s="5" t="s">
        <v>35</v>
      </c>
      <c r="D4179" s="5" t="s">
        <v>36</v>
      </c>
      <c r="E4179" s="5" t="s">
        <v>422</v>
      </c>
      <c r="F4179" s="9">
        <v>74</v>
      </c>
      <c r="G4179" s="9">
        <v>786</v>
      </c>
      <c r="H4179" s="5" t="s">
        <v>20</v>
      </c>
      <c r="I4179" s="5" t="s">
        <v>9635</v>
      </c>
      <c r="J4179" s="12" t="str">
        <f>HYPERLINK("https://www.boe.es/gazeta/dias/1805/09/13/pdfs/GMD-1805-74.pdf#page=10","Abrir facsímil")</f>
        <v>Abrir facsímil</v>
      </c>
      <c r="K4179" s="15" t="s">
        <v>22</v>
      </c>
    </row>
    <row r="4180" spans="1:11" ht="42" customHeight="1">
      <c r="A4180" s="4" t="s">
        <v>9636</v>
      </c>
      <c r="B4180" s="5" t="s">
        <v>9636</v>
      </c>
      <c r="C4180" s="5" t="s">
        <v>17</v>
      </c>
      <c r="D4180" s="5" t="s">
        <v>18</v>
      </c>
      <c r="E4180" s="5" t="s">
        <v>63</v>
      </c>
      <c r="F4180" s="9">
        <v>101</v>
      </c>
      <c r="G4180" s="9">
        <v>1093</v>
      </c>
      <c r="H4180" s="5" t="s">
        <v>20</v>
      </c>
      <c r="I4180" s="5" t="s">
        <v>9637</v>
      </c>
      <c r="J4180" s="12" t="str">
        <f>HYPERLINK("https://www.boe.es/gazeta/dias/1805/12/17/pdfs/GMD-1805-101.pdf#page=9","Abrir facsímil")</f>
        <v>Abrir facsímil</v>
      </c>
      <c r="K4180" s="15" t="s">
        <v>22</v>
      </c>
    </row>
    <row r="4181" spans="1:11" ht="42" customHeight="1">
      <c r="A4181" s="4" t="s">
        <v>9638</v>
      </c>
      <c r="B4181" s="5" t="s">
        <v>9638</v>
      </c>
      <c r="C4181" s="5" t="s">
        <v>17</v>
      </c>
      <c r="D4181" s="5" t="s">
        <v>18</v>
      </c>
      <c r="E4181" s="5" t="s">
        <v>296</v>
      </c>
      <c r="F4181" s="9">
        <v>26</v>
      </c>
      <c r="G4181" s="9">
        <v>277</v>
      </c>
      <c r="H4181" s="5" t="s">
        <v>20</v>
      </c>
      <c r="I4181" s="5" t="s">
        <v>9639</v>
      </c>
      <c r="J4181" s="12" t="str">
        <f>HYPERLINK("https://www.boe.es/gazeta/dias/1805/03/29/pdfs/GMD-1805-26.pdf#page=9","Abrir facsímil")</f>
        <v>Abrir facsímil</v>
      </c>
      <c r="K4181" s="15" t="s">
        <v>22</v>
      </c>
    </row>
    <row r="4182" spans="1:11" ht="42" customHeight="1">
      <c r="A4182" s="4" t="s">
        <v>9640</v>
      </c>
      <c r="B4182" s="5" t="s">
        <v>9640</v>
      </c>
      <c r="C4182" s="5" t="s">
        <v>85</v>
      </c>
      <c r="D4182" s="5" t="s">
        <v>86</v>
      </c>
      <c r="E4182" s="5" t="s">
        <v>213</v>
      </c>
      <c r="F4182" s="9">
        <v>56</v>
      </c>
      <c r="G4182" s="9">
        <v>600</v>
      </c>
      <c r="H4182" s="5" t="s">
        <v>20</v>
      </c>
      <c r="I4182" s="5" t="s">
        <v>9641</v>
      </c>
      <c r="J4182" s="12" t="str">
        <f>HYPERLINK("https://www.boe.es/gazeta/dias/1805/07/12/pdfs/GMD-1805-56.pdf#page=8","Abrir facsímil")</f>
        <v>Abrir facsímil</v>
      </c>
      <c r="K4182" s="15" t="s">
        <v>22</v>
      </c>
    </row>
    <row r="4183" spans="1:11" ht="42" customHeight="1">
      <c r="A4183" s="4" t="s">
        <v>9642</v>
      </c>
      <c r="B4183" s="5" t="s">
        <v>9642</v>
      </c>
      <c r="C4183" s="5" t="s">
        <v>17</v>
      </c>
      <c r="D4183" s="5" t="s">
        <v>18</v>
      </c>
      <c r="E4183" s="5" t="s">
        <v>63</v>
      </c>
      <c r="F4183" s="9">
        <v>101</v>
      </c>
      <c r="G4183" s="9">
        <v>1091</v>
      </c>
      <c r="H4183" s="5" t="s">
        <v>20</v>
      </c>
      <c r="I4183" s="5" t="s">
        <v>9643</v>
      </c>
      <c r="J4183" s="12" t="str">
        <f>HYPERLINK("https://www.boe.es/gazeta/dias/1805/12/17/pdfs/GMD-1805-101.pdf#page=7","Abrir facsímil")</f>
        <v>Abrir facsímil</v>
      </c>
      <c r="K4183" s="15" t="s">
        <v>22</v>
      </c>
    </row>
    <row r="4184" spans="1:11" ht="42" customHeight="1">
      <c r="A4184" s="4" t="s">
        <v>9644</v>
      </c>
      <c r="B4184" s="5" t="s">
        <v>9644</v>
      </c>
      <c r="C4184" s="5" t="s">
        <v>85</v>
      </c>
      <c r="D4184" s="5" t="s">
        <v>86</v>
      </c>
      <c r="E4184" s="5" t="s">
        <v>138</v>
      </c>
      <c r="F4184" s="9">
        <v>102</v>
      </c>
      <c r="G4184" s="9">
        <v>1102</v>
      </c>
      <c r="H4184" s="5" t="s">
        <v>20</v>
      </c>
      <c r="I4184" s="5" t="s">
        <v>9645</v>
      </c>
      <c r="J4184" s="12" t="str">
        <f>HYPERLINK("https://www.boe.es/gazeta/dias/1805/12/20/pdfs/GMD-1805-102.pdf#page=6","Abrir facsímil")</f>
        <v>Abrir facsímil</v>
      </c>
      <c r="K4184" s="15" t="s">
        <v>22</v>
      </c>
    </row>
    <row r="4185" spans="1:11" ht="42" customHeight="1">
      <c r="A4185" s="4" t="s">
        <v>9646</v>
      </c>
      <c r="B4185" s="5" t="s">
        <v>9646</v>
      </c>
      <c r="C4185" s="5" t="s">
        <v>35</v>
      </c>
      <c r="D4185" s="5" t="s">
        <v>36</v>
      </c>
      <c r="E4185" s="5" t="s">
        <v>138</v>
      </c>
      <c r="F4185" s="9">
        <v>102</v>
      </c>
      <c r="G4185" s="9">
        <v>1104</v>
      </c>
      <c r="H4185" s="5" t="s">
        <v>20</v>
      </c>
      <c r="I4185" s="5" t="s">
        <v>9647</v>
      </c>
      <c r="J4185" s="12" t="str">
        <f>HYPERLINK("https://www.boe.es/gazeta/dias/1805/12/20/pdfs/GMD-1805-102.pdf#page=8","Abrir facsímil")</f>
        <v>Abrir facsímil</v>
      </c>
      <c r="K4185" s="15" t="s">
        <v>22</v>
      </c>
    </row>
    <row r="4186" spans="1:11" ht="42" customHeight="1">
      <c r="A4186" s="4" t="s">
        <v>9648</v>
      </c>
      <c r="B4186" s="5" t="s">
        <v>9649</v>
      </c>
      <c r="C4186" s="5" t="s">
        <v>85</v>
      </c>
      <c r="D4186" s="5" t="s">
        <v>86</v>
      </c>
      <c r="E4186" s="5" t="s">
        <v>261</v>
      </c>
      <c r="F4186" s="9">
        <v>18</v>
      </c>
      <c r="G4186" s="9">
        <v>187</v>
      </c>
      <c r="H4186" s="5" t="s">
        <v>20</v>
      </c>
      <c r="I4186" s="5" t="s">
        <v>9650</v>
      </c>
      <c r="J4186" s="12" t="str">
        <f>HYPERLINK("https://www.boe.es/gazeta/dias/1805/03/01/pdfs/GMD-1805-18.pdf#page=7","Abrir facsímil")</f>
        <v>Abrir facsímil</v>
      </c>
      <c r="K4186" s="15" t="s">
        <v>22</v>
      </c>
    </row>
    <row r="4187" spans="1:11" ht="42" customHeight="1">
      <c r="A4187" s="4" t="s">
        <v>9648</v>
      </c>
      <c r="B4187" s="5" t="s">
        <v>9649</v>
      </c>
      <c r="C4187" s="5" t="s">
        <v>85</v>
      </c>
      <c r="D4187" s="5" t="s">
        <v>86</v>
      </c>
      <c r="E4187" s="5" t="s">
        <v>1187</v>
      </c>
      <c r="F4187" s="9">
        <v>40</v>
      </c>
      <c r="G4187" s="9">
        <v>431</v>
      </c>
      <c r="H4187" s="5" t="s">
        <v>20</v>
      </c>
      <c r="I4187" s="5" t="s">
        <v>9651</v>
      </c>
      <c r="J4187" s="12" t="str">
        <f>HYPERLINK("https://www.boe.es/gazeta/dias/1805/05/17/pdfs/GMD-1805-40.pdf#page=7","Abrir facsímil")</f>
        <v>Abrir facsímil</v>
      </c>
      <c r="K4187" s="15" t="s">
        <v>22</v>
      </c>
    </row>
    <row r="4188" spans="1:11" ht="42" customHeight="1">
      <c r="A4188" s="4" t="s">
        <v>9652</v>
      </c>
      <c r="B4188" s="5" t="s">
        <v>9652</v>
      </c>
      <c r="C4188" s="5" t="s">
        <v>35</v>
      </c>
      <c r="D4188" s="5" t="s">
        <v>36</v>
      </c>
      <c r="E4188" s="5" t="s">
        <v>138</v>
      </c>
      <c r="F4188" s="9">
        <v>102</v>
      </c>
      <c r="G4188" s="9">
        <v>1104</v>
      </c>
      <c r="H4188" s="5" t="s">
        <v>20</v>
      </c>
      <c r="I4188" s="5" t="s">
        <v>9653</v>
      </c>
      <c r="J4188" s="12" t="str">
        <f>HYPERLINK("https://www.boe.es/gazeta/dias/1805/12/20/pdfs/GMD-1805-102.pdf#page=8","Abrir facsímil")</f>
        <v>Abrir facsímil</v>
      </c>
      <c r="K4188" s="15" t="s">
        <v>22</v>
      </c>
    </row>
    <row r="4189" spans="1:11" ht="42" customHeight="1">
      <c r="A4189" s="4" t="s">
        <v>9654</v>
      </c>
      <c r="B4189" s="5" t="s">
        <v>9654</v>
      </c>
      <c r="C4189" s="5" t="s">
        <v>85</v>
      </c>
      <c r="D4189" s="5" t="s">
        <v>86</v>
      </c>
      <c r="E4189" s="5" t="s">
        <v>91</v>
      </c>
      <c r="F4189" s="9">
        <v>28</v>
      </c>
      <c r="G4189" s="9">
        <v>299</v>
      </c>
      <c r="H4189" s="5" t="s">
        <v>20</v>
      </c>
      <c r="I4189" s="5" t="s">
        <v>9655</v>
      </c>
      <c r="J4189" s="12" t="str">
        <f>HYPERLINK("https://www.boe.es/gazeta/dias/1805/04/05/pdfs/GMD-1805-28.pdf#page=7","Abrir facsímil")</f>
        <v>Abrir facsímil</v>
      </c>
      <c r="K4189" s="15" t="s">
        <v>22</v>
      </c>
    </row>
    <row r="4190" spans="1:11" ht="42" customHeight="1">
      <c r="A4190" s="4" t="s">
        <v>9654</v>
      </c>
      <c r="B4190" s="5" t="s">
        <v>9654</v>
      </c>
      <c r="C4190" s="5" t="s">
        <v>85</v>
      </c>
      <c r="D4190" s="5" t="s">
        <v>86</v>
      </c>
      <c r="E4190" s="5" t="s">
        <v>138</v>
      </c>
      <c r="F4190" s="9">
        <v>102</v>
      </c>
      <c r="G4190" s="9">
        <v>1103</v>
      </c>
      <c r="H4190" s="5" t="s">
        <v>20</v>
      </c>
      <c r="I4190" s="5" t="s">
        <v>9656</v>
      </c>
      <c r="J4190" s="12" t="str">
        <f>HYPERLINK("https://www.boe.es/gazeta/dias/1805/12/20/pdfs/GMD-1805-102.pdf#page=7","Abrir facsímil")</f>
        <v>Abrir facsímil</v>
      </c>
      <c r="K4190" s="15" t="s">
        <v>22</v>
      </c>
    </row>
    <row r="4191" spans="1:11" ht="42" customHeight="1">
      <c r="A4191" s="4" t="s">
        <v>9657</v>
      </c>
      <c r="B4191" s="5" t="s">
        <v>9658</v>
      </c>
      <c r="C4191" s="5" t="s">
        <v>29</v>
      </c>
      <c r="D4191" s="5" t="s">
        <v>30</v>
      </c>
      <c r="E4191" s="5" t="s">
        <v>144</v>
      </c>
      <c r="F4191" s="9">
        <v>85</v>
      </c>
      <c r="G4191" s="9">
        <v>904</v>
      </c>
      <c r="H4191" s="5" t="s">
        <v>20</v>
      </c>
      <c r="I4191" s="5" t="s">
        <v>9659</v>
      </c>
      <c r="J4191" s="12" t="str">
        <f>HYPERLINK("https://www.boe.es/gazeta/dias/1805/10/22/pdfs/GMD-1805-85.pdf#page=12","Abrir facsímil")</f>
        <v>Abrir facsímil</v>
      </c>
      <c r="K4191" s="15" t="s">
        <v>22</v>
      </c>
    </row>
    <row r="4192" spans="1:11" ht="42" customHeight="1">
      <c r="A4192" s="4" t="s">
        <v>9660</v>
      </c>
      <c r="B4192" s="5" t="s">
        <v>9660</v>
      </c>
      <c r="C4192" s="5" t="s">
        <v>17</v>
      </c>
      <c r="D4192" s="5" t="s">
        <v>18</v>
      </c>
      <c r="E4192" s="5" t="s">
        <v>63</v>
      </c>
      <c r="F4192" s="9">
        <v>101</v>
      </c>
      <c r="G4192" s="9">
        <v>1092</v>
      </c>
      <c r="H4192" s="5" t="s">
        <v>20</v>
      </c>
      <c r="I4192" s="5" t="s">
        <v>9661</v>
      </c>
      <c r="J4192" s="12" t="str">
        <f>HYPERLINK("https://www.boe.es/gazeta/dias/1805/12/17/pdfs/GMD-1805-101.pdf#page=8","Abrir facsímil")</f>
        <v>Abrir facsímil</v>
      </c>
      <c r="K4192" s="15" t="s">
        <v>22</v>
      </c>
    </row>
    <row r="4193" spans="1:11" ht="42" customHeight="1">
      <c r="A4193" s="4" t="s">
        <v>9662</v>
      </c>
      <c r="B4193" s="5" t="s">
        <v>9662</v>
      </c>
      <c r="C4193" s="5" t="s">
        <v>17</v>
      </c>
      <c r="D4193" s="5" t="s">
        <v>18</v>
      </c>
      <c r="E4193" s="5" t="s">
        <v>71</v>
      </c>
      <c r="F4193" s="9">
        <v>33</v>
      </c>
      <c r="G4193" s="9">
        <v>352</v>
      </c>
      <c r="H4193" s="5" t="s">
        <v>20</v>
      </c>
      <c r="I4193" s="5" t="s">
        <v>9663</v>
      </c>
      <c r="J4193" s="12" t="str">
        <f>HYPERLINK("https://www.boe.es/gazeta/dias/1805/04/23/pdfs/GMD-1805-33.pdf#page=8","Abrir facsímil")</f>
        <v>Abrir facsímil</v>
      </c>
      <c r="K4193" s="15" t="s">
        <v>22</v>
      </c>
    </row>
    <row r="4194" spans="1:11" ht="42" customHeight="1">
      <c r="A4194" s="4" t="s">
        <v>9664</v>
      </c>
      <c r="B4194" s="5" t="s">
        <v>9664</v>
      </c>
      <c r="C4194" s="5" t="s">
        <v>35</v>
      </c>
      <c r="D4194" s="5" t="s">
        <v>36</v>
      </c>
      <c r="E4194" s="5" t="s">
        <v>138</v>
      </c>
      <c r="F4194" s="9">
        <v>102</v>
      </c>
      <c r="G4194" s="9">
        <v>1104</v>
      </c>
      <c r="H4194" s="5" t="s">
        <v>20</v>
      </c>
      <c r="I4194" s="5" t="s">
        <v>9665</v>
      </c>
      <c r="J4194" s="12" t="str">
        <f>HYPERLINK("https://www.boe.es/gazeta/dias/1805/12/20/pdfs/GMD-1805-102.pdf#page=8","Abrir facsímil")</f>
        <v>Abrir facsímil</v>
      </c>
      <c r="K4194" s="15" t="s">
        <v>22</v>
      </c>
    </row>
    <row r="4195" spans="1:11" ht="42" customHeight="1">
      <c r="A4195" s="4" t="s">
        <v>9666</v>
      </c>
      <c r="B4195" s="5" t="s">
        <v>9666</v>
      </c>
      <c r="C4195" s="5" t="s">
        <v>29</v>
      </c>
      <c r="D4195" s="5" t="s">
        <v>30</v>
      </c>
      <c r="E4195" s="5" t="s">
        <v>148</v>
      </c>
      <c r="F4195" s="9">
        <v>50</v>
      </c>
      <c r="G4195" s="9">
        <v>544</v>
      </c>
      <c r="H4195" s="5" t="s">
        <v>20</v>
      </c>
      <c r="I4195" s="5" t="s">
        <v>9667</v>
      </c>
      <c r="J4195" s="12" t="str">
        <f>HYPERLINK("https://www.boe.es/gazeta/dias/1805/06/21/pdfs/GMD-1805-50.pdf#page=12","Abrir facsímil")</f>
        <v>Abrir facsímil</v>
      </c>
      <c r="K4195" s="15" t="s">
        <v>22</v>
      </c>
    </row>
    <row r="4196" spans="1:11" ht="42" customHeight="1">
      <c r="A4196" s="4" t="s">
        <v>9668</v>
      </c>
      <c r="B4196" s="5" t="s">
        <v>9669</v>
      </c>
      <c r="C4196" s="5" t="s">
        <v>17</v>
      </c>
      <c r="D4196" s="5" t="s">
        <v>18</v>
      </c>
      <c r="E4196" s="5" t="s">
        <v>63</v>
      </c>
      <c r="F4196" s="9">
        <v>101</v>
      </c>
      <c r="G4196" s="9">
        <v>1091</v>
      </c>
      <c r="H4196" s="5" t="s">
        <v>20</v>
      </c>
      <c r="I4196" s="5" t="s">
        <v>9670</v>
      </c>
      <c r="J4196" s="12" t="str">
        <f>HYPERLINK("https://www.boe.es/gazeta/dias/1805/12/17/pdfs/GMD-1805-101.pdf#page=7","Abrir facsímil")</f>
        <v>Abrir facsímil</v>
      </c>
      <c r="K4196" s="15" t="s">
        <v>22</v>
      </c>
    </row>
    <row r="4197" spans="1:11" ht="42" customHeight="1">
      <c r="A4197" s="4" t="s">
        <v>9671</v>
      </c>
      <c r="B4197" s="5" t="s">
        <v>9671</v>
      </c>
      <c r="C4197" s="5" t="s">
        <v>35</v>
      </c>
      <c r="D4197" s="5" t="s">
        <v>36</v>
      </c>
      <c r="E4197" s="5" t="s">
        <v>192</v>
      </c>
      <c r="F4197" s="9">
        <v>105</v>
      </c>
      <c r="G4197" s="9">
        <v>1137</v>
      </c>
      <c r="H4197" s="5" t="s">
        <v>20</v>
      </c>
      <c r="I4197" s="5" t="s">
        <v>9672</v>
      </c>
      <c r="J4197" s="12" t="str">
        <f>HYPERLINK("https://www.boe.es/gazeta/dias/1805/12/31/pdfs/GMD-1805-105.pdf#page=9","Abrir facsímil")</f>
        <v>Abrir facsímil</v>
      </c>
      <c r="K4197" s="15" t="s">
        <v>22</v>
      </c>
    </row>
    <row r="4198" spans="1:11" ht="42" customHeight="1">
      <c r="A4198" s="4" t="s">
        <v>9673</v>
      </c>
      <c r="B4198" s="5" t="s">
        <v>9673</v>
      </c>
      <c r="C4198" s="5" t="s">
        <v>52</v>
      </c>
      <c r="D4198" s="5" t="s">
        <v>53</v>
      </c>
      <c r="E4198" s="5" t="s">
        <v>54</v>
      </c>
      <c r="F4198" s="9">
        <v>99</v>
      </c>
      <c r="G4198" s="9" t="s">
        <v>159</v>
      </c>
      <c r="H4198" s="5" t="s">
        <v>20</v>
      </c>
      <c r="I4198" s="5" t="s">
        <v>9674</v>
      </c>
      <c r="J4198" s="12" t="str">
        <f>HYPERLINK("https://www.boe.es/gazeta/dias/1805/12/10/pdfs/GMD-C-1805-99.pdf#page=3","Abrir facsímil")</f>
        <v>Abrir facsímil</v>
      </c>
      <c r="K4198" s="15" t="s">
        <v>22</v>
      </c>
    </row>
    <row r="4199" spans="1:11" ht="42" customHeight="1">
      <c r="A4199" s="4" t="s">
        <v>9675</v>
      </c>
      <c r="B4199" s="5" t="s">
        <v>9675</v>
      </c>
      <c r="C4199" s="5" t="s">
        <v>85</v>
      </c>
      <c r="D4199" s="5" t="s">
        <v>86</v>
      </c>
      <c r="E4199" s="5" t="s">
        <v>904</v>
      </c>
      <c r="F4199" s="9">
        <v>47</v>
      </c>
      <c r="G4199" s="9">
        <v>509</v>
      </c>
      <c r="H4199" s="5" t="s">
        <v>20</v>
      </c>
      <c r="I4199" s="5" t="s">
        <v>9676</v>
      </c>
      <c r="J4199" s="12" t="str">
        <f>HYPERLINK("https://www.boe.es/gazeta/dias/1805/06/11/pdfs/GMD-1805-47.pdf#page=9","Abrir facsímil")</f>
        <v>Abrir facsímil</v>
      </c>
      <c r="K4199" s="15" t="s">
        <v>22</v>
      </c>
    </row>
    <row r="4200" spans="1:11" ht="42" customHeight="1">
      <c r="A4200" s="4" t="s">
        <v>9677</v>
      </c>
      <c r="B4200" s="5" t="s">
        <v>9677</v>
      </c>
      <c r="C4200" s="5" t="s">
        <v>35</v>
      </c>
      <c r="D4200" s="5" t="s">
        <v>36</v>
      </c>
      <c r="E4200" s="5" t="s">
        <v>135</v>
      </c>
      <c r="F4200" s="9">
        <v>71</v>
      </c>
      <c r="G4200" s="9">
        <v>757</v>
      </c>
      <c r="H4200" s="5" t="s">
        <v>20</v>
      </c>
      <c r="I4200" s="5" t="s">
        <v>9678</v>
      </c>
      <c r="J4200" s="12" t="str">
        <f>HYPERLINK("https://www.boe.es/gazeta/dias/1805/09/03/pdfs/GMD-1805-71.pdf#page=9","Abrir facsímil")</f>
        <v>Abrir facsímil</v>
      </c>
      <c r="K4200" s="15" t="s">
        <v>22</v>
      </c>
    </row>
    <row r="4201" spans="1:11" ht="42" customHeight="1">
      <c r="A4201" s="4" t="s">
        <v>9677</v>
      </c>
      <c r="B4201" s="5" t="s">
        <v>9677</v>
      </c>
      <c r="C4201" s="5" t="s">
        <v>35</v>
      </c>
      <c r="D4201" s="5" t="s">
        <v>36</v>
      </c>
      <c r="E4201" s="5" t="s">
        <v>141</v>
      </c>
      <c r="F4201" s="9">
        <v>82</v>
      </c>
      <c r="G4201" s="9">
        <v>871</v>
      </c>
      <c r="H4201" s="5" t="s">
        <v>20</v>
      </c>
      <c r="I4201" s="5" t="s">
        <v>9679</v>
      </c>
      <c r="J4201" s="12" t="str">
        <f>HYPERLINK("https://www.boe.es/gazeta/dias/1805/10/11/pdfs/GMD-1805-82.pdf#page=11","Abrir facsímil")</f>
        <v>Abrir facsímil</v>
      </c>
      <c r="K4201" s="15" t="s">
        <v>22</v>
      </c>
    </row>
    <row r="4202" spans="1:11" ht="42" customHeight="1">
      <c r="A4202" s="4" t="s">
        <v>9680</v>
      </c>
      <c r="B4202" s="5" t="s">
        <v>9680</v>
      </c>
      <c r="C4202" s="5" t="s">
        <v>17</v>
      </c>
      <c r="D4202" s="5" t="s">
        <v>18</v>
      </c>
      <c r="E4202" s="5" t="s">
        <v>138</v>
      </c>
      <c r="F4202" s="9">
        <v>102</v>
      </c>
      <c r="G4202" s="9">
        <v>1104</v>
      </c>
      <c r="H4202" s="5" t="s">
        <v>20</v>
      </c>
      <c r="I4202" s="5" t="s">
        <v>9681</v>
      </c>
      <c r="J4202" s="12" t="str">
        <f>HYPERLINK("https://www.boe.es/gazeta/dias/1805/12/20/pdfs/GMD-1805-102.pdf#page=8","Abrir facsímil")</f>
        <v>Abrir facsímil</v>
      </c>
      <c r="K4202" s="15" t="s">
        <v>22</v>
      </c>
    </row>
    <row r="4203" spans="1:11" ht="42" customHeight="1">
      <c r="A4203" s="4" t="s">
        <v>9682</v>
      </c>
      <c r="B4203" s="5" t="s">
        <v>9682</v>
      </c>
      <c r="C4203" s="5" t="s">
        <v>35</v>
      </c>
      <c r="D4203" s="5" t="s">
        <v>36</v>
      </c>
      <c r="E4203" s="5" t="s">
        <v>539</v>
      </c>
      <c r="F4203" s="9">
        <v>97</v>
      </c>
      <c r="G4203" s="9">
        <v>1045</v>
      </c>
      <c r="H4203" s="5" t="s">
        <v>20</v>
      </c>
      <c r="I4203" s="5" t="s">
        <v>9683</v>
      </c>
      <c r="J4203" s="12" t="str">
        <f>HYPERLINK("https://www.boe.es/gazeta/dias/1805/12/03/pdfs/GMD-1805-97.pdf#page=9","Abrir facsímil")</f>
        <v>Abrir facsímil</v>
      </c>
      <c r="K4203" s="15" t="s">
        <v>22</v>
      </c>
    </row>
    <row r="4204" spans="1:11" ht="42" customHeight="1">
      <c r="A4204" s="4" t="s">
        <v>9684</v>
      </c>
      <c r="B4204" s="5" t="s">
        <v>9684</v>
      </c>
      <c r="C4204" s="5" t="s">
        <v>184</v>
      </c>
      <c r="D4204" s="5" t="s">
        <v>86</v>
      </c>
      <c r="E4204" s="5" t="s">
        <v>87</v>
      </c>
      <c r="F4204" s="9">
        <v>14</v>
      </c>
      <c r="G4204" s="9">
        <v>147</v>
      </c>
      <c r="H4204" s="5" t="s">
        <v>20</v>
      </c>
      <c r="I4204" s="5" t="s">
        <v>9685</v>
      </c>
      <c r="J4204" s="12" t="str">
        <f>HYPERLINK("https://www.boe.es/gazeta/dias/1805/02/15/pdfs/GMD-1805-14.pdf#page=7","Abrir facsímil")</f>
        <v>Abrir facsímil</v>
      </c>
      <c r="K4204" s="15" t="s">
        <v>22</v>
      </c>
    </row>
    <row r="4205" spans="1:11" ht="42" customHeight="1">
      <c r="A4205" s="4" t="s">
        <v>9686</v>
      </c>
      <c r="B4205" s="5" t="s">
        <v>9686</v>
      </c>
      <c r="C4205" s="5" t="s">
        <v>29</v>
      </c>
      <c r="D4205" s="5" t="s">
        <v>30</v>
      </c>
      <c r="E4205" s="5" t="s">
        <v>215</v>
      </c>
      <c r="F4205" s="9">
        <v>87</v>
      </c>
      <c r="G4205" s="9">
        <v>928</v>
      </c>
      <c r="H4205" s="5" t="s">
        <v>20</v>
      </c>
      <c r="I4205" s="5" t="s">
        <v>9687</v>
      </c>
      <c r="J4205" s="12" t="str">
        <f>HYPERLINK("https://www.boe.es/gazeta/dias/1805/10/29/pdfs/GMD-1805-87.pdf#page=12","Abrir facsímil")</f>
        <v>Abrir facsímil</v>
      </c>
      <c r="K4205" s="15" t="s">
        <v>22</v>
      </c>
    </row>
    <row r="4206" spans="1:11" ht="42" customHeight="1">
      <c r="A4206" s="4" t="s">
        <v>9688</v>
      </c>
      <c r="B4206" s="5" t="s">
        <v>9688</v>
      </c>
      <c r="C4206" s="5" t="s">
        <v>35</v>
      </c>
      <c r="D4206" s="5" t="s">
        <v>36</v>
      </c>
      <c r="E4206" s="5" t="s">
        <v>281</v>
      </c>
      <c r="F4206" s="9">
        <v>15</v>
      </c>
      <c r="G4206" s="9">
        <v>156</v>
      </c>
      <c r="H4206" s="5" t="s">
        <v>20</v>
      </c>
      <c r="I4206" s="5" t="s">
        <v>9689</v>
      </c>
      <c r="J4206" s="12" t="str">
        <f>HYPERLINK("https://www.boe.es/gazeta/dias/1805/02/19/pdfs/GMD-1805-15.pdf#page=8","Abrir facsímil")</f>
        <v>Abrir facsímil</v>
      </c>
      <c r="K4206" s="15" t="s">
        <v>22</v>
      </c>
    </row>
    <row r="4207" spans="1:11" ht="42" customHeight="1">
      <c r="A4207" s="4" t="s">
        <v>9690</v>
      </c>
      <c r="B4207" s="5" t="s">
        <v>9690</v>
      </c>
      <c r="C4207" s="5" t="s">
        <v>17</v>
      </c>
      <c r="D4207" s="5" t="s">
        <v>18</v>
      </c>
      <c r="E4207" s="5" t="s">
        <v>196</v>
      </c>
      <c r="F4207" s="9">
        <v>67</v>
      </c>
      <c r="G4207" s="9">
        <v>718</v>
      </c>
      <c r="H4207" s="5" t="s">
        <v>20</v>
      </c>
      <c r="I4207" s="5" t="s">
        <v>9691</v>
      </c>
      <c r="J4207" s="12" t="str">
        <f>HYPERLINK("https://www.boe.es/gazeta/dias/1805/08/20/pdfs/GMD-1805-67.pdf#page=6","Abrir facsímil")</f>
        <v>Abrir facsímil</v>
      </c>
      <c r="K4207" s="15" t="s">
        <v>22</v>
      </c>
    </row>
    <row r="4208" spans="1:11" ht="42" customHeight="1">
      <c r="A4208" s="4" t="s">
        <v>9692</v>
      </c>
      <c r="B4208" s="5" t="s">
        <v>9692</v>
      </c>
      <c r="C4208" s="5" t="s">
        <v>35</v>
      </c>
      <c r="D4208" s="5" t="s">
        <v>36</v>
      </c>
      <c r="E4208" s="5" t="s">
        <v>95</v>
      </c>
      <c r="F4208" s="9">
        <v>13</v>
      </c>
      <c r="G4208" s="9">
        <v>139</v>
      </c>
      <c r="H4208" s="5" t="s">
        <v>20</v>
      </c>
      <c r="I4208" s="5" t="s">
        <v>9693</v>
      </c>
      <c r="J4208" s="12" t="str">
        <f>HYPERLINK("https://www.boe.es/gazeta/dias/1805/02/12/pdfs/GMD-1805-13.pdf#page=7","Abrir facsímil")</f>
        <v>Abrir facsímil</v>
      </c>
      <c r="K4208" s="15" t="s">
        <v>22</v>
      </c>
    </row>
    <row r="4209" spans="1:11" ht="42" customHeight="1">
      <c r="A4209" s="4" t="s">
        <v>9694</v>
      </c>
      <c r="B4209" s="5" t="s">
        <v>9694</v>
      </c>
      <c r="C4209" s="5" t="s">
        <v>35</v>
      </c>
      <c r="D4209" s="5" t="s">
        <v>36</v>
      </c>
      <c r="E4209" s="5" t="s">
        <v>226</v>
      </c>
      <c r="F4209" s="9">
        <v>73</v>
      </c>
      <c r="G4209" s="9">
        <v>773</v>
      </c>
      <c r="H4209" s="5" t="s">
        <v>20</v>
      </c>
      <c r="I4209" s="5" t="s">
        <v>9695</v>
      </c>
      <c r="J4209" s="12" t="str">
        <f>HYPERLINK("https://www.boe.es/gazeta/dias/1805/09/10/pdfs/GMD-1805-73.pdf#page=5","Abrir facsímil")</f>
        <v>Abrir facsímil</v>
      </c>
      <c r="K4209" s="15" t="s">
        <v>22</v>
      </c>
    </row>
    <row r="4210" spans="1:11" ht="42" customHeight="1">
      <c r="A4210" s="4" t="s">
        <v>9696</v>
      </c>
      <c r="B4210" s="5" t="s">
        <v>9696</v>
      </c>
      <c r="C4210" s="5" t="s">
        <v>17</v>
      </c>
      <c r="D4210" s="5" t="s">
        <v>18</v>
      </c>
      <c r="E4210" s="5" t="s">
        <v>303</v>
      </c>
      <c r="F4210" s="9">
        <v>57</v>
      </c>
      <c r="G4210" s="9">
        <v>609</v>
      </c>
      <c r="H4210" s="5" t="s">
        <v>20</v>
      </c>
      <c r="I4210" s="5" t="s">
        <v>9697</v>
      </c>
      <c r="J4210" s="12" t="str">
        <f>HYPERLINK("https://www.boe.es/gazeta/dias/1805/07/16/pdfs/GMD-1805-57.pdf#page=5","Abrir facsímil")</f>
        <v>Abrir facsímil</v>
      </c>
      <c r="K4210" s="15" t="s">
        <v>22</v>
      </c>
    </row>
    <row r="4211" spans="1:11" ht="42" customHeight="1">
      <c r="A4211" s="4" t="s">
        <v>9698</v>
      </c>
      <c r="B4211" s="5" t="s">
        <v>9699</v>
      </c>
      <c r="C4211" s="5" t="s">
        <v>35</v>
      </c>
      <c r="D4211" s="5" t="s">
        <v>36</v>
      </c>
      <c r="E4211" s="5" t="s">
        <v>122</v>
      </c>
      <c r="F4211" s="9">
        <v>38</v>
      </c>
      <c r="G4211" s="9">
        <v>411</v>
      </c>
      <c r="H4211" s="5" t="s">
        <v>20</v>
      </c>
      <c r="I4211" s="5" t="s">
        <v>9700</v>
      </c>
      <c r="J4211" s="12" t="str">
        <f>HYPERLINK("https://www.boe.es/gazeta/dias/1805/05/10/pdfs/GMD-1805-38.pdf#page=7","Abrir facsímil")</f>
        <v>Abrir facsímil</v>
      </c>
      <c r="K4211" s="15" t="s">
        <v>22</v>
      </c>
    </row>
    <row r="4212" spans="1:11" ht="42" customHeight="1">
      <c r="A4212" s="4" t="s">
        <v>9701</v>
      </c>
      <c r="B4212" s="5" t="s">
        <v>9702</v>
      </c>
      <c r="C4212" s="5" t="s">
        <v>35</v>
      </c>
      <c r="D4212" s="5" t="s">
        <v>36</v>
      </c>
      <c r="E4212" s="5" t="s">
        <v>471</v>
      </c>
      <c r="F4212" s="9">
        <v>22</v>
      </c>
      <c r="G4212" s="9">
        <v>233</v>
      </c>
      <c r="H4212" s="5" t="s">
        <v>20</v>
      </c>
      <c r="I4212" s="5" t="s">
        <v>9703</v>
      </c>
      <c r="J4212" s="12" t="str">
        <f>HYPERLINK("https://www.boe.es/gazeta/dias/1805/03/15/pdfs/GMD-1805-22.pdf#page=9","Abrir facsímil")</f>
        <v>Abrir facsímil</v>
      </c>
      <c r="K4212" s="15" t="s">
        <v>22</v>
      </c>
    </row>
    <row r="4213" spans="1:11" ht="42" customHeight="1">
      <c r="A4213" s="4" t="s">
        <v>9704</v>
      </c>
      <c r="B4213" s="5" t="s">
        <v>9705</v>
      </c>
      <c r="C4213" s="5" t="s">
        <v>80</v>
      </c>
      <c r="D4213" s="5" t="s">
        <v>81</v>
      </c>
      <c r="E4213" s="5" t="s">
        <v>67</v>
      </c>
      <c r="F4213" s="9">
        <v>98</v>
      </c>
      <c r="G4213" s="9">
        <v>1051</v>
      </c>
      <c r="H4213" s="5" t="s">
        <v>20</v>
      </c>
      <c r="I4213" s="5" t="s">
        <v>9706</v>
      </c>
      <c r="J4213" s="12" t="str">
        <f>HYPERLINK("https://www.boe.es/gazeta/dias/1805/12/06/pdfs/GMD-1805-98.pdf#page=3","Abrir facsímil")</f>
        <v>Abrir facsímil</v>
      </c>
      <c r="K4213" s="15" t="s">
        <v>22</v>
      </c>
    </row>
    <row r="4214" spans="1:11" ht="42" customHeight="1">
      <c r="A4214" s="4" t="s">
        <v>9707</v>
      </c>
      <c r="B4214" s="5" t="s">
        <v>9707</v>
      </c>
      <c r="C4214" s="5" t="s">
        <v>35</v>
      </c>
      <c r="D4214" s="5" t="s">
        <v>36</v>
      </c>
      <c r="E4214" s="5" t="s">
        <v>567</v>
      </c>
      <c r="F4214" s="9">
        <v>49</v>
      </c>
      <c r="G4214" s="9">
        <v>531</v>
      </c>
      <c r="H4214" s="5" t="s">
        <v>20</v>
      </c>
      <c r="I4214" s="5" t="s">
        <v>9708</v>
      </c>
      <c r="J4214" s="12" t="str">
        <f>HYPERLINK("https://www.boe.es/gazeta/dias/1805/06/18/pdfs/GMD-1805-49.pdf#page=7","Abrir facsímil")</f>
        <v>Abrir facsímil</v>
      </c>
      <c r="K4214" s="15" t="s">
        <v>22</v>
      </c>
    </row>
    <row r="4215" spans="1:11" ht="42" customHeight="1">
      <c r="A4215" s="4" t="s">
        <v>9709</v>
      </c>
      <c r="B4215" s="5" t="s">
        <v>9710</v>
      </c>
      <c r="C4215" s="5" t="s">
        <v>80</v>
      </c>
      <c r="D4215" s="5" t="s">
        <v>81</v>
      </c>
      <c r="E4215" s="5" t="s">
        <v>132</v>
      </c>
      <c r="F4215" s="9">
        <v>2</v>
      </c>
      <c r="G4215" s="9">
        <v>17</v>
      </c>
      <c r="H4215" s="5" t="s">
        <v>20</v>
      </c>
      <c r="I4215" s="5" t="s">
        <v>9711</v>
      </c>
      <c r="J4215" s="12" t="str">
        <f>HYPERLINK("https://www.boe.es/gazeta/dias/1805/01/04/pdfs/GMD-1805-2.pdf#page=5","Abrir facsímil")</f>
        <v>Abrir facsímil</v>
      </c>
      <c r="K4215" s="15" t="s">
        <v>22</v>
      </c>
    </row>
    <row r="4216" spans="1:11" ht="42" customHeight="1">
      <c r="A4216" s="4" t="s">
        <v>9709</v>
      </c>
      <c r="B4216" s="5" t="s">
        <v>9710</v>
      </c>
      <c r="C4216" s="5" t="s">
        <v>80</v>
      </c>
      <c r="D4216" s="5" t="s">
        <v>81</v>
      </c>
      <c r="E4216" s="5" t="s">
        <v>293</v>
      </c>
      <c r="F4216" s="9">
        <v>5</v>
      </c>
      <c r="G4216" s="9">
        <v>47</v>
      </c>
      <c r="H4216" s="5" t="s">
        <v>20</v>
      </c>
      <c r="I4216" s="5" t="s">
        <v>9712</v>
      </c>
      <c r="J4216" s="12" t="str">
        <f>HYPERLINK("https://www.boe.es/gazeta/dias/1805/01/15/pdfs/GMD-1805-5.pdf#page=3","Abrir facsímil")</f>
        <v>Abrir facsímil</v>
      </c>
      <c r="K4216" s="15" t="s">
        <v>22</v>
      </c>
    </row>
    <row r="4217" spans="1:11" ht="42" customHeight="1">
      <c r="A4217" s="4" t="s">
        <v>9709</v>
      </c>
      <c r="B4217" s="5" t="s">
        <v>9710</v>
      </c>
      <c r="C4217" s="5" t="s">
        <v>80</v>
      </c>
      <c r="D4217" s="5" t="s">
        <v>81</v>
      </c>
      <c r="E4217" s="5" t="s">
        <v>19</v>
      </c>
      <c r="F4217" s="9">
        <v>86</v>
      </c>
      <c r="G4217" s="9">
        <v>907</v>
      </c>
      <c r="H4217" s="5" t="s">
        <v>20</v>
      </c>
      <c r="I4217" s="5" t="s">
        <v>9713</v>
      </c>
      <c r="J4217" s="12" t="str">
        <f>HYPERLINK("https://www.boe.es/gazeta/dias/1805/10/25/pdfs/GMD-1805-86.pdf#page=3","Abrir facsímil")</f>
        <v>Abrir facsímil</v>
      </c>
      <c r="K4217" s="15" t="s">
        <v>22</v>
      </c>
    </row>
    <row r="4218" spans="1:11" ht="42" customHeight="1">
      <c r="A4218" s="4" t="s">
        <v>9709</v>
      </c>
      <c r="B4218" s="5" t="s">
        <v>9710</v>
      </c>
      <c r="C4218" s="5" t="s">
        <v>184</v>
      </c>
      <c r="D4218" s="5" t="s">
        <v>86</v>
      </c>
      <c r="E4218" s="5" t="s">
        <v>19</v>
      </c>
      <c r="F4218" s="9">
        <v>86</v>
      </c>
      <c r="G4218" s="9">
        <v>912</v>
      </c>
      <c r="H4218" s="5" t="s">
        <v>20</v>
      </c>
      <c r="I4218" s="5" t="s">
        <v>9714</v>
      </c>
      <c r="J4218" s="12" t="str">
        <f>HYPERLINK("https://www.boe.es/gazeta/dias/1805/10/25/pdfs/GMD-1805-86.pdf#page=8","Abrir facsímil")</f>
        <v>Abrir facsímil</v>
      </c>
      <c r="K4218" s="15" t="s">
        <v>22</v>
      </c>
    </row>
    <row r="4219" spans="1:11" ht="42" customHeight="1">
      <c r="A4219" s="4" t="s">
        <v>9709</v>
      </c>
      <c r="B4219" s="5" t="s">
        <v>9710</v>
      </c>
      <c r="C4219" s="5" t="s">
        <v>184</v>
      </c>
      <c r="D4219" s="5" t="s">
        <v>86</v>
      </c>
      <c r="E4219" s="5" t="s">
        <v>215</v>
      </c>
      <c r="F4219" s="9">
        <v>87</v>
      </c>
      <c r="G4219" s="9">
        <v>923</v>
      </c>
      <c r="H4219" s="5" t="s">
        <v>20</v>
      </c>
      <c r="I4219" s="5" t="s">
        <v>9715</v>
      </c>
      <c r="J4219" s="12" t="str">
        <f>HYPERLINK("https://www.boe.es/gazeta/dias/1805/10/29/pdfs/GMD-1805-87.pdf#page=7","Abrir facsímil")</f>
        <v>Abrir facsímil</v>
      </c>
      <c r="K4219" s="15" t="s">
        <v>22</v>
      </c>
    </row>
    <row r="4220" spans="1:11" ht="42" customHeight="1">
      <c r="A4220" s="4" t="s">
        <v>9709</v>
      </c>
      <c r="B4220" s="5" t="s">
        <v>9710</v>
      </c>
      <c r="C4220" s="5" t="s">
        <v>80</v>
      </c>
      <c r="D4220" s="5" t="s">
        <v>81</v>
      </c>
      <c r="E4220" s="5" t="s">
        <v>215</v>
      </c>
      <c r="F4220" s="9">
        <v>87</v>
      </c>
      <c r="G4220" s="9">
        <v>925</v>
      </c>
      <c r="H4220" s="5" t="s">
        <v>20</v>
      </c>
      <c r="I4220" s="5" t="s">
        <v>9716</v>
      </c>
      <c r="J4220" s="12" t="str">
        <f>HYPERLINK("https://www.boe.es/gazeta/dias/1805/10/29/pdfs/GMD-1805-87.pdf#page=9","Abrir facsímil")</f>
        <v>Abrir facsímil</v>
      </c>
      <c r="K4220" s="15" t="s">
        <v>22</v>
      </c>
    </row>
    <row r="4221" spans="1:11" ht="42" customHeight="1">
      <c r="A4221" s="4" t="s">
        <v>9709</v>
      </c>
      <c r="B4221" s="5" t="s">
        <v>9710</v>
      </c>
      <c r="C4221" s="5" t="s">
        <v>80</v>
      </c>
      <c r="D4221" s="5" t="s">
        <v>81</v>
      </c>
      <c r="E4221" s="5" t="s">
        <v>215</v>
      </c>
      <c r="F4221" s="9">
        <v>87</v>
      </c>
      <c r="G4221" s="9">
        <v>926</v>
      </c>
      <c r="H4221" s="5" t="s">
        <v>20</v>
      </c>
      <c r="I4221" s="5" t="s">
        <v>9717</v>
      </c>
      <c r="J4221" s="12" t="str">
        <f>HYPERLINK("https://www.boe.es/gazeta/dias/1805/10/29/pdfs/GMD-1805-87.pdf#page=10","Abrir facsímil")</f>
        <v>Abrir facsímil</v>
      </c>
      <c r="K4221" s="15" t="s">
        <v>22</v>
      </c>
    </row>
    <row r="4222" spans="1:11" ht="42" customHeight="1">
      <c r="A4222" s="4" t="s">
        <v>9709</v>
      </c>
      <c r="B4222" s="5" t="s">
        <v>9710</v>
      </c>
      <c r="C4222" s="5" t="s">
        <v>80</v>
      </c>
      <c r="D4222" s="5" t="s">
        <v>81</v>
      </c>
      <c r="E4222" s="5" t="s">
        <v>864</v>
      </c>
      <c r="F4222" s="9">
        <v>88</v>
      </c>
      <c r="G4222" s="9">
        <v>935</v>
      </c>
      <c r="H4222" s="5" t="s">
        <v>20</v>
      </c>
      <c r="I4222" s="5" t="s">
        <v>9718</v>
      </c>
      <c r="J4222" s="12" t="str">
        <f>HYPERLINK("https://www.boe.es/gazeta/dias/1805/11/01/pdfs/GMD-1805-88.pdf#page=7","Abrir facsímil")</f>
        <v>Abrir facsímil</v>
      </c>
      <c r="K4222" s="15" t="s">
        <v>22</v>
      </c>
    </row>
    <row r="4223" spans="1:11" ht="42" customHeight="1">
      <c r="A4223" s="4" t="s">
        <v>9709</v>
      </c>
      <c r="B4223" s="5" t="s">
        <v>9710</v>
      </c>
      <c r="C4223" s="5" t="s">
        <v>80</v>
      </c>
      <c r="D4223" s="5" t="s">
        <v>81</v>
      </c>
      <c r="E4223" s="5" t="s">
        <v>209</v>
      </c>
      <c r="F4223" s="9">
        <v>89</v>
      </c>
      <c r="G4223" s="9">
        <v>945</v>
      </c>
      <c r="H4223" s="5" t="s">
        <v>20</v>
      </c>
      <c r="I4223" s="5" t="s">
        <v>9719</v>
      </c>
      <c r="J4223" s="12" t="str">
        <f>HYPERLINK("https://www.boe.es/gazeta/dias/1805/11/05/pdfs/GMD-1805-89.pdf#page=5","Abrir facsímil")</f>
        <v>Abrir facsímil</v>
      </c>
      <c r="K4223" s="15" t="s">
        <v>22</v>
      </c>
    </row>
    <row r="4224" spans="1:11" ht="42" customHeight="1">
      <c r="A4224" s="4" t="s">
        <v>9709</v>
      </c>
      <c r="B4224" s="5" t="s">
        <v>9710</v>
      </c>
      <c r="C4224" s="5" t="s">
        <v>17</v>
      </c>
      <c r="D4224" s="5" t="s">
        <v>18</v>
      </c>
      <c r="E4224" s="5" t="s">
        <v>817</v>
      </c>
      <c r="F4224" s="9">
        <v>92</v>
      </c>
      <c r="G4224" s="9">
        <v>987</v>
      </c>
      <c r="H4224" s="5" t="s">
        <v>20</v>
      </c>
      <c r="I4224" s="5" t="s">
        <v>9720</v>
      </c>
      <c r="J4224" s="12" t="str">
        <f>HYPERLINK("https://www.boe.es/gazeta/dias/1805/11/15/pdfs/GMD-1805-92.pdf#page=7","Abrir facsímil")</f>
        <v>Abrir facsímil</v>
      </c>
      <c r="K4224" s="15" t="s">
        <v>22</v>
      </c>
    </row>
    <row r="4225" spans="1:11" ht="42" customHeight="1">
      <c r="A4225" s="4" t="s">
        <v>9709</v>
      </c>
      <c r="B4225" s="5" t="s">
        <v>9710</v>
      </c>
      <c r="C4225" s="5" t="s">
        <v>80</v>
      </c>
      <c r="D4225" s="5" t="s">
        <v>81</v>
      </c>
      <c r="E4225" s="5" t="s">
        <v>886</v>
      </c>
      <c r="F4225" s="9">
        <v>93</v>
      </c>
      <c r="G4225" s="9">
        <v>995</v>
      </c>
      <c r="H4225" s="5" t="s">
        <v>20</v>
      </c>
      <c r="I4225" s="5" t="s">
        <v>9721</v>
      </c>
      <c r="J4225" s="12" t="str">
        <f>HYPERLINK("https://www.boe.es/gazeta/dias/1805/11/19/pdfs/GMD-1805-93.pdf#page=7","Abrir facsímil")</f>
        <v>Abrir facsímil</v>
      </c>
      <c r="K4225" s="15" t="s">
        <v>22</v>
      </c>
    </row>
    <row r="4226" spans="1:11" ht="42" customHeight="1">
      <c r="A4226" s="4" t="s">
        <v>9709</v>
      </c>
      <c r="B4226" s="5" t="s">
        <v>9710</v>
      </c>
      <c r="C4226" s="5" t="s">
        <v>17</v>
      </c>
      <c r="D4226" s="5" t="s">
        <v>18</v>
      </c>
      <c r="E4226" s="5" t="s">
        <v>787</v>
      </c>
      <c r="F4226" s="9">
        <v>95</v>
      </c>
      <c r="G4226" s="9">
        <v>1018</v>
      </c>
      <c r="H4226" s="5" t="s">
        <v>20</v>
      </c>
      <c r="I4226" s="5" t="s">
        <v>9722</v>
      </c>
      <c r="J4226" s="12" t="str">
        <f>HYPERLINK("https://www.boe.es/gazeta/dias/1805/11/26/pdfs/GMD-1805-95.pdf#page=6","Abrir facsímil")</f>
        <v>Abrir facsímil</v>
      </c>
      <c r="K4226" s="15" t="s">
        <v>22</v>
      </c>
    </row>
    <row r="4227" spans="1:11" ht="42" customHeight="1">
      <c r="A4227" s="4" t="s">
        <v>9709</v>
      </c>
      <c r="B4227" s="5" t="s">
        <v>9710</v>
      </c>
      <c r="C4227" s="5" t="s">
        <v>80</v>
      </c>
      <c r="D4227" s="5" t="s">
        <v>81</v>
      </c>
      <c r="E4227" s="5" t="s">
        <v>539</v>
      </c>
      <c r="F4227" s="9">
        <v>97</v>
      </c>
      <c r="G4227" s="9">
        <v>1040</v>
      </c>
      <c r="H4227" s="5" t="s">
        <v>20</v>
      </c>
      <c r="I4227" s="5" t="s">
        <v>9723</v>
      </c>
      <c r="J4227" s="12" t="str">
        <f>HYPERLINK("https://www.boe.es/gazeta/dias/1805/12/03/pdfs/GMD-1805-97.pdf#page=4","Abrir facsímil")</f>
        <v>Abrir facsímil</v>
      </c>
      <c r="K4227" s="15" t="s">
        <v>22</v>
      </c>
    </row>
    <row r="4228" spans="1:11" ht="42" customHeight="1">
      <c r="A4228" s="4" t="s">
        <v>9709</v>
      </c>
      <c r="B4228" s="5" t="s">
        <v>9710</v>
      </c>
      <c r="C4228" s="5" t="s">
        <v>80</v>
      </c>
      <c r="D4228" s="5" t="s">
        <v>81</v>
      </c>
      <c r="E4228" s="5" t="s">
        <v>539</v>
      </c>
      <c r="F4228" s="9">
        <v>97</v>
      </c>
      <c r="G4228" s="9">
        <v>1041</v>
      </c>
      <c r="H4228" s="5" t="s">
        <v>20</v>
      </c>
      <c r="I4228" s="5" t="s">
        <v>9724</v>
      </c>
      <c r="J4228" s="12" t="str">
        <f>HYPERLINK("https://www.boe.es/gazeta/dias/1805/12/03/pdfs/GMD-1805-97.pdf#page=5","Abrir facsímil")</f>
        <v>Abrir facsímil</v>
      </c>
      <c r="K4228" s="15" t="s">
        <v>22</v>
      </c>
    </row>
    <row r="4229" spans="1:11" ht="42" customHeight="1">
      <c r="A4229" s="4" t="s">
        <v>9709</v>
      </c>
      <c r="B4229" s="5" t="s">
        <v>9710</v>
      </c>
      <c r="C4229" s="5" t="s">
        <v>80</v>
      </c>
      <c r="D4229" s="5" t="s">
        <v>81</v>
      </c>
      <c r="E4229" s="5" t="s">
        <v>67</v>
      </c>
      <c r="F4229" s="9">
        <v>98</v>
      </c>
      <c r="G4229" s="9">
        <v>1053</v>
      </c>
      <c r="H4229" s="5" t="s">
        <v>20</v>
      </c>
      <c r="I4229" s="5" t="s">
        <v>9725</v>
      </c>
      <c r="J4229" s="12" t="str">
        <f>HYPERLINK("https://www.boe.es/gazeta/dias/1805/12/06/pdfs/GMD-1805-98.pdf#page=5","Abrir facsímil")</f>
        <v>Abrir facsímil</v>
      </c>
      <c r="K4229" s="15" t="s">
        <v>22</v>
      </c>
    </row>
    <row r="4230" spans="1:11" ht="42" customHeight="1">
      <c r="A4230" s="4" t="s">
        <v>9709</v>
      </c>
      <c r="B4230" s="5" t="s">
        <v>9710</v>
      </c>
      <c r="C4230" s="5" t="s">
        <v>80</v>
      </c>
      <c r="D4230" s="5" t="s">
        <v>81</v>
      </c>
      <c r="E4230" s="5" t="s">
        <v>67</v>
      </c>
      <c r="F4230" s="9">
        <v>98</v>
      </c>
      <c r="G4230" s="9">
        <v>1054</v>
      </c>
      <c r="H4230" s="5" t="s">
        <v>20</v>
      </c>
      <c r="I4230" s="5" t="s">
        <v>9726</v>
      </c>
      <c r="J4230" s="12" t="str">
        <f>HYPERLINK("https://www.boe.es/gazeta/dias/1805/12/06/pdfs/GMD-1805-98.pdf#page=6","Abrir facsímil")</f>
        <v>Abrir facsímil</v>
      </c>
      <c r="K4230" s="15" t="s">
        <v>22</v>
      </c>
    </row>
    <row r="4231" spans="1:11" ht="42" customHeight="1">
      <c r="A4231" s="4" t="s">
        <v>9727</v>
      </c>
      <c r="B4231" s="5" t="s">
        <v>9728</v>
      </c>
      <c r="C4231" s="5" t="s">
        <v>80</v>
      </c>
      <c r="D4231" s="5" t="s">
        <v>81</v>
      </c>
      <c r="E4231" s="5" t="s">
        <v>864</v>
      </c>
      <c r="F4231" s="9">
        <v>88</v>
      </c>
      <c r="G4231" s="9">
        <v>935</v>
      </c>
      <c r="H4231" s="5" t="s">
        <v>20</v>
      </c>
      <c r="I4231" s="5" t="s">
        <v>9729</v>
      </c>
      <c r="J4231" s="12" t="str">
        <f>HYPERLINK("https://www.boe.es/gazeta/dias/1805/11/01/pdfs/GMD-1805-88.pdf#page=7","Abrir facsímil")</f>
        <v>Abrir facsímil</v>
      </c>
      <c r="K4231" s="15" t="s">
        <v>22</v>
      </c>
    </row>
    <row r="4232" spans="1:11" ht="42" customHeight="1">
      <c r="A4232" s="4" t="s">
        <v>9730</v>
      </c>
      <c r="B4232" s="5" t="s">
        <v>9731</v>
      </c>
      <c r="C4232" s="5" t="s">
        <v>35</v>
      </c>
      <c r="D4232" s="5" t="s">
        <v>36</v>
      </c>
      <c r="E4232" s="5" t="s">
        <v>787</v>
      </c>
      <c r="F4232" s="9">
        <v>95</v>
      </c>
      <c r="G4232" s="9">
        <v>1021</v>
      </c>
      <c r="H4232" s="5" t="s">
        <v>20</v>
      </c>
      <c r="I4232" s="5" t="s">
        <v>9732</v>
      </c>
      <c r="J4232" s="12" t="str">
        <f>HYPERLINK("https://www.boe.es/gazeta/dias/1805/11/26/pdfs/GMD-1805-95.pdf#page=9","Abrir facsímil")</f>
        <v>Abrir facsímil</v>
      </c>
      <c r="K4232" s="15" t="s">
        <v>22</v>
      </c>
    </row>
    <row r="4233" spans="1:11" ht="42" customHeight="1">
      <c r="A4233" s="4" t="s">
        <v>9733</v>
      </c>
      <c r="B4233" s="5" t="s">
        <v>9734</v>
      </c>
      <c r="C4233" s="5" t="s">
        <v>17</v>
      </c>
      <c r="D4233" s="5" t="s">
        <v>18</v>
      </c>
      <c r="E4233" s="5" t="s">
        <v>87</v>
      </c>
      <c r="F4233" s="9">
        <v>14</v>
      </c>
      <c r="G4233" s="9">
        <v>147</v>
      </c>
      <c r="H4233" s="5" t="s">
        <v>20</v>
      </c>
      <c r="I4233" s="5" t="s">
        <v>9735</v>
      </c>
      <c r="J4233" s="12" t="str">
        <f>HYPERLINK("https://www.boe.es/gazeta/dias/1805/02/15/pdfs/GMD-1805-14.pdf#page=7","Abrir facsímil")</f>
        <v>Abrir facsímil</v>
      </c>
      <c r="K4233" s="15" t="s">
        <v>22</v>
      </c>
    </row>
    <row r="4234" spans="1:11" ht="42" customHeight="1">
      <c r="A4234" s="4" t="s">
        <v>9736</v>
      </c>
      <c r="B4234" s="5" t="s">
        <v>9737</v>
      </c>
      <c r="C4234" s="5" t="s">
        <v>35</v>
      </c>
      <c r="D4234" s="5" t="s">
        <v>36</v>
      </c>
      <c r="E4234" s="5" t="s">
        <v>495</v>
      </c>
      <c r="F4234" s="9">
        <v>103</v>
      </c>
      <c r="G4234" s="9">
        <v>1115</v>
      </c>
      <c r="H4234" s="5" t="s">
        <v>20</v>
      </c>
      <c r="I4234" s="5" t="s">
        <v>9738</v>
      </c>
      <c r="J4234" s="12" t="str">
        <f>HYPERLINK("https://www.boe.es/gazeta/dias/1805/12/24/pdfs/GMD-1805-103.pdf#page=7","Abrir facsímil")</f>
        <v>Abrir facsímil</v>
      </c>
      <c r="K4234" s="15" t="s">
        <v>22</v>
      </c>
    </row>
    <row r="4235" spans="1:11" ht="42" customHeight="1">
      <c r="A4235" s="4" t="s">
        <v>9739</v>
      </c>
      <c r="B4235" s="5" t="s">
        <v>9740</v>
      </c>
      <c r="C4235" s="5" t="s">
        <v>35</v>
      </c>
      <c r="D4235" s="5" t="s">
        <v>36</v>
      </c>
      <c r="E4235" s="5" t="s">
        <v>327</v>
      </c>
      <c r="F4235" s="9">
        <v>10</v>
      </c>
      <c r="G4235" s="9">
        <v>110</v>
      </c>
      <c r="H4235" s="5" t="s">
        <v>20</v>
      </c>
      <c r="I4235" s="5" t="s">
        <v>9741</v>
      </c>
      <c r="J4235" s="12" t="str">
        <f>HYPERLINK("https://www.boe.es/gazeta/dias/1805/02/01/pdfs/GMD-1805-10.pdf#page=6","Abrir facsímil")</f>
        <v>Abrir facsímil</v>
      </c>
      <c r="K4235" s="15" t="s">
        <v>22</v>
      </c>
    </row>
    <row r="4236" spans="1:11" ht="42" customHeight="1">
      <c r="A4236" s="4" t="s">
        <v>9742</v>
      </c>
      <c r="B4236" s="5" t="s">
        <v>9742</v>
      </c>
      <c r="C4236" s="5" t="s">
        <v>35</v>
      </c>
      <c r="D4236" s="5" t="s">
        <v>36</v>
      </c>
      <c r="E4236" s="5" t="s">
        <v>95</v>
      </c>
      <c r="F4236" s="9">
        <v>13</v>
      </c>
      <c r="G4236" s="9">
        <v>136</v>
      </c>
      <c r="H4236" s="5" t="s">
        <v>20</v>
      </c>
      <c r="I4236" s="5" t="s">
        <v>9743</v>
      </c>
      <c r="J4236" s="12" t="str">
        <f>HYPERLINK("https://www.boe.es/gazeta/dias/1805/02/12/pdfs/GMD-1805-13.pdf#page=4","Abrir facsímil")</f>
        <v>Abrir facsímil</v>
      </c>
      <c r="K4236" s="15" t="s">
        <v>22</v>
      </c>
    </row>
    <row r="4237" spans="1:11" ht="42" customHeight="1">
      <c r="A4237" s="4" t="s">
        <v>9744</v>
      </c>
      <c r="B4237" s="5" t="s">
        <v>9744</v>
      </c>
      <c r="C4237" s="5" t="s">
        <v>17</v>
      </c>
      <c r="D4237" s="5" t="s">
        <v>18</v>
      </c>
      <c r="E4237" s="5" t="s">
        <v>300</v>
      </c>
      <c r="F4237" s="9">
        <v>81</v>
      </c>
      <c r="G4237" s="9">
        <v>859</v>
      </c>
      <c r="H4237" s="5" t="s">
        <v>20</v>
      </c>
      <c r="I4237" s="5" t="s">
        <v>9745</v>
      </c>
      <c r="J4237" s="12" t="str">
        <f>HYPERLINK("https://www.boe.es/gazeta/dias/1805/10/08/pdfs/GMD-1805-81.pdf#page=7","Abrir facsímil")</f>
        <v>Abrir facsímil</v>
      </c>
      <c r="K4237" s="15" t="s">
        <v>22</v>
      </c>
    </row>
    <row r="4238" spans="1:11" ht="42" customHeight="1">
      <c r="A4238" s="4" t="s">
        <v>9746</v>
      </c>
      <c r="B4238" s="5" t="s">
        <v>9746</v>
      </c>
      <c r="C4238" s="5" t="s">
        <v>35</v>
      </c>
      <c r="D4238" s="5" t="s">
        <v>36</v>
      </c>
      <c r="E4238" s="5" t="s">
        <v>1471</v>
      </c>
      <c r="F4238" s="9">
        <v>34</v>
      </c>
      <c r="G4238" s="9">
        <v>362</v>
      </c>
      <c r="H4238" s="5" t="s">
        <v>20</v>
      </c>
      <c r="I4238" s="5" t="s">
        <v>9747</v>
      </c>
      <c r="J4238" s="12" t="str">
        <f>HYPERLINK("https://www.boe.es/gazeta/dias/1805/04/26/pdfs/GMD-1805-34.pdf#page=6","Abrir facsímil")</f>
        <v>Abrir facsímil</v>
      </c>
      <c r="K4238" s="15" t="s">
        <v>22</v>
      </c>
    </row>
    <row r="4239" spans="1:11" ht="42" customHeight="1">
      <c r="A4239" s="4" t="s">
        <v>9748</v>
      </c>
      <c r="B4239" s="5" t="s">
        <v>9749</v>
      </c>
      <c r="C4239" s="5" t="s">
        <v>35</v>
      </c>
      <c r="D4239" s="5" t="s">
        <v>36</v>
      </c>
      <c r="E4239" s="5" t="s">
        <v>148</v>
      </c>
      <c r="F4239" s="9">
        <v>50</v>
      </c>
      <c r="G4239" s="9">
        <v>540</v>
      </c>
      <c r="H4239" s="5" t="s">
        <v>20</v>
      </c>
      <c r="I4239" s="5" t="s">
        <v>9750</v>
      </c>
      <c r="J4239" s="12" t="str">
        <f>HYPERLINK("https://www.boe.es/gazeta/dias/1805/06/21/pdfs/GMD-1805-50.pdf#page=8","Abrir facsímil")</f>
        <v>Abrir facsímil</v>
      </c>
      <c r="K4239" s="15" t="s">
        <v>22</v>
      </c>
    </row>
    <row r="4240" spans="1:11" ht="42" customHeight="1">
      <c r="A4240" s="4" t="s">
        <v>9751</v>
      </c>
      <c r="B4240" s="5" t="s">
        <v>9752</v>
      </c>
      <c r="C4240" s="5" t="s">
        <v>35</v>
      </c>
      <c r="D4240" s="5" t="s">
        <v>36</v>
      </c>
      <c r="E4240" s="5" t="s">
        <v>300</v>
      </c>
      <c r="F4240" s="9">
        <v>81</v>
      </c>
      <c r="G4240" s="9">
        <v>858</v>
      </c>
      <c r="H4240" s="5" t="s">
        <v>20</v>
      </c>
      <c r="I4240" s="5" t="s">
        <v>9753</v>
      </c>
      <c r="J4240" s="12" t="str">
        <f>HYPERLINK("https://www.boe.es/gazeta/dias/1805/10/08/pdfs/GMD-1805-81.pdf#page=6","Abrir facsímil")</f>
        <v>Abrir facsímil</v>
      </c>
      <c r="K4240" s="15" t="s">
        <v>22</v>
      </c>
    </row>
    <row r="4241" spans="1:11" ht="42" customHeight="1">
      <c r="A4241" s="4" t="s">
        <v>9754</v>
      </c>
      <c r="B4241" s="5" t="s">
        <v>9755</v>
      </c>
      <c r="C4241" s="5" t="s">
        <v>17</v>
      </c>
      <c r="D4241" s="5" t="s">
        <v>18</v>
      </c>
      <c r="E4241" s="5" t="s">
        <v>122</v>
      </c>
      <c r="F4241" s="9">
        <v>38</v>
      </c>
      <c r="G4241" s="9">
        <v>411</v>
      </c>
      <c r="H4241" s="5" t="s">
        <v>20</v>
      </c>
      <c r="I4241" s="5" t="s">
        <v>9756</v>
      </c>
      <c r="J4241" s="12" t="str">
        <f>HYPERLINK("https://www.boe.es/gazeta/dias/1805/05/10/pdfs/GMD-1805-38.pdf#page=7","Abrir facsímil")</f>
        <v>Abrir facsímil</v>
      </c>
      <c r="K4241" s="15" t="s">
        <v>22</v>
      </c>
    </row>
    <row r="4242" spans="1:11" ht="42" customHeight="1">
      <c r="A4242" s="4" t="s">
        <v>9757</v>
      </c>
      <c r="B4242" s="5" t="s">
        <v>9757</v>
      </c>
      <c r="C4242" s="5" t="s">
        <v>85</v>
      </c>
      <c r="D4242" s="5" t="s">
        <v>86</v>
      </c>
      <c r="E4242" s="5" t="s">
        <v>290</v>
      </c>
      <c r="F4242" s="9">
        <v>36</v>
      </c>
      <c r="G4242" s="9">
        <v>389</v>
      </c>
      <c r="H4242" s="5" t="s">
        <v>20</v>
      </c>
      <c r="I4242" s="5" t="s">
        <v>9758</v>
      </c>
      <c r="J4242" s="12" t="str">
        <f>HYPERLINK("https://www.boe.es/gazeta/dias/1805/05/03/pdfs/GMD-1805-36.pdf#page=9","Abrir facsímil")</f>
        <v>Abrir facsímil</v>
      </c>
      <c r="K4242" s="15" t="s">
        <v>22</v>
      </c>
    </row>
    <row r="4243" spans="1:11" ht="42" customHeight="1">
      <c r="A4243" s="4" t="s">
        <v>9759</v>
      </c>
      <c r="B4243" s="5" t="s">
        <v>9760</v>
      </c>
      <c r="C4243" s="5" t="s">
        <v>35</v>
      </c>
      <c r="D4243" s="5" t="s">
        <v>36</v>
      </c>
      <c r="E4243" s="5" t="s">
        <v>132</v>
      </c>
      <c r="F4243" s="9">
        <v>2</v>
      </c>
      <c r="G4243" s="9">
        <v>21</v>
      </c>
      <c r="H4243" s="5" t="s">
        <v>20</v>
      </c>
      <c r="I4243" s="5" t="s">
        <v>9761</v>
      </c>
      <c r="J4243" s="12" t="str">
        <f>HYPERLINK("https://www.boe.es/gazeta/dias/1805/01/04/pdfs/GMD-1805-2.pdf#page=9","Abrir facsímil")</f>
        <v>Abrir facsímil</v>
      </c>
      <c r="K4243" s="15" t="s">
        <v>22</v>
      </c>
    </row>
    <row r="4244" spans="1:11" ht="42" customHeight="1">
      <c r="A4244" s="4" t="s">
        <v>9762</v>
      </c>
      <c r="B4244" s="5" t="s">
        <v>9763</v>
      </c>
      <c r="C4244" s="5" t="s">
        <v>80</v>
      </c>
      <c r="D4244" s="5" t="s">
        <v>81</v>
      </c>
      <c r="E4244" s="5" t="s">
        <v>831</v>
      </c>
      <c r="F4244" s="9">
        <v>62</v>
      </c>
      <c r="G4244" s="9">
        <v>659</v>
      </c>
      <c r="H4244" s="5" t="s">
        <v>20</v>
      </c>
      <c r="I4244" s="5" t="s">
        <v>9764</v>
      </c>
      <c r="J4244" s="12" t="str">
        <f>HYPERLINK("https://www.boe.es/gazeta/dias/1805/08/02/pdfs/GMD-1805-62.pdf#page=3","Abrir facsímil")</f>
        <v>Abrir facsímil</v>
      </c>
      <c r="K4244" s="15" t="s">
        <v>22</v>
      </c>
    </row>
    <row r="4245" spans="1:11" ht="42" customHeight="1">
      <c r="A4245" s="4" t="s">
        <v>9765</v>
      </c>
      <c r="B4245" s="5" t="s">
        <v>9766</v>
      </c>
      <c r="C4245" s="5" t="s">
        <v>17</v>
      </c>
      <c r="D4245" s="5" t="s">
        <v>18</v>
      </c>
      <c r="E4245" s="5" t="s">
        <v>365</v>
      </c>
      <c r="F4245" s="9">
        <v>3</v>
      </c>
      <c r="G4245" s="9">
        <v>31</v>
      </c>
      <c r="H4245" s="5" t="s">
        <v>20</v>
      </c>
      <c r="I4245" s="5" t="s">
        <v>9767</v>
      </c>
      <c r="J4245" s="12" t="str">
        <f>HYPERLINK("https://www.boe.es/gazeta/dias/1805/01/08/pdfs/GMD-1805-3.pdf#page=7","Abrir facsímil")</f>
        <v>Abrir facsímil</v>
      </c>
      <c r="K4245" s="15" t="s">
        <v>22</v>
      </c>
    </row>
    <row r="4246" spans="1:11" ht="42" customHeight="1">
      <c r="A4246" s="4" t="s">
        <v>9768</v>
      </c>
      <c r="B4246" s="5" t="s">
        <v>9769</v>
      </c>
      <c r="C4246" s="5" t="s">
        <v>35</v>
      </c>
      <c r="D4246" s="5" t="s">
        <v>36</v>
      </c>
      <c r="E4246" s="5" t="s">
        <v>207</v>
      </c>
      <c r="F4246" s="9">
        <v>76</v>
      </c>
      <c r="G4246" s="9">
        <v>806</v>
      </c>
      <c r="H4246" s="5" t="s">
        <v>20</v>
      </c>
      <c r="I4246" s="5" t="s">
        <v>9770</v>
      </c>
      <c r="J4246" s="12" t="str">
        <f>HYPERLINK("https://www.boe.es/gazeta/dias/1805/09/20/pdfs/GMD-1805-76.pdf#page=6","Abrir facsímil")</f>
        <v>Abrir facsímil</v>
      </c>
      <c r="K4246" s="15" t="s">
        <v>22</v>
      </c>
    </row>
    <row r="4247" spans="1:11" ht="42" customHeight="1">
      <c r="A4247" s="4" t="s">
        <v>9771</v>
      </c>
      <c r="B4247" s="5" t="s">
        <v>9772</v>
      </c>
      <c r="C4247" s="5" t="s">
        <v>52</v>
      </c>
      <c r="D4247" s="5" t="s">
        <v>53</v>
      </c>
      <c r="E4247" s="5" t="s">
        <v>144</v>
      </c>
      <c r="F4247" s="9">
        <v>85</v>
      </c>
      <c r="G4247" s="9" t="s">
        <v>1153</v>
      </c>
      <c r="H4247" s="5" t="s">
        <v>20</v>
      </c>
      <c r="I4247" s="5" t="s">
        <v>9773</v>
      </c>
      <c r="J4247" s="12" t="str">
        <f>HYPERLINK("https://www.boe.es/gazeta/dias/1805/10/22/pdfs/GMD-C-1805-85.pdf#page=8","Abrir facsímil")</f>
        <v>Abrir facsímil</v>
      </c>
      <c r="K4247" s="15" t="s">
        <v>22</v>
      </c>
    </row>
    <row r="4248" spans="1:11" ht="42" customHeight="1">
      <c r="A4248" s="4" t="s">
        <v>9774</v>
      </c>
      <c r="B4248" s="5" t="s">
        <v>9775</v>
      </c>
      <c r="C4248" s="5" t="s">
        <v>35</v>
      </c>
      <c r="D4248" s="5" t="s">
        <v>36</v>
      </c>
      <c r="E4248" s="5" t="s">
        <v>144</v>
      </c>
      <c r="F4248" s="9">
        <v>85</v>
      </c>
      <c r="G4248" s="9">
        <v>902</v>
      </c>
      <c r="H4248" s="5" t="s">
        <v>20</v>
      </c>
      <c r="I4248" s="5" t="s">
        <v>9776</v>
      </c>
      <c r="J4248" s="12" t="str">
        <f>HYPERLINK("https://www.boe.es/gazeta/dias/1805/10/22/pdfs/GMD-1805-85.pdf#page=10","Abrir facsímil")</f>
        <v>Abrir facsímil</v>
      </c>
      <c r="K4248" s="15" t="s">
        <v>22</v>
      </c>
    </row>
    <row r="4249" spans="1:11" ht="42" customHeight="1">
      <c r="A4249" s="4" t="s">
        <v>9777</v>
      </c>
      <c r="B4249" s="5" t="s">
        <v>9778</v>
      </c>
      <c r="C4249" s="5" t="s">
        <v>35</v>
      </c>
      <c r="D4249" s="5" t="s">
        <v>36</v>
      </c>
      <c r="E4249" s="5" t="s">
        <v>273</v>
      </c>
      <c r="F4249" s="9">
        <v>8</v>
      </c>
      <c r="G4249" s="9">
        <v>89</v>
      </c>
      <c r="H4249" s="5" t="s">
        <v>20</v>
      </c>
      <c r="I4249" s="5" t="s">
        <v>9779</v>
      </c>
      <c r="J4249" s="12" t="str">
        <f>HYPERLINK("https://www.boe.es/gazeta/dias/1805/01/25/pdfs/GMD-1805-8.pdf#page=9","Abrir facsímil")</f>
        <v>Abrir facsímil</v>
      </c>
      <c r="K4249" s="15" t="s">
        <v>22</v>
      </c>
    </row>
    <row r="4250" spans="1:11" ht="42" customHeight="1">
      <c r="A4250" s="4" t="s">
        <v>9780</v>
      </c>
      <c r="B4250" s="5" t="s">
        <v>9781</v>
      </c>
      <c r="C4250" s="5" t="s">
        <v>184</v>
      </c>
      <c r="D4250" s="5" t="s">
        <v>86</v>
      </c>
      <c r="E4250" s="5" t="s">
        <v>120</v>
      </c>
      <c r="F4250" s="9">
        <v>24</v>
      </c>
      <c r="G4250" s="9">
        <v>258</v>
      </c>
      <c r="H4250" s="5" t="s">
        <v>20</v>
      </c>
      <c r="I4250" s="5" t="s">
        <v>9782</v>
      </c>
      <c r="J4250" s="12" t="str">
        <f>HYPERLINK("https://www.boe.es/gazeta/dias/1805/03/22/pdfs/GMD-1805-24.pdf#page=10","Abrir facsímil")</f>
        <v>Abrir facsímil</v>
      </c>
      <c r="K4250" s="15" t="s">
        <v>22</v>
      </c>
    </row>
    <row r="4251" spans="1:11" ht="42" customHeight="1">
      <c r="A4251" s="4" t="s">
        <v>9780</v>
      </c>
      <c r="B4251" s="5" t="s">
        <v>9781</v>
      </c>
      <c r="C4251" s="5" t="s">
        <v>184</v>
      </c>
      <c r="D4251" s="5" t="s">
        <v>86</v>
      </c>
      <c r="E4251" s="5" t="s">
        <v>958</v>
      </c>
      <c r="F4251" s="9">
        <v>58</v>
      </c>
      <c r="G4251" s="9">
        <v>622</v>
      </c>
      <c r="H4251" s="5" t="s">
        <v>20</v>
      </c>
      <c r="I4251" s="5" t="s">
        <v>9783</v>
      </c>
      <c r="J4251" s="12" t="str">
        <f>HYPERLINK("https://www.boe.es/gazeta/dias/1805/07/19/pdfs/GMD-1805-58.pdf#page=6","Abrir facsímil")</f>
        <v>Abrir facsímil</v>
      </c>
      <c r="K4251" s="15" t="s">
        <v>22</v>
      </c>
    </row>
    <row r="4252" spans="1:11" ht="42" customHeight="1">
      <c r="A4252" s="4" t="s">
        <v>9780</v>
      </c>
      <c r="B4252" s="5" t="s">
        <v>9781</v>
      </c>
      <c r="C4252" s="5" t="s">
        <v>184</v>
      </c>
      <c r="D4252" s="5" t="s">
        <v>86</v>
      </c>
      <c r="E4252" s="5" t="s">
        <v>886</v>
      </c>
      <c r="F4252" s="9">
        <v>93</v>
      </c>
      <c r="G4252" s="9">
        <v>1000</v>
      </c>
      <c r="H4252" s="5" t="s">
        <v>20</v>
      </c>
      <c r="I4252" s="5" t="s">
        <v>9784</v>
      </c>
      <c r="J4252" s="12" t="str">
        <f>HYPERLINK("https://www.boe.es/gazeta/dias/1805/11/19/pdfs/GMD-1805-93.pdf#page=12","Abrir facsímil")</f>
        <v>Abrir facsímil</v>
      </c>
      <c r="K4252" s="15" t="s">
        <v>22</v>
      </c>
    </row>
    <row r="4253" spans="1:11" ht="42" customHeight="1">
      <c r="A4253" s="4" t="s">
        <v>9785</v>
      </c>
      <c r="B4253" s="5" t="s">
        <v>9786</v>
      </c>
      <c r="C4253" s="5" t="s">
        <v>29</v>
      </c>
      <c r="D4253" s="5" t="s">
        <v>30</v>
      </c>
      <c r="E4253" s="5" t="s">
        <v>1494</v>
      </c>
      <c r="F4253" s="9">
        <v>31</v>
      </c>
      <c r="G4253" s="9">
        <v>336</v>
      </c>
      <c r="H4253" s="5" t="s">
        <v>20</v>
      </c>
      <c r="I4253" s="5" t="s">
        <v>9787</v>
      </c>
      <c r="J4253" s="12" t="str">
        <f>HYPERLINK("https://www.boe.es/gazeta/dias/1805/04/16/pdfs/GMD-1805-31.pdf#page=12","Abrir facsímil")</f>
        <v>Abrir facsímil</v>
      </c>
      <c r="K4253" s="15" t="s">
        <v>22</v>
      </c>
    </row>
    <row r="4254" spans="1:11" ht="42" customHeight="1">
      <c r="A4254" s="4" t="s">
        <v>9788</v>
      </c>
      <c r="B4254" s="5" t="s">
        <v>9789</v>
      </c>
      <c r="C4254" s="5" t="s">
        <v>35</v>
      </c>
      <c r="D4254" s="5" t="s">
        <v>36</v>
      </c>
      <c r="E4254" s="5" t="s">
        <v>335</v>
      </c>
      <c r="F4254" s="9">
        <v>79</v>
      </c>
      <c r="G4254" s="9">
        <v>840</v>
      </c>
      <c r="H4254" s="5" t="s">
        <v>20</v>
      </c>
      <c r="I4254" s="5" t="s">
        <v>9790</v>
      </c>
      <c r="J4254" s="12" t="str">
        <f>HYPERLINK("https://www.boe.es/gazeta/dias/1805/10/01/pdfs/GMD-1805-79.pdf#page=12","Abrir facsímil")</f>
        <v>Abrir facsímil</v>
      </c>
      <c r="K4254" s="15" t="s">
        <v>22</v>
      </c>
    </row>
    <row r="4255" spans="1:11" ht="42" customHeight="1">
      <c r="A4255" s="4" t="s">
        <v>9791</v>
      </c>
      <c r="B4255" s="5" t="s">
        <v>9792</v>
      </c>
      <c r="C4255" s="5" t="s">
        <v>184</v>
      </c>
      <c r="D4255" s="5" t="s">
        <v>86</v>
      </c>
      <c r="E4255" s="5" t="s">
        <v>363</v>
      </c>
      <c r="F4255" s="9">
        <v>1</v>
      </c>
      <c r="G4255" s="9">
        <v>10</v>
      </c>
      <c r="H4255" s="5" t="s">
        <v>20</v>
      </c>
      <c r="I4255" s="5" t="s">
        <v>9793</v>
      </c>
      <c r="J4255" s="12" t="str">
        <f>HYPERLINK("https://www.boe.es/gazeta/dias/1805/01/01/pdfs/GMD-1805-1.pdf#page=10","Abrir facsímil")</f>
        <v>Abrir facsímil</v>
      </c>
      <c r="K4255" s="15" t="s">
        <v>22</v>
      </c>
    </row>
    <row r="4256" spans="1:11" ht="42" customHeight="1">
      <c r="A4256" s="4" t="s">
        <v>9794</v>
      </c>
      <c r="B4256" s="5" t="s">
        <v>9795</v>
      </c>
      <c r="C4256" s="5" t="s">
        <v>29</v>
      </c>
      <c r="D4256" s="5" t="s">
        <v>30</v>
      </c>
      <c r="E4256" s="5" t="s">
        <v>59</v>
      </c>
      <c r="F4256" s="9">
        <v>21</v>
      </c>
      <c r="G4256" s="9">
        <v>221</v>
      </c>
      <c r="H4256" s="5" t="s">
        <v>20</v>
      </c>
      <c r="I4256" s="5" t="s">
        <v>9796</v>
      </c>
      <c r="J4256" s="12" t="str">
        <f>HYPERLINK("https://www.boe.es/gazeta/dias/1805/03/12/pdfs/GMD-1805-21.pdf#page=9","Abrir facsímil")</f>
        <v>Abrir facsímil</v>
      </c>
      <c r="K4256" s="15" t="s">
        <v>22</v>
      </c>
    </row>
    <row r="4257" spans="1:11" ht="42" customHeight="1">
      <c r="A4257" s="4" t="s">
        <v>9797</v>
      </c>
      <c r="B4257" s="5" t="s">
        <v>9798</v>
      </c>
      <c r="C4257" s="5" t="s">
        <v>17</v>
      </c>
      <c r="D4257" s="5" t="s">
        <v>18</v>
      </c>
      <c r="E4257" s="5" t="s">
        <v>506</v>
      </c>
      <c r="F4257" s="9">
        <v>80</v>
      </c>
      <c r="G4257" s="9">
        <v>852</v>
      </c>
      <c r="H4257" s="5" t="s">
        <v>20</v>
      </c>
      <c r="I4257" s="5" t="s">
        <v>9799</v>
      </c>
      <c r="J4257" s="12" t="str">
        <f>HYPERLINK("https://www.boe.es/gazeta/dias/1805/10/04/pdfs/GMD-1805-80.pdf#page=12","Abrir facsímil")</f>
        <v>Abrir facsímil</v>
      </c>
      <c r="K4257" s="15" t="s">
        <v>22</v>
      </c>
    </row>
    <row r="4258" spans="1:11" ht="42" customHeight="1">
      <c r="A4258" s="4" t="s">
        <v>9800</v>
      </c>
      <c r="B4258" s="5" t="s">
        <v>9801</v>
      </c>
      <c r="C4258" s="5" t="s">
        <v>29</v>
      </c>
      <c r="D4258" s="5" t="s">
        <v>30</v>
      </c>
      <c r="E4258" s="5" t="s">
        <v>1221</v>
      </c>
      <c r="F4258" s="9">
        <v>41</v>
      </c>
      <c r="G4258" s="9">
        <v>443</v>
      </c>
      <c r="H4258" s="5" t="s">
        <v>20</v>
      </c>
      <c r="I4258" s="5" t="s">
        <v>9802</v>
      </c>
      <c r="J4258" s="12" t="str">
        <f>HYPERLINK("https://www.boe.es/gazeta/dias/1805/05/21/pdfs/GMD-1805-41.pdf#page=11","Abrir facsímil")</f>
        <v>Abrir facsímil</v>
      </c>
      <c r="K4258" s="15" t="s">
        <v>22</v>
      </c>
    </row>
    <row r="4259" spans="1:11" ht="42" customHeight="1">
      <c r="A4259" s="4" t="s">
        <v>9803</v>
      </c>
      <c r="B4259" s="5" t="s">
        <v>9804</v>
      </c>
      <c r="C4259" s="5" t="s">
        <v>85</v>
      </c>
      <c r="D4259" s="5" t="s">
        <v>86</v>
      </c>
      <c r="E4259" s="5" t="s">
        <v>440</v>
      </c>
      <c r="F4259" s="9">
        <v>27</v>
      </c>
      <c r="G4259" s="9">
        <v>288</v>
      </c>
      <c r="H4259" s="5" t="s">
        <v>20</v>
      </c>
      <c r="I4259" s="5" t="s">
        <v>9805</v>
      </c>
      <c r="J4259" s="12" t="str">
        <f>HYPERLINK("https://www.boe.es/gazeta/dias/1805/04/02/pdfs/GMD-1805-27.pdf#page=8","Abrir facsímil")</f>
        <v>Abrir facsímil</v>
      </c>
      <c r="K4259" s="15" t="s">
        <v>22</v>
      </c>
    </row>
    <row r="4260" spans="1:11" ht="42" customHeight="1">
      <c r="A4260" s="4" t="s">
        <v>9806</v>
      </c>
      <c r="B4260" s="5" t="s">
        <v>9807</v>
      </c>
      <c r="C4260" s="5" t="s">
        <v>35</v>
      </c>
      <c r="D4260" s="5" t="s">
        <v>36</v>
      </c>
      <c r="E4260" s="5" t="s">
        <v>91</v>
      </c>
      <c r="F4260" s="9">
        <v>28</v>
      </c>
      <c r="G4260" s="9">
        <v>301</v>
      </c>
      <c r="H4260" s="5" t="s">
        <v>20</v>
      </c>
      <c r="I4260" s="5" t="s">
        <v>9808</v>
      </c>
      <c r="J4260" s="12" t="str">
        <f>HYPERLINK("https://www.boe.es/gazeta/dias/1805/04/05/pdfs/GMD-1805-28.pdf#page=9","Abrir facsímil")</f>
        <v>Abrir facsímil</v>
      </c>
      <c r="K4260" s="15" t="s">
        <v>22</v>
      </c>
    </row>
    <row r="4261" spans="1:11" ht="42" customHeight="1">
      <c r="A4261" s="4" t="s">
        <v>9809</v>
      </c>
      <c r="B4261" s="5" t="s">
        <v>9810</v>
      </c>
      <c r="C4261" s="5" t="s">
        <v>85</v>
      </c>
      <c r="D4261" s="5" t="s">
        <v>86</v>
      </c>
      <c r="E4261" s="5" t="s">
        <v>71</v>
      </c>
      <c r="F4261" s="9">
        <v>33</v>
      </c>
      <c r="G4261" s="9">
        <v>351</v>
      </c>
      <c r="H4261" s="5" t="s">
        <v>20</v>
      </c>
      <c r="I4261" s="5" t="s">
        <v>9811</v>
      </c>
      <c r="J4261" s="12" t="str">
        <f>HYPERLINK("https://www.boe.es/gazeta/dias/1805/04/23/pdfs/GMD-1805-33.pdf#page=7","Abrir facsímil")</f>
        <v>Abrir facsímil</v>
      </c>
      <c r="K4261" s="15" t="s">
        <v>22</v>
      </c>
    </row>
    <row r="4262" spans="1:11" ht="42" customHeight="1">
      <c r="A4262" s="4" t="s">
        <v>9812</v>
      </c>
      <c r="B4262" s="5" t="s">
        <v>9813</v>
      </c>
      <c r="C4262" s="5" t="s">
        <v>35</v>
      </c>
      <c r="D4262" s="5" t="s">
        <v>36</v>
      </c>
      <c r="E4262" s="5" t="s">
        <v>1471</v>
      </c>
      <c r="F4262" s="9">
        <v>34</v>
      </c>
      <c r="G4262" s="9">
        <v>361</v>
      </c>
      <c r="H4262" s="5" t="s">
        <v>20</v>
      </c>
      <c r="I4262" s="5" t="s">
        <v>9814</v>
      </c>
      <c r="J4262" s="12" t="str">
        <f>HYPERLINK("https://www.boe.es/gazeta/dias/1805/04/26/pdfs/GMD-1805-34.pdf#page=5","Abrir facsímil")</f>
        <v>Abrir facsímil</v>
      </c>
      <c r="K4262" s="15" t="s">
        <v>22</v>
      </c>
    </row>
    <row r="4263" spans="1:11" ht="42" customHeight="1">
      <c r="A4263" s="4" t="s">
        <v>9815</v>
      </c>
      <c r="B4263" s="5" t="s">
        <v>9816</v>
      </c>
      <c r="C4263" s="5" t="s">
        <v>35</v>
      </c>
      <c r="D4263" s="5" t="s">
        <v>36</v>
      </c>
      <c r="E4263" s="5" t="s">
        <v>63</v>
      </c>
      <c r="F4263" s="9">
        <v>101</v>
      </c>
      <c r="G4263" s="9">
        <v>1092</v>
      </c>
      <c r="H4263" s="5" t="s">
        <v>20</v>
      </c>
      <c r="I4263" s="5" t="s">
        <v>9817</v>
      </c>
      <c r="J4263" s="12" t="str">
        <f>HYPERLINK("https://www.boe.es/gazeta/dias/1805/12/17/pdfs/GMD-1805-101.pdf#page=8","Abrir facsímil")</f>
        <v>Abrir facsímil</v>
      </c>
      <c r="K4263" s="15" t="s">
        <v>22</v>
      </c>
    </row>
    <row r="4264" spans="1:11" ht="42" customHeight="1">
      <c r="A4264" s="4" t="s">
        <v>9818</v>
      </c>
      <c r="B4264" s="5" t="s">
        <v>9819</v>
      </c>
      <c r="C4264" s="5" t="s">
        <v>17</v>
      </c>
      <c r="D4264" s="5" t="s">
        <v>18</v>
      </c>
      <c r="E4264" s="5" t="s">
        <v>107</v>
      </c>
      <c r="F4264" s="9">
        <v>19</v>
      </c>
      <c r="G4264" s="9">
        <v>197</v>
      </c>
      <c r="H4264" s="5" t="s">
        <v>20</v>
      </c>
      <c r="I4264" s="5" t="s">
        <v>9820</v>
      </c>
      <c r="J4264" s="12" t="str">
        <f>HYPERLINK("https://www.boe.es/gazeta/dias/1805/03/05/pdfs/GMD-1805-19.pdf#page=9","Abrir facsímil")</f>
        <v>Abrir facsímil</v>
      </c>
      <c r="K4264" s="15" t="s">
        <v>22</v>
      </c>
    </row>
    <row r="4265" spans="1:11" ht="42" customHeight="1">
      <c r="A4265" s="4" t="s">
        <v>9821</v>
      </c>
      <c r="B4265" s="5" t="s">
        <v>9822</v>
      </c>
      <c r="C4265" s="5" t="s">
        <v>35</v>
      </c>
      <c r="D4265" s="5" t="s">
        <v>36</v>
      </c>
      <c r="E4265" s="5" t="s">
        <v>352</v>
      </c>
      <c r="F4265" s="9">
        <v>60</v>
      </c>
      <c r="G4265" s="9">
        <v>647</v>
      </c>
      <c r="H4265" s="5" t="s">
        <v>20</v>
      </c>
      <c r="I4265" s="5" t="s">
        <v>9823</v>
      </c>
      <c r="J4265" s="12" t="str">
        <f>HYPERLINK("https://www.boe.es/gazeta/dias/1805/07/26/pdfs/GMD-1805-60.pdf#page=11","Abrir facsímil")</f>
        <v>Abrir facsímil</v>
      </c>
      <c r="K4265" s="15" t="s">
        <v>22</v>
      </c>
    </row>
    <row r="4266" spans="1:11" ht="42" customHeight="1">
      <c r="A4266" s="4" t="s">
        <v>9824</v>
      </c>
      <c r="B4266" s="5" t="s">
        <v>9825</v>
      </c>
      <c r="C4266" s="5" t="s">
        <v>29</v>
      </c>
      <c r="D4266" s="5" t="s">
        <v>30</v>
      </c>
      <c r="E4266" s="5" t="s">
        <v>352</v>
      </c>
      <c r="F4266" s="9">
        <v>60</v>
      </c>
      <c r="G4266" s="9">
        <v>647</v>
      </c>
      <c r="H4266" s="5" t="s">
        <v>20</v>
      </c>
      <c r="I4266" s="5" t="s">
        <v>9826</v>
      </c>
      <c r="J4266" s="12" t="str">
        <f>HYPERLINK("https://www.boe.es/gazeta/dias/1805/07/26/pdfs/GMD-1805-60.pdf#page=11","Abrir facsímil")</f>
        <v>Abrir facsímil</v>
      </c>
      <c r="K4266" s="15" t="s">
        <v>22</v>
      </c>
    </row>
    <row r="4267" spans="1:11" ht="42" customHeight="1">
      <c r="A4267" s="4" t="s">
        <v>9827</v>
      </c>
      <c r="B4267" s="5" t="s">
        <v>9828</v>
      </c>
      <c r="C4267" s="5" t="s">
        <v>17</v>
      </c>
      <c r="D4267" s="5" t="s">
        <v>18</v>
      </c>
      <c r="E4267" s="5" t="s">
        <v>711</v>
      </c>
      <c r="F4267" s="9">
        <v>63</v>
      </c>
      <c r="G4267" s="9">
        <v>676</v>
      </c>
      <c r="H4267" s="5" t="s">
        <v>20</v>
      </c>
      <c r="I4267" s="5" t="s">
        <v>9829</v>
      </c>
      <c r="J4267" s="12" t="str">
        <f>HYPERLINK("https://www.boe.es/gazeta/dias/1805/08/06/pdfs/GMD-1805-63.pdf#page=12","Abrir facsímil")</f>
        <v>Abrir facsímil</v>
      </c>
      <c r="K4267" s="15" t="s">
        <v>22</v>
      </c>
    </row>
    <row r="4268" spans="1:11" ht="42" customHeight="1">
      <c r="A4268" s="4" t="s">
        <v>9830</v>
      </c>
      <c r="B4268" s="5" t="s">
        <v>9831</v>
      </c>
      <c r="C4268" s="5" t="s">
        <v>35</v>
      </c>
      <c r="D4268" s="5" t="s">
        <v>36</v>
      </c>
      <c r="E4268" s="5" t="s">
        <v>188</v>
      </c>
      <c r="F4268" s="9">
        <v>68</v>
      </c>
      <c r="G4268" s="9">
        <v>729</v>
      </c>
      <c r="H4268" s="5" t="s">
        <v>20</v>
      </c>
      <c r="I4268" s="5" t="s">
        <v>9832</v>
      </c>
      <c r="J4268" s="12" t="str">
        <f>HYPERLINK("https://www.boe.es/gazeta/dias/1805/08/23/pdfs/GMD-1805-68.pdf#page=9","Abrir facsímil")</f>
        <v>Abrir facsímil</v>
      </c>
      <c r="K4268" s="15" t="s">
        <v>22</v>
      </c>
    </row>
    <row r="4269" spans="1:11" ht="42" customHeight="1">
      <c r="A4269" s="4" t="s">
        <v>9833</v>
      </c>
      <c r="B4269" s="5" t="s">
        <v>9834</v>
      </c>
      <c r="C4269" s="5" t="s">
        <v>35</v>
      </c>
      <c r="D4269" s="5" t="s">
        <v>36</v>
      </c>
      <c r="E4269" s="5" t="s">
        <v>24</v>
      </c>
      <c r="F4269" s="9">
        <v>11</v>
      </c>
      <c r="G4269" s="9">
        <v>121</v>
      </c>
      <c r="H4269" s="5" t="s">
        <v>20</v>
      </c>
      <c r="I4269" s="5" t="s">
        <v>9835</v>
      </c>
      <c r="J4269" s="12" t="str">
        <f>HYPERLINK("https://www.boe.es/gazeta/dias/1805/02/05/pdfs/GMD-1805-11.pdf#page=9","Abrir facsímil")</f>
        <v>Abrir facsímil</v>
      </c>
      <c r="K4269" s="15" t="s">
        <v>22</v>
      </c>
    </row>
    <row r="4270" spans="1:11" ht="42" customHeight="1">
      <c r="A4270" s="4" t="s">
        <v>9836</v>
      </c>
      <c r="B4270" s="5" t="s">
        <v>9837</v>
      </c>
      <c r="C4270" s="5" t="s">
        <v>17</v>
      </c>
      <c r="D4270" s="5" t="s">
        <v>18</v>
      </c>
      <c r="E4270" s="5" t="s">
        <v>303</v>
      </c>
      <c r="F4270" s="9">
        <v>57</v>
      </c>
      <c r="G4270" s="9">
        <v>610</v>
      </c>
      <c r="H4270" s="5" t="s">
        <v>20</v>
      </c>
      <c r="I4270" s="5" t="s">
        <v>9838</v>
      </c>
      <c r="J4270" s="12" t="str">
        <f>HYPERLINK("https://www.boe.es/gazeta/dias/1805/07/16/pdfs/GMD-1805-57.pdf#page=6","Abrir facsímil")</f>
        <v>Abrir facsímil</v>
      </c>
      <c r="K4270" s="15" t="s">
        <v>22</v>
      </c>
    </row>
    <row r="4271" spans="1:11" ht="42" customHeight="1">
      <c r="A4271" s="4" t="s">
        <v>9839</v>
      </c>
      <c r="B4271" s="5" t="s">
        <v>9840</v>
      </c>
      <c r="C4271" s="5" t="s">
        <v>52</v>
      </c>
      <c r="D4271" s="5" t="s">
        <v>53</v>
      </c>
      <c r="E4271" s="5" t="s">
        <v>144</v>
      </c>
      <c r="F4271" s="9">
        <v>85</v>
      </c>
      <c r="G4271" s="9" t="s">
        <v>145</v>
      </c>
      <c r="H4271" s="5" t="s">
        <v>20</v>
      </c>
      <c r="I4271" s="5" t="s">
        <v>9841</v>
      </c>
      <c r="J4271" s="12" t="str">
        <f>HYPERLINK("https://www.boe.es/gazeta/dias/1805/10/22/pdfs/GMD-C-1805-85.pdf#page=2","Abrir facsímil")</f>
        <v>Abrir facsímil</v>
      </c>
      <c r="K4271" s="15" t="s">
        <v>22</v>
      </c>
    </row>
    <row r="4272" spans="1:11" ht="42" customHeight="1">
      <c r="A4272" s="4" t="s">
        <v>9842</v>
      </c>
      <c r="B4272" s="5" t="s">
        <v>9843</v>
      </c>
      <c r="C4272" s="5" t="s">
        <v>85</v>
      </c>
      <c r="D4272" s="5" t="s">
        <v>86</v>
      </c>
      <c r="E4272" s="5" t="s">
        <v>352</v>
      </c>
      <c r="F4272" s="9">
        <v>60</v>
      </c>
      <c r="G4272" s="9">
        <v>646</v>
      </c>
      <c r="H4272" s="5" t="s">
        <v>20</v>
      </c>
      <c r="I4272" s="5" t="s">
        <v>9844</v>
      </c>
      <c r="J4272" s="12" t="str">
        <f>HYPERLINK("https://www.boe.es/gazeta/dias/1805/07/26/pdfs/GMD-1805-60.pdf#page=10","Abrir facsímil")</f>
        <v>Abrir facsímil</v>
      </c>
      <c r="K4272" s="15" t="s">
        <v>22</v>
      </c>
    </row>
    <row r="4273" spans="1:11" ht="42" customHeight="1">
      <c r="A4273" s="4" t="s">
        <v>9845</v>
      </c>
      <c r="B4273" s="5" t="s">
        <v>9846</v>
      </c>
      <c r="C4273" s="5" t="s">
        <v>35</v>
      </c>
      <c r="D4273" s="5" t="s">
        <v>36</v>
      </c>
      <c r="E4273" s="5" t="s">
        <v>192</v>
      </c>
      <c r="F4273" s="9">
        <v>105</v>
      </c>
      <c r="G4273" s="9">
        <v>1137</v>
      </c>
      <c r="H4273" s="5" t="s">
        <v>20</v>
      </c>
      <c r="I4273" s="5" t="s">
        <v>9847</v>
      </c>
      <c r="J4273" s="12" t="str">
        <f>HYPERLINK("https://www.boe.es/gazeta/dias/1805/12/31/pdfs/GMD-1805-105.pdf#page=9","Abrir facsímil")</f>
        <v>Abrir facsímil</v>
      </c>
      <c r="K4273" s="15" t="s">
        <v>22</v>
      </c>
    </row>
    <row r="4274" spans="1:11" ht="42" customHeight="1">
      <c r="A4274" s="4" t="s">
        <v>9848</v>
      </c>
      <c r="B4274" s="5" t="s">
        <v>9849</v>
      </c>
      <c r="C4274" s="5" t="s">
        <v>52</v>
      </c>
      <c r="D4274" s="5" t="s">
        <v>53</v>
      </c>
      <c r="E4274" s="5" t="s">
        <v>54</v>
      </c>
      <c r="F4274" s="9">
        <v>99</v>
      </c>
      <c r="G4274" s="9" t="s">
        <v>145</v>
      </c>
      <c r="H4274" s="5" t="s">
        <v>20</v>
      </c>
      <c r="I4274" s="5" t="s">
        <v>9850</v>
      </c>
      <c r="J4274" s="12" t="str">
        <f>HYPERLINK("https://www.boe.es/gazeta/dias/1805/12/10/pdfs/GMD-C-1805-99.pdf#page=2","Abrir facsímil")</f>
        <v>Abrir facsímil</v>
      </c>
      <c r="K4274" s="15" t="s">
        <v>22</v>
      </c>
    </row>
    <row r="4275" spans="1:11" ht="42" customHeight="1">
      <c r="A4275" s="4" t="s">
        <v>9851</v>
      </c>
      <c r="B4275" s="5" t="s">
        <v>9852</v>
      </c>
      <c r="C4275" s="5" t="s">
        <v>35</v>
      </c>
      <c r="D4275" s="5" t="s">
        <v>36</v>
      </c>
      <c r="E4275" s="5" t="s">
        <v>91</v>
      </c>
      <c r="F4275" s="9">
        <v>28</v>
      </c>
      <c r="G4275" s="9">
        <v>301</v>
      </c>
      <c r="H4275" s="5" t="s">
        <v>20</v>
      </c>
      <c r="I4275" s="5" t="s">
        <v>9853</v>
      </c>
      <c r="J4275" s="12" t="str">
        <f>HYPERLINK("https://www.boe.es/gazeta/dias/1805/04/05/pdfs/GMD-1805-28.pdf#page=9","Abrir facsímil")</f>
        <v>Abrir facsímil</v>
      </c>
      <c r="K4275" s="15" t="s">
        <v>22</v>
      </c>
    </row>
    <row r="4276" spans="1:11" ht="42" customHeight="1">
      <c r="A4276" s="4" t="s">
        <v>9854</v>
      </c>
      <c r="B4276" s="5" t="s">
        <v>9855</v>
      </c>
      <c r="C4276" s="5" t="s">
        <v>35</v>
      </c>
      <c r="D4276" s="5" t="s">
        <v>36</v>
      </c>
      <c r="E4276" s="5" t="s">
        <v>215</v>
      </c>
      <c r="F4276" s="9">
        <v>87</v>
      </c>
      <c r="G4276" s="9">
        <v>927</v>
      </c>
      <c r="H4276" s="5" t="s">
        <v>20</v>
      </c>
      <c r="I4276" s="5" t="s">
        <v>9856</v>
      </c>
      <c r="J4276" s="12" t="str">
        <f>HYPERLINK("https://www.boe.es/gazeta/dias/1805/10/29/pdfs/GMD-1805-87.pdf#page=11","Abrir facsímil")</f>
        <v>Abrir facsímil</v>
      </c>
      <c r="K4276" s="15" t="s">
        <v>22</v>
      </c>
    </row>
    <row r="4277" spans="1:11" ht="42" customHeight="1">
      <c r="A4277" s="4" t="s">
        <v>9857</v>
      </c>
      <c r="B4277" s="5" t="s">
        <v>9858</v>
      </c>
      <c r="C4277" s="5" t="s">
        <v>17</v>
      </c>
      <c r="D4277" s="5" t="s">
        <v>18</v>
      </c>
      <c r="E4277" s="5" t="s">
        <v>422</v>
      </c>
      <c r="F4277" s="9">
        <v>74</v>
      </c>
      <c r="G4277" s="9">
        <v>785</v>
      </c>
      <c r="H4277" s="5" t="s">
        <v>20</v>
      </c>
      <c r="I4277" s="5" t="s">
        <v>9859</v>
      </c>
      <c r="J4277" s="12" t="str">
        <f>HYPERLINK("https://www.boe.es/gazeta/dias/1805/09/13/pdfs/GMD-1805-74.pdf#page=9","Abrir facsímil")</f>
        <v>Abrir facsímil</v>
      </c>
      <c r="K4277" s="15" t="s">
        <v>22</v>
      </c>
    </row>
    <row r="4278" spans="1:11" ht="42" customHeight="1">
      <c r="A4278" s="4" t="s">
        <v>9857</v>
      </c>
      <c r="B4278" s="5" t="s">
        <v>9858</v>
      </c>
      <c r="C4278" s="5" t="s">
        <v>17</v>
      </c>
      <c r="D4278" s="5" t="s">
        <v>18</v>
      </c>
      <c r="E4278" s="5" t="s">
        <v>422</v>
      </c>
      <c r="F4278" s="9">
        <v>74</v>
      </c>
      <c r="G4278" s="9">
        <v>786</v>
      </c>
      <c r="H4278" s="5" t="s">
        <v>20</v>
      </c>
      <c r="I4278" s="5" t="s">
        <v>9860</v>
      </c>
      <c r="J4278" s="12" t="str">
        <f>HYPERLINK("https://www.boe.es/gazeta/dias/1805/09/13/pdfs/GMD-1805-74.pdf#page=10","Abrir facsímil")</f>
        <v>Abrir facsímil</v>
      </c>
      <c r="K4278" s="15" t="s">
        <v>22</v>
      </c>
    </row>
    <row r="4279" spans="1:11" ht="42" customHeight="1">
      <c r="A4279" s="4" t="s">
        <v>9857</v>
      </c>
      <c r="B4279" s="5" t="s">
        <v>9858</v>
      </c>
      <c r="C4279" s="5" t="s">
        <v>52</v>
      </c>
      <c r="D4279" s="5" t="s">
        <v>53</v>
      </c>
      <c r="E4279" s="5" t="s">
        <v>54</v>
      </c>
      <c r="F4279" s="9">
        <v>99</v>
      </c>
      <c r="G4279" s="9" t="s">
        <v>145</v>
      </c>
      <c r="H4279" s="5" t="s">
        <v>20</v>
      </c>
      <c r="I4279" s="5" t="s">
        <v>9861</v>
      </c>
      <c r="J4279" s="12" t="str">
        <f>HYPERLINK("https://www.boe.es/gazeta/dias/1805/12/10/pdfs/GMD-C-1805-99.pdf#page=2","Abrir facsímil")</f>
        <v>Abrir facsímil</v>
      </c>
      <c r="K4279" s="15" t="s">
        <v>22</v>
      </c>
    </row>
    <row r="4280" spans="1:11" ht="42" customHeight="1">
      <c r="A4280" s="4" t="s">
        <v>9862</v>
      </c>
      <c r="B4280" s="5" t="s">
        <v>9863</v>
      </c>
      <c r="C4280" s="5" t="s">
        <v>35</v>
      </c>
      <c r="D4280" s="5" t="s">
        <v>36</v>
      </c>
      <c r="E4280" s="5" t="s">
        <v>711</v>
      </c>
      <c r="F4280" s="9">
        <v>63</v>
      </c>
      <c r="G4280" s="9">
        <v>674</v>
      </c>
      <c r="H4280" s="5" t="s">
        <v>20</v>
      </c>
      <c r="I4280" s="5" t="s">
        <v>9864</v>
      </c>
      <c r="J4280" s="12" t="str">
        <f>HYPERLINK("https://www.boe.es/gazeta/dias/1805/08/06/pdfs/GMD-1805-63.pdf#page=10","Abrir facsímil")</f>
        <v>Abrir facsímil</v>
      </c>
      <c r="K4280" s="15" t="s">
        <v>22</v>
      </c>
    </row>
    <row r="4281" spans="1:11" ht="42" customHeight="1">
      <c r="A4281" s="4" t="s">
        <v>9865</v>
      </c>
      <c r="B4281" s="5" t="s">
        <v>9866</v>
      </c>
      <c r="C4281" s="5" t="s">
        <v>85</v>
      </c>
      <c r="D4281" s="5" t="s">
        <v>86</v>
      </c>
      <c r="E4281" s="5" t="s">
        <v>585</v>
      </c>
      <c r="F4281" s="9">
        <v>64</v>
      </c>
      <c r="G4281" s="9">
        <v>687</v>
      </c>
      <c r="H4281" s="5" t="s">
        <v>20</v>
      </c>
      <c r="I4281" s="5" t="s">
        <v>9867</v>
      </c>
      <c r="J4281" s="12" t="str">
        <f>HYPERLINK("https://www.boe.es/gazeta/dias/1805/08/09/pdfs/GMD-1805-64.pdf#page=11","Abrir facsímil")</f>
        <v>Abrir facsímil</v>
      </c>
      <c r="K4281" s="15" t="s">
        <v>22</v>
      </c>
    </row>
    <row r="4282" spans="1:11" ht="42" customHeight="1">
      <c r="A4282" s="4" t="s">
        <v>9868</v>
      </c>
      <c r="B4282" s="5" t="s">
        <v>9869</v>
      </c>
      <c r="C4282" s="5" t="s">
        <v>85</v>
      </c>
      <c r="D4282" s="5" t="s">
        <v>86</v>
      </c>
      <c r="E4282" s="5" t="s">
        <v>440</v>
      </c>
      <c r="F4282" s="9">
        <v>27</v>
      </c>
      <c r="G4282" s="9">
        <v>288</v>
      </c>
      <c r="H4282" s="5" t="s">
        <v>20</v>
      </c>
      <c r="I4282" s="5" t="s">
        <v>9870</v>
      </c>
      <c r="J4282" s="12" t="str">
        <f>HYPERLINK("https://www.boe.es/gazeta/dias/1805/04/02/pdfs/GMD-1805-27.pdf#page=8","Abrir facsímil")</f>
        <v>Abrir facsímil</v>
      </c>
      <c r="K4282" s="15" t="s">
        <v>22</v>
      </c>
    </row>
    <row r="4283" spans="1:11" ht="42" customHeight="1">
      <c r="A4283" s="4" t="s">
        <v>9871</v>
      </c>
      <c r="B4283" s="5" t="s">
        <v>9872</v>
      </c>
      <c r="C4283" s="5" t="s">
        <v>85</v>
      </c>
      <c r="D4283" s="5" t="s">
        <v>86</v>
      </c>
      <c r="E4283" s="5" t="s">
        <v>135</v>
      </c>
      <c r="F4283" s="9">
        <v>71</v>
      </c>
      <c r="G4283" s="9">
        <v>757</v>
      </c>
      <c r="H4283" s="5" t="s">
        <v>20</v>
      </c>
      <c r="I4283" s="5" t="s">
        <v>9873</v>
      </c>
      <c r="J4283" s="12" t="str">
        <f>HYPERLINK("https://www.boe.es/gazeta/dias/1805/09/03/pdfs/GMD-1805-71.pdf#page=9","Abrir facsímil")</f>
        <v>Abrir facsímil</v>
      </c>
      <c r="K4283" s="15" t="s">
        <v>22</v>
      </c>
    </row>
    <row r="4284" spans="1:11" ht="42" customHeight="1">
      <c r="A4284" s="4" t="s">
        <v>9874</v>
      </c>
      <c r="B4284" s="5" t="s">
        <v>9875</v>
      </c>
      <c r="C4284" s="5" t="s">
        <v>35</v>
      </c>
      <c r="D4284" s="5" t="s">
        <v>36</v>
      </c>
      <c r="E4284" s="5" t="s">
        <v>76</v>
      </c>
      <c r="F4284" s="9">
        <v>66</v>
      </c>
      <c r="G4284" s="9">
        <v>709</v>
      </c>
      <c r="H4284" s="5" t="s">
        <v>20</v>
      </c>
      <c r="I4284" s="5" t="s">
        <v>9876</v>
      </c>
      <c r="J4284" s="12" t="str">
        <f>HYPERLINK("https://www.boe.es/gazeta/dias/1805/08/16/pdfs/GMD-1805-66.pdf#page=9","Abrir facsímil")</f>
        <v>Abrir facsímil</v>
      </c>
      <c r="K4284" s="15" t="s">
        <v>22</v>
      </c>
    </row>
    <row r="4285" spans="1:11" ht="42" customHeight="1">
      <c r="A4285" s="4" t="s">
        <v>9877</v>
      </c>
      <c r="B4285" s="5" t="s">
        <v>9878</v>
      </c>
      <c r="C4285" s="5" t="s">
        <v>52</v>
      </c>
      <c r="D4285" s="5" t="s">
        <v>53</v>
      </c>
      <c r="E4285" s="5" t="s">
        <v>82</v>
      </c>
      <c r="F4285" s="9">
        <v>25</v>
      </c>
      <c r="G4285" s="9" t="s">
        <v>145</v>
      </c>
      <c r="H4285" s="5" t="s">
        <v>20</v>
      </c>
      <c r="I4285" s="5" t="s">
        <v>9879</v>
      </c>
      <c r="J4285" s="12" t="str">
        <f>HYPERLINK("https://www.boe.es/gazeta/dias/1805/03/26/pdfs/GMD-C-1805-25.pdf#page=2","Abrir facsímil")</f>
        <v>Abrir facsímil</v>
      </c>
      <c r="K4285" s="15" t="s">
        <v>22</v>
      </c>
    </row>
    <row r="4286" spans="1:11" ht="42" customHeight="1">
      <c r="A4286" s="4" t="s">
        <v>9880</v>
      </c>
      <c r="B4286" s="5" t="s">
        <v>9881</v>
      </c>
      <c r="C4286" s="5" t="s">
        <v>17</v>
      </c>
      <c r="D4286" s="5" t="s">
        <v>18</v>
      </c>
      <c r="E4286" s="5" t="s">
        <v>128</v>
      </c>
      <c r="F4286" s="9">
        <v>23</v>
      </c>
      <c r="G4286" s="9">
        <v>245</v>
      </c>
      <c r="H4286" s="5" t="s">
        <v>20</v>
      </c>
      <c r="I4286" s="5" t="s">
        <v>9882</v>
      </c>
      <c r="J4286" s="12" t="str">
        <f>HYPERLINK("https://www.boe.es/gazeta/dias/1805/03/19/pdfs/GMD-1805-23.pdf#page=9","Abrir facsímil")</f>
        <v>Abrir facsímil</v>
      </c>
      <c r="K4286" s="15" t="s">
        <v>22</v>
      </c>
    </row>
    <row r="4287" spans="1:11" ht="42" customHeight="1">
      <c r="A4287" s="4" t="s">
        <v>9883</v>
      </c>
      <c r="B4287" s="5" t="s">
        <v>9884</v>
      </c>
      <c r="C4287" s="5" t="s">
        <v>80</v>
      </c>
      <c r="D4287" s="5" t="s">
        <v>81</v>
      </c>
      <c r="E4287" s="5" t="s">
        <v>207</v>
      </c>
      <c r="F4287" s="9">
        <v>76</v>
      </c>
      <c r="G4287" s="9">
        <v>805</v>
      </c>
      <c r="H4287" s="5" t="s">
        <v>20</v>
      </c>
      <c r="I4287" s="5" t="s">
        <v>9885</v>
      </c>
      <c r="J4287" s="12" t="str">
        <f>HYPERLINK("https://www.boe.es/gazeta/dias/1805/09/20/pdfs/GMD-1805-76.pdf#page=5","Abrir facsímil")</f>
        <v>Abrir facsímil</v>
      </c>
      <c r="K4287" s="15" t="s">
        <v>22</v>
      </c>
    </row>
    <row r="4288" spans="1:11" ht="42" customHeight="1">
      <c r="A4288" s="4" t="s">
        <v>9883</v>
      </c>
      <c r="B4288" s="5" t="s">
        <v>9884</v>
      </c>
      <c r="C4288" s="5" t="s">
        <v>80</v>
      </c>
      <c r="D4288" s="5" t="s">
        <v>81</v>
      </c>
      <c r="E4288" s="5" t="s">
        <v>181</v>
      </c>
      <c r="F4288" s="9">
        <v>90</v>
      </c>
      <c r="G4288" s="9">
        <v>960</v>
      </c>
      <c r="H4288" s="5" t="s">
        <v>20</v>
      </c>
      <c r="I4288" s="5" t="s">
        <v>9886</v>
      </c>
      <c r="J4288" s="12" t="str">
        <f>HYPERLINK("https://www.boe.es/gazeta/dias/1805/11/08/pdfs/GMD-1805-90.pdf#page=4","Abrir facsímil")</f>
        <v>Abrir facsímil</v>
      </c>
      <c r="K4288" s="15" t="s">
        <v>22</v>
      </c>
    </row>
    <row r="4289" spans="1:11" ht="42" customHeight="1">
      <c r="A4289" s="4" t="s">
        <v>9883</v>
      </c>
      <c r="B4289" s="5" t="s">
        <v>9884</v>
      </c>
      <c r="C4289" s="5" t="s">
        <v>80</v>
      </c>
      <c r="D4289" s="5" t="s">
        <v>81</v>
      </c>
      <c r="E4289" s="5" t="s">
        <v>54</v>
      </c>
      <c r="F4289" s="9">
        <v>99</v>
      </c>
      <c r="G4289" s="9">
        <v>1064</v>
      </c>
      <c r="H4289" s="5" t="s">
        <v>20</v>
      </c>
      <c r="I4289" s="5" t="s">
        <v>9887</v>
      </c>
      <c r="J4289" s="12" t="str">
        <f>HYPERLINK("https://www.boe.es/gazeta/dias/1805/12/10/pdfs/GMD-1805-99.pdf#page=4","Abrir facsímil")</f>
        <v>Abrir facsímil</v>
      </c>
      <c r="K4289" s="15" t="s">
        <v>22</v>
      </c>
    </row>
    <row r="4290" spans="1:11" ht="42" customHeight="1">
      <c r="A4290" s="4" t="s">
        <v>9888</v>
      </c>
      <c r="B4290" s="5" t="s">
        <v>9889</v>
      </c>
      <c r="C4290" s="5" t="s">
        <v>35</v>
      </c>
      <c r="D4290" s="5" t="s">
        <v>36</v>
      </c>
      <c r="E4290" s="5" t="s">
        <v>122</v>
      </c>
      <c r="F4290" s="9">
        <v>38</v>
      </c>
      <c r="G4290" s="9">
        <v>411</v>
      </c>
      <c r="H4290" s="5" t="s">
        <v>20</v>
      </c>
      <c r="I4290" s="5" t="s">
        <v>9890</v>
      </c>
      <c r="J4290" s="12" t="str">
        <f>HYPERLINK("https://www.boe.es/gazeta/dias/1805/05/10/pdfs/GMD-1805-38.pdf#page=7","Abrir facsímil")</f>
        <v>Abrir facsímil</v>
      </c>
      <c r="K4290" s="15" t="s">
        <v>22</v>
      </c>
    </row>
    <row r="4291" spans="1:11" ht="42" customHeight="1">
      <c r="A4291" s="4" t="s">
        <v>9891</v>
      </c>
      <c r="B4291" s="5" t="s">
        <v>9892</v>
      </c>
      <c r="C4291" s="5" t="s">
        <v>17</v>
      </c>
      <c r="D4291" s="5" t="s">
        <v>18</v>
      </c>
      <c r="E4291" s="5" t="s">
        <v>276</v>
      </c>
      <c r="F4291" s="9">
        <v>51</v>
      </c>
      <c r="G4291" s="9">
        <v>551</v>
      </c>
      <c r="H4291" s="5" t="s">
        <v>20</v>
      </c>
      <c r="I4291" s="5" t="s">
        <v>9893</v>
      </c>
      <c r="J4291" s="12" t="str">
        <f>HYPERLINK("https://www.boe.es/gazeta/dias/1805/06/25/pdfs/GMD-1805-51.pdf#page=7","Abrir facsímil")</f>
        <v>Abrir facsímil</v>
      </c>
      <c r="K4291" s="15" t="s">
        <v>22</v>
      </c>
    </row>
    <row r="4292" spans="1:11" ht="42" customHeight="1">
      <c r="A4292" s="4" t="s">
        <v>9894</v>
      </c>
      <c r="B4292" s="5" t="s">
        <v>9895</v>
      </c>
      <c r="C4292" s="5" t="s">
        <v>85</v>
      </c>
      <c r="D4292" s="5" t="s">
        <v>86</v>
      </c>
      <c r="E4292" s="5" t="s">
        <v>213</v>
      </c>
      <c r="F4292" s="9">
        <v>56</v>
      </c>
      <c r="G4292" s="9">
        <v>600</v>
      </c>
      <c r="H4292" s="5" t="s">
        <v>20</v>
      </c>
      <c r="I4292" s="5" t="s">
        <v>9896</v>
      </c>
      <c r="J4292" s="12" t="str">
        <f>HYPERLINK("https://www.boe.es/gazeta/dias/1805/07/12/pdfs/GMD-1805-56.pdf#page=8","Abrir facsímil")</f>
        <v>Abrir facsímil</v>
      </c>
      <c r="K4292" s="15" t="s">
        <v>22</v>
      </c>
    </row>
    <row r="4293" spans="1:11" ht="42" customHeight="1">
      <c r="A4293" s="4" t="s">
        <v>9897</v>
      </c>
      <c r="B4293" s="5" t="s">
        <v>9898</v>
      </c>
      <c r="C4293" s="5" t="s">
        <v>85</v>
      </c>
      <c r="D4293" s="5" t="s">
        <v>86</v>
      </c>
      <c r="E4293" s="5" t="s">
        <v>426</v>
      </c>
      <c r="F4293" s="9">
        <v>75</v>
      </c>
      <c r="G4293" s="9">
        <v>798</v>
      </c>
      <c r="H4293" s="5" t="s">
        <v>20</v>
      </c>
      <c r="I4293" s="5" t="s">
        <v>9899</v>
      </c>
      <c r="J4293" s="12" t="str">
        <f>HYPERLINK("https://www.boe.es/gazeta/dias/1805/09/17/pdfs/GMD-1805-75.pdf#page=10","Abrir facsímil")</f>
        <v>Abrir facsímil</v>
      </c>
      <c r="K4293" s="15" t="s">
        <v>22</v>
      </c>
    </row>
    <row r="4294" spans="1:11" ht="42" customHeight="1">
      <c r="A4294" s="4" t="s">
        <v>9900</v>
      </c>
      <c r="B4294" s="5" t="s">
        <v>9900</v>
      </c>
      <c r="C4294" s="5" t="s">
        <v>17</v>
      </c>
      <c r="D4294" s="5" t="s">
        <v>18</v>
      </c>
      <c r="E4294" s="5" t="s">
        <v>76</v>
      </c>
      <c r="F4294" s="9">
        <v>66</v>
      </c>
      <c r="G4294" s="9">
        <v>705</v>
      </c>
      <c r="H4294" s="5" t="s">
        <v>20</v>
      </c>
      <c r="I4294" s="5" t="s">
        <v>9901</v>
      </c>
      <c r="J4294" s="12" t="str">
        <f>HYPERLINK("https://www.boe.es/gazeta/dias/1805/08/16/pdfs/GMD-1805-66.pdf#page=5","Abrir facsímil")</f>
        <v>Abrir facsímil</v>
      </c>
      <c r="K4294" s="15" t="s">
        <v>22</v>
      </c>
    </row>
    <row r="4295" spans="1:11" ht="42" customHeight="1">
      <c r="A4295" s="4" t="s">
        <v>9902</v>
      </c>
      <c r="B4295" s="5" t="s">
        <v>9903</v>
      </c>
      <c r="C4295" s="5" t="s">
        <v>35</v>
      </c>
      <c r="D4295" s="5" t="s">
        <v>36</v>
      </c>
      <c r="E4295" s="5" t="s">
        <v>1221</v>
      </c>
      <c r="F4295" s="9">
        <v>41</v>
      </c>
      <c r="G4295" s="9">
        <v>442</v>
      </c>
      <c r="H4295" s="5" t="s">
        <v>20</v>
      </c>
      <c r="I4295" s="5" t="s">
        <v>9904</v>
      </c>
      <c r="J4295" s="12" t="str">
        <f>HYPERLINK("https://www.boe.es/gazeta/dias/1805/05/21/pdfs/GMD-1805-41.pdf#page=10","Abrir facsímil")</f>
        <v>Abrir facsímil</v>
      </c>
      <c r="K4295" s="15" t="s">
        <v>22</v>
      </c>
    </row>
    <row r="4296" spans="1:11" ht="42" customHeight="1">
      <c r="A4296" s="4" t="s">
        <v>9905</v>
      </c>
      <c r="B4296" s="5" t="s">
        <v>9906</v>
      </c>
      <c r="C4296" s="5" t="s">
        <v>35</v>
      </c>
      <c r="D4296" s="5" t="s">
        <v>36</v>
      </c>
      <c r="E4296" s="5" t="s">
        <v>539</v>
      </c>
      <c r="F4296" s="9">
        <v>97</v>
      </c>
      <c r="G4296" s="9">
        <v>1044</v>
      </c>
      <c r="H4296" s="5" t="s">
        <v>20</v>
      </c>
      <c r="I4296" s="5" t="s">
        <v>9907</v>
      </c>
      <c r="J4296" s="12" t="str">
        <f>HYPERLINK("https://www.boe.es/gazeta/dias/1805/12/03/pdfs/GMD-1805-97.pdf#page=8","Abrir facsímil")</f>
        <v>Abrir facsímil</v>
      </c>
      <c r="K4296" s="15" t="s">
        <v>22</v>
      </c>
    </row>
    <row r="4297" spans="1:11" ht="42" customHeight="1">
      <c r="A4297" s="4" t="s">
        <v>9908</v>
      </c>
      <c r="B4297" s="5" t="s">
        <v>9909</v>
      </c>
      <c r="C4297" s="5" t="s">
        <v>17</v>
      </c>
      <c r="D4297" s="5" t="s">
        <v>18</v>
      </c>
      <c r="E4297" s="5" t="s">
        <v>200</v>
      </c>
      <c r="F4297" s="9">
        <v>91</v>
      </c>
      <c r="G4297" s="9">
        <v>977</v>
      </c>
      <c r="H4297" s="5" t="s">
        <v>20</v>
      </c>
      <c r="I4297" s="5" t="s">
        <v>9910</v>
      </c>
      <c r="J4297" s="12" t="str">
        <f>HYPERLINK("https://www.boe.es/gazeta/dias/1805/11/12/pdfs/GMD-1805-91.pdf#page=9","Abrir facsímil")</f>
        <v>Abrir facsímil</v>
      </c>
      <c r="K4297" s="15" t="s">
        <v>22</v>
      </c>
    </row>
    <row r="4298" spans="1:11" ht="42" customHeight="1">
      <c r="A4298" s="4" t="s">
        <v>9911</v>
      </c>
      <c r="B4298" s="5" t="s">
        <v>9912</v>
      </c>
      <c r="C4298" s="5" t="s">
        <v>80</v>
      </c>
      <c r="D4298" s="5" t="s">
        <v>81</v>
      </c>
      <c r="E4298" s="5" t="s">
        <v>215</v>
      </c>
      <c r="F4298" s="9">
        <v>87</v>
      </c>
      <c r="G4298" s="9">
        <v>926</v>
      </c>
      <c r="H4298" s="5" t="s">
        <v>20</v>
      </c>
      <c r="I4298" s="5" t="s">
        <v>9913</v>
      </c>
      <c r="J4298" s="12" t="str">
        <f>HYPERLINK("https://www.boe.es/gazeta/dias/1805/10/29/pdfs/GMD-1805-87.pdf#page=10","Abrir facsímil")</f>
        <v>Abrir facsímil</v>
      </c>
      <c r="K4298" s="15" t="s">
        <v>22</v>
      </c>
    </row>
    <row r="4299" spans="1:11" ht="42" customHeight="1">
      <c r="A4299" s="4" t="s">
        <v>9914</v>
      </c>
      <c r="B4299" s="5" t="s">
        <v>9914</v>
      </c>
      <c r="C4299" s="5" t="s">
        <v>184</v>
      </c>
      <c r="D4299" s="5" t="s">
        <v>86</v>
      </c>
      <c r="E4299" s="5" t="s">
        <v>181</v>
      </c>
      <c r="F4299" s="9">
        <v>90</v>
      </c>
      <c r="G4299" s="9">
        <v>966</v>
      </c>
      <c r="H4299" s="5" t="s">
        <v>20</v>
      </c>
      <c r="I4299" s="5" t="s">
        <v>9915</v>
      </c>
      <c r="J4299" s="12" t="str">
        <f>HYPERLINK("https://www.boe.es/gazeta/dias/1805/11/08/pdfs/GMD-1805-90.pdf#page=10","Abrir facsímil")</f>
        <v>Abrir facsímil</v>
      </c>
      <c r="K4299" s="15" t="s">
        <v>22</v>
      </c>
    </row>
    <row r="4300" spans="1:11" ht="42" customHeight="1">
      <c r="A4300" s="4" t="s">
        <v>9916</v>
      </c>
      <c r="B4300" s="5" t="s">
        <v>9916</v>
      </c>
      <c r="C4300" s="5" t="s">
        <v>184</v>
      </c>
      <c r="D4300" s="5" t="s">
        <v>86</v>
      </c>
      <c r="E4300" s="5" t="s">
        <v>512</v>
      </c>
      <c r="F4300" s="9">
        <v>100</v>
      </c>
      <c r="G4300" s="9">
        <v>1082</v>
      </c>
      <c r="H4300" s="5" t="s">
        <v>20</v>
      </c>
      <c r="I4300" s="5" t="s">
        <v>9917</v>
      </c>
      <c r="J4300" s="12" t="str">
        <f>HYPERLINK("https://www.boe.es/gazeta/dias/1805/12/13/pdfs/GMD-1805-100.pdf#page=10","Abrir facsímil")</f>
        <v>Abrir facsímil</v>
      </c>
      <c r="K4300" s="15" t="s">
        <v>22</v>
      </c>
    </row>
    <row r="4301" spans="1:11" ht="42" customHeight="1">
      <c r="A4301" s="4" t="s">
        <v>9918</v>
      </c>
      <c r="B4301" s="5" t="s">
        <v>9918</v>
      </c>
      <c r="C4301" s="5" t="s">
        <v>184</v>
      </c>
      <c r="D4301" s="5" t="s">
        <v>86</v>
      </c>
      <c r="E4301" s="5" t="s">
        <v>226</v>
      </c>
      <c r="F4301" s="9">
        <v>73</v>
      </c>
      <c r="G4301" s="9">
        <v>775</v>
      </c>
      <c r="H4301" s="5" t="s">
        <v>20</v>
      </c>
      <c r="I4301" s="5" t="s">
        <v>9919</v>
      </c>
      <c r="J4301" s="12" t="str">
        <f>HYPERLINK("https://www.boe.es/gazeta/dias/1805/09/10/pdfs/GMD-1805-73.pdf#page=7","Abrir facsímil")</f>
        <v>Abrir facsímil</v>
      </c>
      <c r="K4301" s="15" t="s">
        <v>22</v>
      </c>
    </row>
    <row r="4302" spans="1:11" ht="42" customHeight="1">
      <c r="A4302" s="4" t="s">
        <v>9920</v>
      </c>
      <c r="B4302" s="5" t="s">
        <v>9920</v>
      </c>
      <c r="C4302" s="5" t="s">
        <v>184</v>
      </c>
      <c r="D4302" s="5" t="s">
        <v>86</v>
      </c>
      <c r="E4302" s="5" t="s">
        <v>63</v>
      </c>
      <c r="F4302" s="9">
        <v>101</v>
      </c>
      <c r="G4302" s="9">
        <v>1094</v>
      </c>
      <c r="H4302" s="5" t="s">
        <v>20</v>
      </c>
      <c r="I4302" s="5" t="s">
        <v>9921</v>
      </c>
      <c r="J4302" s="12" t="str">
        <f>HYPERLINK("https://www.boe.es/gazeta/dias/1805/12/17/pdfs/GMD-1805-101.pdf#page=10","Abrir facsímil")</f>
        <v>Abrir facsímil</v>
      </c>
      <c r="K4302" s="15" t="s">
        <v>22</v>
      </c>
    </row>
    <row r="4303" spans="1:11" ht="42" customHeight="1">
      <c r="A4303" s="4" t="s">
        <v>9922</v>
      </c>
      <c r="B4303" s="5" t="s">
        <v>9922</v>
      </c>
      <c r="C4303" s="5" t="s">
        <v>35</v>
      </c>
      <c r="D4303" s="5" t="s">
        <v>36</v>
      </c>
      <c r="E4303" s="5" t="s">
        <v>132</v>
      </c>
      <c r="F4303" s="9">
        <v>2</v>
      </c>
      <c r="G4303" s="9">
        <v>21</v>
      </c>
      <c r="H4303" s="5" t="s">
        <v>20</v>
      </c>
      <c r="I4303" s="5" t="s">
        <v>9923</v>
      </c>
      <c r="J4303" s="12" t="str">
        <f>HYPERLINK("https://www.boe.es/gazeta/dias/1805/01/04/pdfs/GMD-1805-2.pdf#page=9","Abrir facsímil")</f>
        <v>Abrir facsímil</v>
      </c>
      <c r="K4303" s="15" t="s">
        <v>22</v>
      </c>
    </row>
    <row r="4304" spans="1:11" ht="42" customHeight="1">
      <c r="A4304" s="4" t="s">
        <v>9924</v>
      </c>
      <c r="B4304" s="5" t="s">
        <v>9924</v>
      </c>
      <c r="C4304" s="5" t="s">
        <v>17</v>
      </c>
      <c r="D4304" s="5" t="s">
        <v>18</v>
      </c>
      <c r="E4304" s="5" t="s">
        <v>63</v>
      </c>
      <c r="F4304" s="9">
        <v>101</v>
      </c>
      <c r="G4304" s="9">
        <v>1091</v>
      </c>
      <c r="H4304" s="5" t="s">
        <v>20</v>
      </c>
      <c r="I4304" s="5" t="s">
        <v>9925</v>
      </c>
      <c r="J4304" s="12" t="str">
        <f>HYPERLINK("https://www.boe.es/gazeta/dias/1805/12/17/pdfs/GMD-1805-101.pdf#page=7","Abrir facsímil")</f>
        <v>Abrir facsímil</v>
      </c>
      <c r="K4304" s="15" t="s">
        <v>22</v>
      </c>
    </row>
    <row r="4305" spans="1:11" ht="42" customHeight="1">
      <c r="A4305" s="4" t="s">
        <v>9926</v>
      </c>
      <c r="B4305" s="5" t="s">
        <v>9927</v>
      </c>
      <c r="C4305" s="5" t="s">
        <v>17</v>
      </c>
      <c r="D4305" s="5" t="s">
        <v>18</v>
      </c>
      <c r="E4305" s="5" t="s">
        <v>729</v>
      </c>
      <c r="F4305" s="9">
        <v>61</v>
      </c>
      <c r="G4305" s="9">
        <v>654</v>
      </c>
      <c r="H4305" s="5" t="s">
        <v>20</v>
      </c>
      <c r="I4305" s="5" t="s">
        <v>9928</v>
      </c>
      <c r="J4305" s="12" t="str">
        <f>HYPERLINK("https://www.boe.es/gazeta/dias/1805/07/30/pdfs/GMD-1805-61.pdf#page=6","Abrir facsímil")</f>
        <v>Abrir facsímil</v>
      </c>
      <c r="K4305" s="15" t="s">
        <v>22</v>
      </c>
    </row>
    <row r="4306" spans="1:11" ht="42" customHeight="1">
      <c r="A4306" s="4" t="s">
        <v>9929</v>
      </c>
      <c r="B4306" s="5" t="s">
        <v>9930</v>
      </c>
      <c r="C4306" s="5" t="s">
        <v>35</v>
      </c>
      <c r="D4306" s="5" t="s">
        <v>36</v>
      </c>
      <c r="E4306" s="5" t="s">
        <v>163</v>
      </c>
      <c r="F4306" s="9">
        <v>77</v>
      </c>
      <c r="G4306" s="9">
        <v>817</v>
      </c>
      <c r="H4306" s="5" t="s">
        <v>20</v>
      </c>
      <c r="I4306" s="5" t="s">
        <v>9931</v>
      </c>
      <c r="J4306" s="12" t="str">
        <f>HYPERLINK("https://www.boe.es/gazeta/dias/1805/09/24/pdfs/GMD-1805-77.pdf#page=9","Abrir facsímil")</f>
        <v>Abrir facsímil</v>
      </c>
      <c r="K4306" s="15" t="s">
        <v>22</v>
      </c>
    </row>
    <row r="4307" spans="1:11" ht="42" customHeight="1">
      <c r="A4307" s="4" t="s">
        <v>9932</v>
      </c>
      <c r="B4307" s="5" t="s">
        <v>9933</v>
      </c>
      <c r="C4307" s="5" t="s">
        <v>17</v>
      </c>
      <c r="D4307" s="5" t="s">
        <v>18</v>
      </c>
      <c r="E4307" s="5" t="s">
        <v>120</v>
      </c>
      <c r="F4307" s="9">
        <v>24</v>
      </c>
      <c r="G4307" s="9">
        <v>258</v>
      </c>
      <c r="H4307" s="5" t="s">
        <v>20</v>
      </c>
      <c r="I4307" s="5" t="s">
        <v>9934</v>
      </c>
      <c r="J4307" s="12" t="str">
        <f>HYPERLINK("https://www.boe.es/gazeta/dias/1805/03/22/pdfs/GMD-1805-24.pdf#page=10","Abrir facsímil")</f>
        <v>Abrir facsímil</v>
      </c>
      <c r="K4307" s="15" t="s">
        <v>22</v>
      </c>
    </row>
    <row r="4308" spans="1:11" ht="42" customHeight="1">
      <c r="A4308" s="4" t="s">
        <v>9932</v>
      </c>
      <c r="B4308" s="5" t="s">
        <v>9933</v>
      </c>
      <c r="C4308" s="5" t="s">
        <v>17</v>
      </c>
      <c r="D4308" s="5" t="s">
        <v>18</v>
      </c>
      <c r="E4308" s="5" t="s">
        <v>958</v>
      </c>
      <c r="F4308" s="9">
        <v>58</v>
      </c>
      <c r="G4308" s="9">
        <v>622</v>
      </c>
      <c r="H4308" s="5" t="s">
        <v>20</v>
      </c>
      <c r="I4308" s="5" t="s">
        <v>9935</v>
      </c>
      <c r="J4308" s="12" t="str">
        <f>HYPERLINK("https://www.boe.es/gazeta/dias/1805/07/19/pdfs/GMD-1805-58.pdf#page=6","Abrir facsímil")</f>
        <v>Abrir facsímil</v>
      </c>
      <c r="K4308" s="15" t="s">
        <v>22</v>
      </c>
    </row>
    <row r="4309" spans="1:11" ht="42" customHeight="1">
      <c r="A4309" s="4" t="s">
        <v>9932</v>
      </c>
      <c r="B4309" s="5" t="s">
        <v>9933</v>
      </c>
      <c r="C4309" s="5" t="s">
        <v>17</v>
      </c>
      <c r="D4309" s="5" t="s">
        <v>18</v>
      </c>
      <c r="E4309" s="5" t="s">
        <v>886</v>
      </c>
      <c r="F4309" s="9">
        <v>93</v>
      </c>
      <c r="G4309" s="9">
        <v>1000</v>
      </c>
      <c r="H4309" s="5" t="s">
        <v>20</v>
      </c>
      <c r="I4309" s="5" t="s">
        <v>9936</v>
      </c>
      <c r="J4309" s="12" t="str">
        <f>HYPERLINK("https://www.boe.es/gazeta/dias/1805/11/19/pdfs/GMD-1805-93.pdf#page=12","Abrir facsímil")</f>
        <v>Abrir facsímil</v>
      </c>
      <c r="K4309" s="15" t="s">
        <v>22</v>
      </c>
    </row>
    <row r="4310" spans="1:11" ht="42" customHeight="1">
      <c r="A4310" s="4" t="s">
        <v>9937</v>
      </c>
      <c r="B4310" s="5" t="s">
        <v>9938</v>
      </c>
      <c r="C4310" s="5" t="s">
        <v>17</v>
      </c>
      <c r="D4310" s="5" t="s">
        <v>18</v>
      </c>
      <c r="E4310" s="5" t="s">
        <v>135</v>
      </c>
      <c r="F4310" s="9">
        <v>71</v>
      </c>
      <c r="G4310" s="9">
        <v>758</v>
      </c>
      <c r="H4310" s="5" t="s">
        <v>20</v>
      </c>
      <c r="I4310" s="5" t="s">
        <v>9939</v>
      </c>
      <c r="J4310" s="12" t="str">
        <f>HYPERLINK("https://www.boe.es/gazeta/dias/1805/09/03/pdfs/GMD-1805-71.pdf#page=10","Abrir facsímil")</f>
        <v>Abrir facsímil</v>
      </c>
      <c r="K4310" s="15" t="s">
        <v>22</v>
      </c>
    </row>
    <row r="4311" spans="1:11" ht="42" customHeight="1">
      <c r="A4311" s="4" t="s">
        <v>9940</v>
      </c>
      <c r="B4311" s="5" t="s">
        <v>9941</v>
      </c>
      <c r="C4311" s="5" t="s">
        <v>85</v>
      </c>
      <c r="D4311" s="5" t="s">
        <v>86</v>
      </c>
      <c r="E4311" s="5" t="s">
        <v>135</v>
      </c>
      <c r="F4311" s="9">
        <v>71</v>
      </c>
      <c r="G4311" s="9">
        <v>758</v>
      </c>
      <c r="H4311" s="5" t="s">
        <v>20</v>
      </c>
      <c r="I4311" s="5" t="s">
        <v>9942</v>
      </c>
      <c r="J4311" s="12" t="str">
        <f>HYPERLINK("https://www.boe.es/gazeta/dias/1805/09/03/pdfs/GMD-1805-71.pdf#page=10","Abrir facsímil")</f>
        <v>Abrir facsímil</v>
      </c>
      <c r="K4311" s="15" t="s">
        <v>22</v>
      </c>
    </row>
    <row r="4312" spans="1:11" ht="42" customHeight="1">
      <c r="A4312" s="4" t="s">
        <v>9943</v>
      </c>
      <c r="B4312" s="5" t="s">
        <v>9944</v>
      </c>
      <c r="C4312" s="5" t="s">
        <v>80</v>
      </c>
      <c r="D4312" s="5" t="s">
        <v>81</v>
      </c>
      <c r="E4312" s="5" t="s">
        <v>67</v>
      </c>
      <c r="F4312" s="9">
        <v>98</v>
      </c>
      <c r="G4312" s="9">
        <v>1054</v>
      </c>
      <c r="H4312" s="5" t="s">
        <v>20</v>
      </c>
      <c r="I4312" s="5" t="s">
        <v>9945</v>
      </c>
      <c r="J4312" s="12" t="str">
        <f>HYPERLINK("https://www.boe.es/gazeta/dias/1805/12/06/pdfs/GMD-1805-98.pdf#page=6","Abrir facsímil")</f>
        <v>Abrir facsímil</v>
      </c>
      <c r="K4312" s="15" t="s">
        <v>22</v>
      </c>
    </row>
    <row r="4313" spans="1:11" ht="42" customHeight="1">
      <c r="A4313" s="4" t="s">
        <v>9946</v>
      </c>
      <c r="B4313" s="5" t="s">
        <v>9947</v>
      </c>
      <c r="C4313" s="5" t="s">
        <v>29</v>
      </c>
      <c r="D4313" s="5" t="s">
        <v>30</v>
      </c>
      <c r="E4313" s="5" t="s">
        <v>67</v>
      </c>
      <c r="F4313" s="9">
        <v>98</v>
      </c>
      <c r="G4313" s="9">
        <v>1054</v>
      </c>
      <c r="H4313" s="5" t="s">
        <v>20</v>
      </c>
      <c r="I4313" s="5" t="s">
        <v>9948</v>
      </c>
      <c r="J4313" s="12" t="str">
        <f>HYPERLINK("https://www.boe.es/gazeta/dias/1805/12/06/pdfs/GMD-1805-98.pdf#page=6","Abrir facsímil")</f>
        <v>Abrir facsímil</v>
      </c>
      <c r="K4313" s="15" t="s">
        <v>22</v>
      </c>
    </row>
    <row r="4314" spans="1:11" ht="42" customHeight="1">
      <c r="A4314" s="4" t="s">
        <v>9949</v>
      </c>
      <c r="B4314" s="5" t="s">
        <v>9950</v>
      </c>
      <c r="C4314" s="5" t="s">
        <v>35</v>
      </c>
      <c r="D4314" s="5" t="s">
        <v>36</v>
      </c>
      <c r="E4314" s="5" t="s">
        <v>215</v>
      </c>
      <c r="F4314" s="9">
        <v>87</v>
      </c>
      <c r="G4314" s="9">
        <v>922</v>
      </c>
      <c r="H4314" s="5" t="s">
        <v>20</v>
      </c>
      <c r="I4314" s="5" t="s">
        <v>9951</v>
      </c>
      <c r="J4314" s="12" t="str">
        <f>HYPERLINK("https://www.boe.es/gazeta/dias/1805/10/29/pdfs/GMD-1805-87.pdf#page=6","Abrir facsímil")</f>
        <v>Abrir facsímil</v>
      </c>
      <c r="K4314" s="15" t="s">
        <v>22</v>
      </c>
    </row>
    <row r="4315" spans="1:11" ht="42" customHeight="1">
      <c r="A4315" s="4" t="s">
        <v>9952</v>
      </c>
      <c r="B4315" s="5" t="s">
        <v>9953</v>
      </c>
      <c r="C4315" s="5" t="s">
        <v>80</v>
      </c>
      <c r="D4315" s="5" t="s">
        <v>81</v>
      </c>
      <c r="E4315" s="5" t="s">
        <v>192</v>
      </c>
      <c r="F4315" s="9">
        <v>105</v>
      </c>
      <c r="G4315" s="9">
        <v>1135</v>
      </c>
      <c r="H4315" s="5" t="s">
        <v>20</v>
      </c>
      <c r="I4315" s="5" t="s">
        <v>9954</v>
      </c>
      <c r="J4315" s="12" t="str">
        <f>HYPERLINK("https://www.boe.es/gazeta/dias/1805/12/31/pdfs/GMD-1805-105.pdf#page=7","Abrir facsímil")</f>
        <v>Abrir facsímil</v>
      </c>
      <c r="K4315" s="15" t="s">
        <v>22</v>
      </c>
    </row>
    <row r="4316" spans="1:11" ht="42" customHeight="1">
      <c r="A4316" s="4" t="s">
        <v>9955</v>
      </c>
      <c r="B4316" s="5" t="s">
        <v>9956</v>
      </c>
      <c r="C4316" s="5" t="s">
        <v>35</v>
      </c>
      <c r="D4316" s="5" t="s">
        <v>36</v>
      </c>
      <c r="E4316" s="5" t="s">
        <v>44</v>
      </c>
      <c r="F4316" s="9">
        <v>29</v>
      </c>
      <c r="G4316" s="9">
        <v>313</v>
      </c>
      <c r="H4316" s="5" t="s">
        <v>20</v>
      </c>
      <c r="I4316" s="5" t="s">
        <v>9957</v>
      </c>
      <c r="J4316" s="12" t="str">
        <f>HYPERLINK("https://www.boe.es/gazeta/dias/1805/04/09/pdfs/GMD-1805-29.pdf#page=9","Abrir facsímil")</f>
        <v>Abrir facsímil</v>
      </c>
      <c r="K4316" s="15" t="s">
        <v>22</v>
      </c>
    </row>
    <row r="4317" spans="1:11" ht="42" customHeight="1">
      <c r="A4317" s="4" t="s">
        <v>9958</v>
      </c>
      <c r="B4317" s="5" t="s">
        <v>9959</v>
      </c>
      <c r="C4317" s="5" t="s">
        <v>17</v>
      </c>
      <c r="D4317" s="5" t="s">
        <v>18</v>
      </c>
      <c r="E4317" s="5" t="s">
        <v>76</v>
      </c>
      <c r="F4317" s="9">
        <v>66</v>
      </c>
      <c r="G4317" s="9">
        <v>707</v>
      </c>
      <c r="H4317" s="5" t="s">
        <v>20</v>
      </c>
      <c r="I4317" s="5" t="s">
        <v>9960</v>
      </c>
      <c r="J4317" s="12" t="str">
        <f>HYPERLINK("https://www.boe.es/gazeta/dias/1805/08/16/pdfs/GMD-1805-66.pdf#page=7","Abrir facsímil")</f>
        <v>Abrir facsímil</v>
      </c>
      <c r="K4317" s="15" t="s">
        <v>22</v>
      </c>
    </row>
    <row r="4318" spans="1:11" ht="42" customHeight="1">
      <c r="A4318" s="4" t="s">
        <v>9961</v>
      </c>
      <c r="B4318" s="5" t="s">
        <v>9962</v>
      </c>
      <c r="C4318" s="5" t="s">
        <v>35</v>
      </c>
      <c r="D4318" s="5" t="s">
        <v>36</v>
      </c>
      <c r="E4318" s="5" t="s">
        <v>24</v>
      </c>
      <c r="F4318" s="9">
        <v>11</v>
      </c>
      <c r="G4318" s="9">
        <v>121</v>
      </c>
      <c r="H4318" s="5" t="s">
        <v>20</v>
      </c>
      <c r="I4318" s="5" t="s">
        <v>9963</v>
      </c>
      <c r="J4318" s="12" t="str">
        <f>HYPERLINK("https://www.boe.es/gazeta/dias/1805/02/05/pdfs/GMD-1805-11.pdf#page=9","Abrir facsímil")</f>
        <v>Abrir facsímil</v>
      </c>
      <c r="K4318" s="15" t="s">
        <v>22</v>
      </c>
    </row>
    <row r="4319" spans="1:11" ht="42" customHeight="1">
      <c r="A4319" s="4" t="s">
        <v>9964</v>
      </c>
      <c r="B4319" s="5" t="s">
        <v>9965</v>
      </c>
      <c r="C4319" s="5" t="s">
        <v>35</v>
      </c>
      <c r="D4319" s="5" t="s">
        <v>36</v>
      </c>
      <c r="E4319" s="5" t="s">
        <v>789</v>
      </c>
      <c r="F4319" s="9">
        <v>104</v>
      </c>
      <c r="G4319" s="9">
        <v>1125</v>
      </c>
      <c r="H4319" s="5" t="s">
        <v>20</v>
      </c>
      <c r="I4319" s="5" t="s">
        <v>9966</v>
      </c>
      <c r="J4319" s="12" t="str">
        <f>HYPERLINK("https://www.boe.es/gazeta/dias/1805/12/27/pdfs/GMD-1805-104.pdf#page=9","Abrir facsímil")</f>
        <v>Abrir facsímil</v>
      </c>
      <c r="K4319" s="15" t="s">
        <v>22</v>
      </c>
    </row>
    <row r="4320" spans="1:11" ht="42" customHeight="1">
      <c r="A4320" s="4" t="s">
        <v>9967</v>
      </c>
      <c r="B4320" s="5" t="s">
        <v>9968</v>
      </c>
      <c r="C4320" s="5" t="s">
        <v>17</v>
      </c>
      <c r="D4320" s="5" t="s">
        <v>18</v>
      </c>
      <c r="E4320" s="5" t="s">
        <v>300</v>
      </c>
      <c r="F4320" s="9">
        <v>81</v>
      </c>
      <c r="G4320" s="9">
        <v>858</v>
      </c>
      <c r="H4320" s="5" t="s">
        <v>20</v>
      </c>
      <c r="I4320" s="5" t="s">
        <v>9969</v>
      </c>
      <c r="J4320" s="12" t="str">
        <f>HYPERLINK("https://www.boe.es/gazeta/dias/1805/10/08/pdfs/GMD-1805-81.pdf#page=6","Abrir facsímil")</f>
        <v>Abrir facsímil</v>
      </c>
      <c r="K4320" s="15" t="s">
        <v>22</v>
      </c>
    </row>
    <row r="4321" spans="1:11" ht="42" customHeight="1">
      <c r="A4321" s="4" t="s">
        <v>9970</v>
      </c>
      <c r="B4321" s="5" t="s">
        <v>9971</v>
      </c>
      <c r="C4321" s="5" t="s">
        <v>35</v>
      </c>
      <c r="D4321" s="5" t="s">
        <v>36</v>
      </c>
      <c r="E4321" s="5" t="s">
        <v>132</v>
      </c>
      <c r="F4321" s="9">
        <v>2</v>
      </c>
      <c r="G4321" s="9">
        <v>21</v>
      </c>
      <c r="H4321" s="5" t="s">
        <v>20</v>
      </c>
      <c r="I4321" s="5" t="s">
        <v>9972</v>
      </c>
      <c r="J4321" s="12" t="str">
        <f>HYPERLINK("https://www.boe.es/gazeta/dias/1805/01/04/pdfs/GMD-1805-2.pdf#page=9","Abrir facsímil")</f>
        <v>Abrir facsímil</v>
      </c>
      <c r="K4321" s="15" t="s">
        <v>22</v>
      </c>
    </row>
    <row r="4322" spans="1:11" ht="42" customHeight="1">
      <c r="A4322" s="4" t="s">
        <v>9973</v>
      </c>
      <c r="B4322" s="5" t="s">
        <v>9974</v>
      </c>
      <c r="C4322" s="5" t="s">
        <v>17</v>
      </c>
      <c r="D4322" s="5" t="s">
        <v>18</v>
      </c>
      <c r="E4322" s="5" t="s">
        <v>226</v>
      </c>
      <c r="F4322" s="9">
        <v>73</v>
      </c>
      <c r="G4322" s="9">
        <v>776</v>
      </c>
      <c r="H4322" s="5" t="s">
        <v>20</v>
      </c>
      <c r="I4322" s="5" t="s">
        <v>9975</v>
      </c>
      <c r="J4322" s="12" t="str">
        <f>HYPERLINK("https://www.boe.es/gazeta/dias/1805/09/10/pdfs/GMD-1805-73.pdf#page=8","Abrir facsímil")</f>
        <v>Abrir facsímil</v>
      </c>
      <c r="K4322" s="15" t="s">
        <v>22</v>
      </c>
    </row>
    <row r="4323" spans="1:11" ht="42" customHeight="1">
      <c r="A4323" s="4" t="s">
        <v>9976</v>
      </c>
      <c r="B4323" s="5" t="s">
        <v>9976</v>
      </c>
      <c r="C4323" s="5" t="s">
        <v>35</v>
      </c>
      <c r="D4323" s="5" t="s">
        <v>36</v>
      </c>
      <c r="E4323" s="5" t="s">
        <v>363</v>
      </c>
      <c r="F4323" s="9">
        <v>1</v>
      </c>
      <c r="G4323" s="9">
        <v>4</v>
      </c>
      <c r="H4323" s="5" t="s">
        <v>20</v>
      </c>
      <c r="I4323" s="5" t="s">
        <v>9977</v>
      </c>
      <c r="J4323" s="12" t="str">
        <f>HYPERLINK("https://www.boe.es/gazeta/dias/1805/01/01/pdfs/GMD-1805-1.pdf#page=4","Abrir facsímil")</f>
        <v>Abrir facsímil</v>
      </c>
      <c r="K4323" s="15" t="s">
        <v>22</v>
      </c>
    </row>
    <row r="4324" spans="1:11" ht="42" customHeight="1">
      <c r="A4324" s="4" t="s">
        <v>9978</v>
      </c>
      <c r="B4324" s="5" t="s">
        <v>9979</v>
      </c>
      <c r="C4324" s="5" t="s">
        <v>17</v>
      </c>
      <c r="D4324" s="5" t="s">
        <v>18</v>
      </c>
      <c r="E4324" s="5" t="s">
        <v>352</v>
      </c>
      <c r="F4324" s="9">
        <v>60</v>
      </c>
      <c r="G4324" s="9">
        <v>646</v>
      </c>
      <c r="H4324" s="5" t="s">
        <v>20</v>
      </c>
      <c r="I4324" s="5" t="s">
        <v>9980</v>
      </c>
      <c r="J4324" s="12" t="str">
        <f>HYPERLINK("https://www.boe.es/gazeta/dias/1805/07/26/pdfs/GMD-1805-60.pdf#page=10","Abrir facsímil")</f>
        <v>Abrir facsímil</v>
      </c>
      <c r="K4324" s="15" t="s">
        <v>22</v>
      </c>
    </row>
    <row r="4325" spans="1:11" ht="42" customHeight="1">
      <c r="A4325" s="4" t="s">
        <v>9981</v>
      </c>
      <c r="B4325" s="5" t="s">
        <v>9982</v>
      </c>
      <c r="C4325" s="5" t="s">
        <v>80</v>
      </c>
      <c r="D4325" s="5" t="s">
        <v>81</v>
      </c>
      <c r="E4325" s="5" t="s">
        <v>67</v>
      </c>
      <c r="F4325" s="9">
        <v>98</v>
      </c>
      <c r="G4325" s="9">
        <v>1050</v>
      </c>
      <c r="H4325" s="5" t="s">
        <v>20</v>
      </c>
      <c r="I4325" s="5" t="s">
        <v>9983</v>
      </c>
      <c r="J4325" s="12" t="str">
        <f>HYPERLINK("https://www.boe.es/gazeta/dias/1805/12/06/pdfs/GMD-1805-98.pdf#page=2","Abrir facsímil")</f>
        <v>Abrir facsímil</v>
      </c>
      <c r="K4325" s="15" t="s">
        <v>22</v>
      </c>
    </row>
    <row r="4326" spans="1:11" ht="42" customHeight="1">
      <c r="A4326" s="4" t="s">
        <v>9984</v>
      </c>
      <c r="B4326" s="5" t="s">
        <v>9985</v>
      </c>
      <c r="C4326" s="5" t="s">
        <v>80</v>
      </c>
      <c r="D4326" s="5" t="s">
        <v>81</v>
      </c>
      <c r="E4326" s="5" t="s">
        <v>539</v>
      </c>
      <c r="F4326" s="9">
        <v>97</v>
      </c>
      <c r="G4326" s="9">
        <v>1041</v>
      </c>
      <c r="H4326" s="5" t="s">
        <v>20</v>
      </c>
      <c r="I4326" s="5" t="s">
        <v>9986</v>
      </c>
      <c r="J4326" s="12" t="str">
        <f>HYPERLINK("https://www.boe.es/gazeta/dias/1805/12/03/pdfs/GMD-1805-97.pdf#page=5","Abrir facsímil")</f>
        <v>Abrir facsímil</v>
      </c>
      <c r="K4326" s="15" t="s">
        <v>22</v>
      </c>
    </row>
    <row r="4327" spans="1:11" ht="42" customHeight="1">
      <c r="A4327" s="4" t="s">
        <v>9987</v>
      </c>
      <c r="B4327" s="5" t="s">
        <v>9988</v>
      </c>
      <c r="C4327" s="5" t="s">
        <v>80</v>
      </c>
      <c r="D4327" s="5" t="s">
        <v>81</v>
      </c>
      <c r="E4327" s="5" t="s">
        <v>789</v>
      </c>
      <c r="F4327" s="9">
        <v>104</v>
      </c>
      <c r="G4327" s="9">
        <v>1126</v>
      </c>
      <c r="H4327" s="5" t="s">
        <v>20</v>
      </c>
      <c r="I4327" s="5" t="s">
        <v>9989</v>
      </c>
      <c r="J4327" s="12" t="str">
        <f>HYPERLINK("https://www.boe.es/gazeta/dias/1805/12/27/pdfs/GMD-1805-104.pdf#page=10","Abrir facsímil")</f>
        <v>Abrir facsímil</v>
      </c>
      <c r="K4327" s="15" t="s">
        <v>22</v>
      </c>
    </row>
    <row r="4328" spans="1:11" ht="42" customHeight="1">
      <c r="A4328" s="4" t="s">
        <v>9990</v>
      </c>
      <c r="B4328" s="5" t="s">
        <v>9991</v>
      </c>
      <c r="C4328" s="5" t="s">
        <v>29</v>
      </c>
      <c r="D4328" s="5" t="s">
        <v>30</v>
      </c>
      <c r="E4328" s="5" t="s">
        <v>958</v>
      </c>
      <c r="F4328" s="9">
        <v>58</v>
      </c>
      <c r="G4328" s="9">
        <v>623</v>
      </c>
      <c r="H4328" s="5" t="s">
        <v>20</v>
      </c>
      <c r="I4328" s="5" t="s">
        <v>9992</v>
      </c>
      <c r="J4328" s="12" t="str">
        <f>HYPERLINK("https://www.boe.es/gazeta/dias/1805/07/19/pdfs/GMD-1805-58.pdf#page=7","Abrir facsímil")</f>
        <v>Abrir facsímil</v>
      </c>
      <c r="K4328" s="15" t="s">
        <v>22</v>
      </c>
    </row>
    <row r="4329" spans="1:11" ht="42" customHeight="1">
      <c r="A4329" s="4" t="s">
        <v>9993</v>
      </c>
      <c r="B4329" s="5" t="s">
        <v>9994</v>
      </c>
      <c r="C4329" s="5" t="s">
        <v>17</v>
      </c>
      <c r="D4329" s="5" t="s">
        <v>18</v>
      </c>
      <c r="E4329" s="5" t="s">
        <v>128</v>
      </c>
      <c r="F4329" s="9">
        <v>23</v>
      </c>
      <c r="G4329" s="9">
        <v>239</v>
      </c>
      <c r="H4329" s="5" t="s">
        <v>20</v>
      </c>
      <c r="I4329" s="5" t="s">
        <v>9995</v>
      </c>
      <c r="J4329" s="12" t="str">
        <f>HYPERLINK("https://www.boe.es/gazeta/dias/1805/03/19/pdfs/GMD-1805-23.pdf#page=3","Abrir facsímil")</f>
        <v>Abrir facsímil</v>
      </c>
      <c r="K4329" s="15" t="s">
        <v>22</v>
      </c>
    </row>
    <row r="4330" spans="1:11" ht="42" customHeight="1">
      <c r="A4330" s="4" t="s">
        <v>9993</v>
      </c>
      <c r="B4330" s="5" t="s">
        <v>9994</v>
      </c>
      <c r="C4330" s="5" t="s">
        <v>35</v>
      </c>
      <c r="D4330" s="5" t="s">
        <v>36</v>
      </c>
      <c r="E4330" s="5" t="s">
        <v>1221</v>
      </c>
      <c r="F4330" s="9">
        <v>41</v>
      </c>
      <c r="G4330" s="9">
        <v>437</v>
      </c>
      <c r="H4330" s="5" t="s">
        <v>20</v>
      </c>
      <c r="I4330" s="5" t="s">
        <v>9996</v>
      </c>
      <c r="J4330" s="12" t="str">
        <f>HYPERLINK("https://www.boe.es/gazeta/dias/1805/05/21/pdfs/GMD-1805-41.pdf#page=5","Abrir facsímil")</f>
        <v>Abrir facsímil</v>
      </c>
      <c r="K4330" s="15" t="s">
        <v>22</v>
      </c>
    </row>
    <row r="4331" spans="1:11" ht="42" customHeight="1">
      <c r="A4331" s="4" t="s">
        <v>9993</v>
      </c>
      <c r="B4331" s="5" t="s">
        <v>9994</v>
      </c>
      <c r="C4331" s="5" t="s">
        <v>80</v>
      </c>
      <c r="D4331" s="5" t="s">
        <v>81</v>
      </c>
      <c r="E4331" s="5" t="s">
        <v>1221</v>
      </c>
      <c r="F4331" s="9">
        <v>41</v>
      </c>
      <c r="G4331" s="9">
        <v>438</v>
      </c>
      <c r="H4331" s="5" t="s">
        <v>20</v>
      </c>
      <c r="I4331" s="5" t="s">
        <v>9997</v>
      </c>
      <c r="J4331" s="12" t="str">
        <f>HYPERLINK("https://www.boe.es/gazeta/dias/1805/05/21/pdfs/GMD-1805-41.pdf#page=6","Abrir facsímil")</f>
        <v>Abrir facsímil</v>
      </c>
      <c r="K4331" s="15" t="s">
        <v>22</v>
      </c>
    </row>
    <row r="4332" spans="1:11" ht="42" customHeight="1">
      <c r="A4332" s="4" t="s">
        <v>9998</v>
      </c>
      <c r="B4332" s="5" t="s">
        <v>9999</v>
      </c>
      <c r="C4332" s="5" t="s">
        <v>35</v>
      </c>
      <c r="D4332" s="5" t="s">
        <v>36</v>
      </c>
      <c r="E4332" s="5" t="s">
        <v>733</v>
      </c>
      <c r="F4332" s="9">
        <v>45</v>
      </c>
      <c r="G4332" s="9">
        <v>480</v>
      </c>
      <c r="H4332" s="5" t="s">
        <v>20</v>
      </c>
      <c r="I4332" s="5" t="s">
        <v>10000</v>
      </c>
      <c r="J4332" s="12" t="str">
        <f>HYPERLINK("https://www.boe.es/gazeta/dias/1805/06/04/pdfs/GMD-1805-45.pdf#page=4","Abrir facsímil")</f>
        <v>Abrir facsímil</v>
      </c>
      <c r="K4332" s="15" t="s">
        <v>22</v>
      </c>
    </row>
    <row r="4333" spans="1:11" ht="42" customHeight="1">
      <c r="A4333" s="4" t="s">
        <v>10001</v>
      </c>
      <c r="B4333" s="5" t="s">
        <v>10002</v>
      </c>
      <c r="C4333" s="5" t="s">
        <v>80</v>
      </c>
      <c r="D4333" s="5" t="s">
        <v>81</v>
      </c>
      <c r="E4333" s="5" t="s">
        <v>831</v>
      </c>
      <c r="F4333" s="9">
        <v>62</v>
      </c>
      <c r="G4333" s="9">
        <v>659</v>
      </c>
      <c r="H4333" s="5" t="s">
        <v>20</v>
      </c>
      <c r="I4333" s="5" t="s">
        <v>10003</v>
      </c>
      <c r="J4333" s="12" t="str">
        <f>HYPERLINK("https://www.boe.es/gazeta/dias/1805/08/02/pdfs/GMD-1805-62.pdf#page=3","Abrir facsímil")</f>
        <v>Abrir facsímil</v>
      </c>
      <c r="K4333" s="15" t="s">
        <v>22</v>
      </c>
    </row>
    <row r="4334" spans="1:11" ht="42" customHeight="1">
      <c r="A4334" s="4" t="s">
        <v>10004</v>
      </c>
      <c r="B4334" s="5" t="s">
        <v>10005</v>
      </c>
      <c r="C4334" s="5" t="s">
        <v>80</v>
      </c>
      <c r="D4334" s="5" t="s">
        <v>81</v>
      </c>
      <c r="E4334" s="5" t="s">
        <v>48</v>
      </c>
      <c r="F4334" s="9">
        <v>35</v>
      </c>
      <c r="G4334" s="9">
        <v>373</v>
      </c>
      <c r="H4334" s="5" t="s">
        <v>20</v>
      </c>
      <c r="I4334" s="5" t="s">
        <v>10006</v>
      </c>
      <c r="J4334" s="12" t="str">
        <f>HYPERLINK("https://www.boe.es/gazeta/dias/1805/04/30/pdfs/GMD-1805-35.pdf#page=5","Abrir facsímil")</f>
        <v>Abrir facsímil</v>
      </c>
      <c r="K4334" s="15" t="s">
        <v>22</v>
      </c>
    </row>
    <row r="4335" spans="1:11" ht="42" customHeight="1">
      <c r="A4335" s="4" t="s">
        <v>10007</v>
      </c>
      <c r="B4335" s="5" t="s">
        <v>10008</v>
      </c>
      <c r="C4335" s="5" t="s">
        <v>35</v>
      </c>
      <c r="D4335" s="5" t="s">
        <v>36</v>
      </c>
      <c r="E4335" s="5" t="s">
        <v>67</v>
      </c>
      <c r="F4335" s="9">
        <v>98</v>
      </c>
      <c r="G4335" s="9">
        <v>1058</v>
      </c>
      <c r="H4335" s="5" t="s">
        <v>20</v>
      </c>
      <c r="I4335" s="5" t="s">
        <v>10009</v>
      </c>
      <c r="J4335" s="12" t="str">
        <f>HYPERLINK("https://www.boe.es/gazeta/dias/1805/12/06/pdfs/GMD-1805-98.pdf#page=10","Abrir facsímil")</f>
        <v>Abrir facsímil</v>
      </c>
      <c r="K4335" s="15" t="s">
        <v>22</v>
      </c>
    </row>
    <row r="4336" spans="1:11" ht="42" customHeight="1">
      <c r="A4336" s="4" t="s">
        <v>10010</v>
      </c>
      <c r="B4336" s="5" t="s">
        <v>10011</v>
      </c>
      <c r="C4336" s="5" t="s">
        <v>35</v>
      </c>
      <c r="D4336" s="5" t="s">
        <v>36</v>
      </c>
      <c r="E4336" s="5" t="s">
        <v>59</v>
      </c>
      <c r="F4336" s="9">
        <v>21</v>
      </c>
      <c r="G4336" s="9">
        <v>221</v>
      </c>
      <c r="H4336" s="5" t="s">
        <v>20</v>
      </c>
      <c r="I4336" s="5" t="s">
        <v>10012</v>
      </c>
      <c r="J4336" s="12" t="str">
        <f>HYPERLINK("https://www.boe.es/gazeta/dias/1805/03/12/pdfs/GMD-1805-21.pdf#page=9","Abrir facsímil")</f>
        <v>Abrir facsímil</v>
      </c>
      <c r="K4336" s="15" t="s">
        <v>22</v>
      </c>
    </row>
    <row r="4337" spans="1:11" ht="42" customHeight="1">
      <c r="A4337" s="4" t="s">
        <v>10013</v>
      </c>
      <c r="B4337" s="5" t="s">
        <v>10014</v>
      </c>
      <c r="C4337" s="5" t="s">
        <v>35</v>
      </c>
      <c r="D4337" s="5" t="s">
        <v>36</v>
      </c>
      <c r="E4337" s="5" t="s">
        <v>192</v>
      </c>
      <c r="F4337" s="9">
        <v>105</v>
      </c>
      <c r="G4337" s="9">
        <v>1138</v>
      </c>
      <c r="H4337" s="5" t="s">
        <v>20</v>
      </c>
      <c r="I4337" s="5" t="s">
        <v>10015</v>
      </c>
      <c r="J4337" s="12" t="str">
        <f>HYPERLINK("https://www.boe.es/gazeta/dias/1805/12/31/pdfs/GMD-1805-105.pdf#page=10","Abrir facsímil")</f>
        <v>Abrir facsímil</v>
      </c>
      <c r="K4337" s="15" t="s">
        <v>22</v>
      </c>
    </row>
    <row r="4338" spans="1:11" ht="42" customHeight="1">
      <c r="A4338" s="4" t="s">
        <v>10016</v>
      </c>
      <c r="B4338" s="5" t="s">
        <v>10017</v>
      </c>
      <c r="C4338" s="5" t="s">
        <v>85</v>
      </c>
      <c r="D4338" s="5" t="s">
        <v>86</v>
      </c>
      <c r="E4338" s="5" t="s">
        <v>399</v>
      </c>
      <c r="F4338" s="9">
        <v>39</v>
      </c>
      <c r="G4338" s="9">
        <v>421</v>
      </c>
      <c r="H4338" s="5" t="s">
        <v>20</v>
      </c>
      <c r="I4338" s="5" t="s">
        <v>10018</v>
      </c>
      <c r="J4338" s="12" t="str">
        <f>HYPERLINK("https://www.boe.es/gazeta/dias/1805/05/14/pdfs/GMD-1805-39.pdf#page=9","Abrir facsímil")</f>
        <v>Abrir facsímil</v>
      </c>
      <c r="K4338" s="15" t="s">
        <v>22</v>
      </c>
    </row>
    <row r="4339" spans="1:11" ht="42" customHeight="1">
      <c r="A4339" s="4" t="s">
        <v>10019</v>
      </c>
      <c r="B4339" s="5" t="s">
        <v>10020</v>
      </c>
      <c r="C4339" s="5" t="s">
        <v>35</v>
      </c>
      <c r="D4339" s="5" t="s">
        <v>36</v>
      </c>
      <c r="E4339" s="5" t="s">
        <v>71</v>
      </c>
      <c r="F4339" s="9">
        <v>33</v>
      </c>
      <c r="G4339" s="9">
        <v>351</v>
      </c>
      <c r="H4339" s="5" t="s">
        <v>20</v>
      </c>
      <c r="I4339" s="5" t="s">
        <v>10021</v>
      </c>
      <c r="J4339" s="12" t="str">
        <f>HYPERLINK("https://www.boe.es/gazeta/dias/1805/04/23/pdfs/GMD-1805-33.pdf#page=7","Abrir facsímil")</f>
        <v>Abrir facsímil</v>
      </c>
      <c r="K4339" s="15" t="s">
        <v>22</v>
      </c>
    </row>
    <row r="4340" spans="1:11" ht="42" customHeight="1">
      <c r="A4340" s="4" t="s">
        <v>10022</v>
      </c>
      <c r="B4340" s="5" t="s">
        <v>10023</v>
      </c>
      <c r="C4340" s="5" t="s">
        <v>80</v>
      </c>
      <c r="D4340" s="5" t="s">
        <v>81</v>
      </c>
      <c r="E4340" s="5" t="s">
        <v>37</v>
      </c>
      <c r="F4340" s="9">
        <v>54</v>
      </c>
      <c r="G4340" s="9">
        <v>575</v>
      </c>
      <c r="H4340" s="5" t="s">
        <v>20</v>
      </c>
      <c r="I4340" s="5" t="s">
        <v>10024</v>
      </c>
      <c r="J4340" s="12" t="str">
        <f>HYPERLINK("https://www.boe.es/gazeta/dias/1805/07/05/pdfs/GMD-1805-54.pdf#page=3","Abrir facsímil")</f>
        <v>Abrir facsímil</v>
      </c>
      <c r="K4340" s="15" t="s">
        <v>22</v>
      </c>
    </row>
    <row r="4341" spans="1:11" ht="42" customHeight="1">
      <c r="A4341" s="4" t="s">
        <v>10025</v>
      </c>
      <c r="B4341" s="5" t="s">
        <v>10026</v>
      </c>
      <c r="C4341" s="5" t="s">
        <v>35</v>
      </c>
      <c r="D4341" s="5" t="s">
        <v>36</v>
      </c>
      <c r="E4341" s="5" t="s">
        <v>399</v>
      </c>
      <c r="F4341" s="9">
        <v>39</v>
      </c>
      <c r="G4341" s="9">
        <v>416</v>
      </c>
      <c r="H4341" s="5" t="s">
        <v>20</v>
      </c>
      <c r="I4341" s="5" t="s">
        <v>10027</v>
      </c>
      <c r="J4341" s="12" t="str">
        <f>HYPERLINK("https://www.boe.es/gazeta/dias/1805/05/14/pdfs/GMD-1805-39.pdf#page=4","Abrir facsímil")</f>
        <v>Abrir facsímil</v>
      </c>
      <c r="K4341" s="15" t="s">
        <v>22</v>
      </c>
    </row>
    <row r="4342" spans="1:11" ht="42" customHeight="1">
      <c r="A4342" s="4" t="s">
        <v>10028</v>
      </c>
      <c r="B4342" s="5" t="s">
        <v>10029</v>
      </c>
      <c r="C4342" s="5" t="s">
        <v>80</v>
      </c>
      <c r="D4342" s="5" t="s">
        <v>81</v>
      </c>
      <c r="E4342" s="5" t="s">
        <v>286</v>
      </c>
      <c r="F4342" s="9">
        <v>48</v>
      </c>
      <c r="G4342" s="9">
        <v>516</v>
      </c>
      <c r="H4342" s="5" t="s">
        <v>20</v>
      </c>
      <c r="I4342" s="5" t="s">
        <v>10030</v>
      </c>
      <c r="J4342" s="12" t="str">
        <f>HYPERLINK("https://www.boe.es/gazeta/dias/1805/06/14/pdfs/GMD-1805-48.pdf#page=4","Abrir facsímil")</f>
        <v>Abrir facsímil</v>
      </c>
      <c r="K4342" s="15" t="s">
        <v>22</v>
      </c>
    </row>
    <row r="4343" spans="1:11" ht="42" customHeight="1">
      <c r="A4343" s="4" t="s">
        <v>10031</v>
      </c>
      <c r="B4343" s="5" t="s">
        <v>10032</v>
      </c>
      <c r="C4343" s="5" t="s">
        <v>80</v>
      </c>
      <c r="D4343" s="5" t="s">
        <v>81</v>
      </c>
      <c r="E4343" s="5" t="s">
        <v>37</v>
      </c>
      <c r="F4343" s="9">
        <v>54</v>
      </c>
      <c r="G4343" s="9">
        <v>575</v>
      </c>
      <c r="H4343" s="5" t="s">
        <v>20</v>
      </c>
      <c r="I4343" s="5" t="s">
        <v>10033</v>
      </c>
      <c r="J4343" s="12" t="str">
        <f>HYPERLINK("https://www.boe.es/gazeta/dias/1805/07/05/pdfs/GMD-1805-54.pdf#page=3","Abrir facsímil")</f>
        <v>Abrir facsímil</v>
      </c>
      <c r="K4343" s="15" t="s">
        <v>22</v>
      </c>
    </row>
    <row r="4344" spans="1:11" ht="42" customHeight="1">
      <c r="A4344" s="4" t="s">
        <v>10031</v>
      </c>
      <c r="B4344" s="5" t="s">
        <v>10032</v>
      </c>
      <c r="C4344" s="5" t="s">
        <v>35</v>
      </c>
      <c r="D4344" s="5" t="s">
        <v>36</v>
      </c>
      <c r="E4344" s="5" t="s">
        <v>37</v>
      </c>
      <c r="F4344" s="9">
        <v>54</v>
      </c>
      <c r="G4344" s="9">
        <v>576</v>
      </c>
      <c r="H4344" s="5" t="s">
        <v>20</v>
      </c>
      <c r="I4344" s="5" t="s">
        <v>10034</v>
      </c>
      <c r="J4344" s="12" t="str">
        <f>HYPERLINK("https://www.boe.es/gazeta/dias/1805/07/05/pdfs/GMD-1805-54.pdf#page=4","Abrir facsímil")</f>
        <v>Abrir facsímil</v>
      </c>
      <c r="K4344" s="15" t="s">
        <v>22</v>
      </c>
    </row>
    <row r="4345" spans="1:11" ht="42" customHeight="1">
      <c r="A4345" s="4" t="s">
        <v>10035</v>
      </c>
      <c r="B4345" s="5" t="s">
        <v>10036</v>
      </c>
      <c r="C4345" s="5" t="s">
        <v>184</v>
      </c>
      <c r="D4345" s="5" t="s">
        <v>86</v>
      </c>
      <c r="E4345" s="5" t="s">
        <v>95</v>
      </c>
      <c r="F4345" s="9">
        <v>13</v>
      </c>
      <c r="G4345" s="9">
        <v>135</v>
      </c>
      <c r="H4345" s="5" t="s">
        <v>20</v>
      </c>
      <c r="I4345" s="5" t="s">
        <v>10037</v>
      </c>
      <c r="J4345" s="12" t="str">
        <f>HYPERLINK("https://www.boe.es/gazeta/dias/1805/02/12/pdfs/GMD-1805-13.pdf#page=3","Abrir facsímil")</f>
        <v>Abrir facsímil</v>
      </c>
      <c r="K4345" s="15" t="s">
        <v>22</v>
      </c>
    </row>
    <row r="4346" spans="1:11" ht="42" customHeight="1">
      <c r="A4346" s="4" t="s">
        <v>10035</v>
      </c>
      <c r="B4346" s="5" t="s">
        <v>10036</v>
      </c>
      <c r="C4346" s="5" t="s">
        <v>80</v>
      </c>
      <c r="D4346" s="5" t="s">
        <v>81</v>
      </c>
      <c r="E4346" s="5" t="s">
        <v>48</v>
      </c>
      <c r="F4346" s="9">
        <v>35</v>
      </c>
      <c r="G4346" s="9">
        <v>373</v>
      </c>
      <c r="H4346" s="5" t="s">
        <v>20</v>
      </c>
      <c r="I4346" s="5" t="s">
        <v>10038</v>
      </c>
      <c r="J4346" s="12" t="str">
        <f>HYPERLINK("https://www.boe.es/gazeta/dias/1805/04/30/pdfs/GMD-1805-35.pdf#page=5","Abrir facsímil")</f>
        <v>Abrir facsímil</v>
      </c>
      <c r="K4346" s="15" t="s">
        <v>22</v>
      </c>
    </row>
    <row r="4347" spans="1:11" ht="42" customHeight="1">
      <c r="A4347" s="4" t="s">
        <v>10035</v>
      </c>
      <c r="B4347" s="5" t="s">
        <v>10036</v>
      </c>
      <c r="C4347" s="5" t="s">
        <v>17</v>
      </c>
      <c r="D4347" s="5" t="s">
        <v>18</v>
      </c>
      <c r="E4347" s="5" t="s">
        <v>850</v>
      </c>
      <c r="F4347" s="9">
        <v>42</v>
      </c>
      <c r="G4347" s="9">
        <v>448</v>
      </c>
      <c r="H4347" s="5" t="s">
        <v>20</v>
      </c>
      <c r="I4347" s="5" t="s">
        <v>10039</v>
      </c>
      <c r="J4347" s="12" t="str">
        <f>HYPERLINK("https://www.boe.es/gazeta/dias/1805/05/24/pdfs/GMD-1805-42.pdf#page=4","Abrir facsímil")</f>
        <v>Abrir facsímil</v>
      </c>
      <c r="K4347" s="15" t="s">
        <v>22</v>
      </c>
    </row>
    <row r="4348" spans="1:11" ht="42" customHeight="1">
      <c r="A4348" s="4" t="s">
        <v>10035</v>
      </c>
      <c r="B4348" s="5" t="s">
        <v>10036</v>
      </c>
      <c r="C4348" s="5" t="s">
        <v>17</v>
      </c>
      <c r="D4348" s="5" t="s">
        <v>18</v>
      </c>
      <c r="E4348" s="5" t="s">
        <v>850</v>
      </c>
      <c r="F4348" s="9">
        <v>42</v>
      </c>
      <c r="G4348" s="9">
        <v>449</v>
      </c>
      <c r="H4348" s="5" t="s">
        <v>20</v>
      </c>
      <c r="I4348" s="5" t="s">
        <v>10040</v>
      </c>
      <c r="J4348" s="12" t="str">
        <f>HYPERLINK("https://www.boe.es/gazeta/dias/1805/05/24/pdfs/GMD-1805-42.pdf#page=5","Abrir facsímil")</f>
        <v>Abrir facsímil</v>
      </c>
      <c r="K4348" s="15" t="s">
        <v>22</v>
      </c>
    </row>
    <row r="4349" spans="1:11" ht="42" customHeight="1">
      <c r="A4349" s="4" t="s">
        <v>10035</v>
      </c>
      <c r="B4349" s="5" t="s">
        <v>10036</v>
      </c>
      <c r="C4349" s="5" t="s">
        <v>35</v>
      </c>
      <c r="D4349" s="5" t="s">
        <v>36</v>
      </c>
      <c r="E4349" s="5" t="s">
        <v>1292</v>
      </c>
      <c r="F4349" s="9">
        <v>43</v>
      </c>
      <c r="G4349" s="9">
        <v>459</v>
      </c>
      <c r="H4349" s="5" t="s">
        <v>20</v>
      </c>
      <c r="I4349" s="5" t="s">
        <v>10041</v>
      </c>
      <c r="J4349" s="12" t="str">
        <f>HYPERLINK("https://www.boe.es/gazeta/dias/1805/05/28/pdfs/GMD-1805-43.pdf#page=3","Abrir facsímil")</f>
        <v>Abrir facsímil</v>
      </c>
      <c r="K4349" s="15" t="s">
        <v>22</v>
      </c>
    </row>
    <row r="4350" spans="1:11" ht="42" customHeight="1">
      <c r="A4350" s="4" t="s">
        <v>10035</v>
      </c>
      <c r="B4350" s="5" t="s">
        <v>10036</v>
      </c>
      <c r="C4350" s="5" t="s">
        <v>17</v>
      </c>
      <c r="D4350" s="5" t="s">
        <v>18</v>
      </c>
      <c r="E4350" s="5" t="s">
        <v>393</v>
      </c>
      <c r="F4350" s="9">
        <v>44</v>
      </c>
      <c r="G4350" s="9">
        <v>468</v>
      </c>
      <c r="H4350" s="5" t="s">
        <v>20</v>
      </c>
      <c r="I4350" s="5" t="s">
        <v>10042</v>
      </c>
      <c r="J4350" s="12" t="str">
        <f>HYPERLINK("https://www.boe.es/gazeta/dias/1805/05/31/pdfs/GMD-1805-44.pdf#page=4","Abrir facsímil")</f>
        <v>Abrir facsímil</v>
      </c>
      <c r="K4350" s="15" t="s">
        <v>22</v>
      </c>
    </row>
    <row r="4351" spans="1:11" ht="42" customHeight="1">
      <c r="A4351" s="4" t="s">
        <v>10035</v>
      </c>
      <c r="B4351" s="5" t="s">
        <v>10036</v>
      </c>
      <c r="C4351" s="5" t="s">
        <v>80</v>
      </c>
      <c r="D4351" s="5" t="s">
        <v>81</v>
      </c>
      <c r="E4351" s="5" t="s">
        <v>733</v>
      </c>
      <c r="F4351" s="9">
        <v>45</v>
      </c>
      <c r="G4351" s="9">
        <v>480</v>
      </c>
      <c r="H4351" s="5" t="s">
        <v>20</v>
      </c>
      <c r="I4351" s="5" t="s">
        <v>10043</v>
      </c>
      <c r="J4351" s="12" t="str">
        <f>HYPERLINK("https://www.boe.es/gazeta/dias/1805/06/04/pdfs/GMD-1805-45.pdf#page=4","Abrir facsímil")</f>
        <v>Abrir facsímil</v>
      </c>
      <c r="K4351" s="15" t="s">
        <v>22</v>
      </c>
    </row>
    <row r="4352" spans="1:11" ht="42" customHeight="1">
      <c r="A4352" s="4" t="s">
        <v>10035</v>
      </c>
      <c r="B4352" s="5" t="s">
        <v>10036</v>
      </c>
      <c r="C4352" s="5" t="s">
        <v>80</v>
      </c>
      <c r="D4352" s="5" t="s">
        <v>81</v>
      </c>
      <c r="E4352" s="5" t="s">
        <v>733</v>
      </c>
      <c r="F4352" s="9">
        <v>45</v>
      </c>
      <c r="G4352" s="9">
        <v>481</v>
      </c>
      <c r="H4352" s="5" t="s">
        <v>20</v>
      </c>
      <c r="I4352" s="5" t="s">
        <v>10044</v>
      </c>
      <c r="J4352" s="12" t="str">
        <f>HYPERLINK("https://www.boe.es/gazeta/dias/1805/06/04/pdfs/GMD-1805-45.pdf#page=5","Abrir facsímil")</f>
        <v>Abrir facsímil</v>
      </c>
      <c r="K4352" s="15" t="s">
        <v>22</v>
      </c>
    </row>
    <row r="4353" spans="1:11" ht="42" customHeight="1">
      <c r="A4353" s="4" t="s">
        <v>10035</v>
      </c>
      <c r="B4353" s="5" t="s">
        <v>10036</v>
      </c>
      <c r="C4353" s="5" t="s">
        <v>17</v>
      </c>
      <c r="D4353" s="5" t="s">
        <v>18</v>
      </c>
      <c r="E4353" s="5" t="s">
        <v>854</v>
      </c>
      <c r="F4353" s="9">
        <v>46</v>
      </c>
      <c r="G4353" s="9">
        <v>492</v>
      </c>
      <c r="H4353" s="5" t="s">
        <v>20</v>
      </c>
      <c r="I4353" s="5" t="s">
        <v>10045</v>
      </c>
      <c r="J4353" s="12" t="str">
        <f>HYPERLINK("https://www.boe.es/gazeta/dias/1805/06/07/pdfs/GMD-1805-46.pdf#page=4","Abrir facsímil")</f>
        <v>Abrir facsímil</v>
      </c>
      <c r="K4353" s="15" t="s">
        <v>22</v>
      </c>
    </row>
    <row r="4354" spans="1:11" ht="42" customHeight="1">
      <c r="A4354" s="4" t="s">
        <v>10035</v>
      </c>
      <c r="B4354" s="5" t="s">
        <v>10036</v>
      </c>
      <c r="C4354" s="5" t="s">
        <v>35</v>
      </c>
      <c r="D4354" s="5" t="s">
        <v>36</v>
      </c>
      <c r="E4354" s="5" t="s">
        <v>904</v>
      </c>
      <c r="F4354" s="9">
        <v>47</v>
      </c>
      <c r="G4354" s="9">
        <v>503</v>
      </c>
      <c r="H4354" s="5" t="s">
        <v>20</v>
      </c>
      <c r="I4354" s="5" t="s">
        <v>10046</v>
      </c>
      <c r="J4354" s="12" t="str">
        <f>HYPERLINK("https://www.boe.es/gazeta/dias/1805/06/11/pdfs/GMD-1805-47.pdf#page=3","Abrir facsímil")</f>
        <v>Abrir facsímil</v>
      </c>
      <c r="K4354" s="15" t="s">
        <v>22</v>
      </c>
    </row>
    <row r="4355" spans="1:11" ht="42" customHeight="1">
      <c r="A4355" s="4" t="s">
        <v>10035</v>
      </c>
      <c r="B4355" s="5" t="s">
        <v>10036</v>
      </c>
      <c r="C4355" s="5" t="s">
        <v>35</v>
      </c>
      <c r="D4355" s="5" t="s">
        <v>36</v>
      </c>
      <c r="E4355" s="5" t="s">
        <v>904</v>
      </c>
      <c r="F4355" s="9">
        <v>47</v>
      </c>
      <c r="G4355" s="9">
        <v>504</v>
      </c>
      <c r="H4355" s="5" t="s">
        <v>20</v>
      </c>
      <c r="I4355" s="5" t="s">
        <v>10047</v>
      </c>
      <c r="J4355" s="12" t="str">
        <f>HYPERLINK("https://www.boe.es/gazeta/dias/1805/06/11/pdfs/GMD-1805-47.pdf#page=4","Abrir facsímil")</f>
        <v>Abrir facsímil</v>
      </c>
      <c r="K4355" s="15" t="s">
        <v>22</v>
      </c>
    </row>
    <row r="4356" spans="1:11" ht="42" customHeight="1">
      <c r="A4356" s="4" t="s">
        <v>10035</v>
      </c>
      <c r="B4356" s="5" t="s">
        <v>10036</v>
      </c>
      <c r="C4356" s="5" t="s">
        <v>35</v>
      </c>
      <c r="D4356" s="5" t="s">
        <v>36</v>
      </c>
      <c r="E4356" s="5" t="s">
        <v>904</v>
      </c>
      <c r="F4356" s="9">
        <v>47</v>
      </c>
      <c r="G4356" s="9">
        <v>505</v>
      </c>
      <c r="H4356" s="5" t="s">
        <v>20</v>
      </c>
      <c r="I4356" s="5" t="s">
        <v>10048</v>
      </c>
      <c r="J4356" s="12" t="str">
        <f>HYPERLINK("https://www.boe.es/gazeta/dias/1805/06/11/pdfs/GMD-1805-47.pdf#page=5","Abrir facsímil")</f>
        <v>Abrir facsímil</v>
      </c>
      <c r="K4356" s="15" t="s">
        <v>22</v>
      </c>
    </row>
    <row r="4357" spans="1:11" ht="42" customHeight="1">
      <c r="A4357" s="4" t="s">
        <v>10035</v>
      </c>
      <c r="B4357" s="5" t="s">
        <v>10036</v>
      </c>
      <c r="C4357" s="5" t="s">
        <v>17</v>
      </c>
      <c r="D4357" s="5" t="s">
        <v>18</v>
      </c>
      <c r="E4357" s="5" t="s">
        <v>567</v>
      </c>
      <c r="F4357" s="9">
        <v>49</v>
      </c>
      <c r="G4357" s="9">
        <v>526</v>
      </c>
      <c r="H4357" s="5" t="s">
        <v>20</v>
      </c>
      <c r="I4357" s="5" t="s">
        <v>10049</v>
      </c>
      <c r="J4357" s="12" t="str">
        <f>HYPERLINK("https://www.boe.es/gazeta/dias/1805/06/18/pdfs/GMD-1805-49.pdf#page=2","Abrir facsímil")</f>
        <v>Abrir facsímil</v>
      </c>
      <c r="K4357" s="15" t="s">
        <v>22</v>
      </c>
    </row>
    <row r="4358" spans="1:11" ht="42" customHeight="1">
      <c r="A4358" s="4" t="s">
        <v>10050</v>
      </c>
      <c r="B4358" s="5" t="s">
        <v>10051</v>
      </c>
      <c r="C4358" s="5" t="s">
        <v>80</v>
      </c>
      <c r="D4358" s="5" t="s">
        <v>81</v>
      </c>
      <c r="E4358" s="5" t="s">
        <v>37</v>
      </c>
      <c r="F4358" s="9">
        <v>54</v>
      </c>
      <c r="G4358" s="9">
        <v>575</v>
      </c>
      <c r="H4358" s="5" t="s">
        <v>20</v>
      </c>
      <c r="I4358" s="5" t="s">
        <v>10052</v>
      </c>
      <c r="J4358" s="12" t="str">
        <f>HYPERLINK("https://www.boe.es/gazeta/dias/1805/07/05/pdfs/GMD-1805-54.pdf#page=3","Abrir facsímil")</f>
        <v>Abrir facsímil</v>
      </c>
      <c r="K4358" s="15" t="s">
        <v>22</v>
      </c>
    </row>
    <row r="4359" spans="1:11" ht="42" customHeight="1">
      <c r="A4359" s="4" t="s">
        <v>10035</v>
      </c>
      <c r="B4359" s="5" t="s">
        <v>10036</v>
      </c>
      <c r="C4359" s="5" t="s">
        <v>80</v>
      </c>
      <c r="D4359" s="5" t="s">
        <v>81</v>
      </c>
      <c r="E4359" s="5" t="s">
        <v>303</v>
      </c>
      <c r="F4359" s="9">
        <v>57</v>
      </c>
      <c r="G4359" s="9">
        <v>607</v>
      </c>
      <c r="H4359" s="5" t="s">
        <v>20</v>
      </c>
      <c r="I4359" s="5" t="s">
        <v>10053</v>
      </c>
      <c r="J4359" s="12" t="str">
        <f>HYPERLINK("https://www.boe.es/gazeta/dias/1805/07/16/pdfs/GMD-1805-57.pdf#page=3","Abrir facsímil")</f>
        <v>Abrir facsímil</v>
      </c>
      <c r="K4359" s="15" t="s">
        <v>22</v>
      </c>
    </row>
    <row r="4360" spans="1:11" ht="42" customHeight="1">
      <c r="A4360" s="4" t="s">
        <v>10035</v>
      </c>
      <c r="B4360" s="5" t="s">
        <v>10036</v>
      </c>
      <c r="C4360" s="5" t="s">
        <v>80</v>
      </c>
      <c r="D4360" s="5" t="s">
        <v>81</v>
      </c>
      <c r="E4360" s="5" t="s">
        <v>831</v>
      </c>
      <c r="F4360" s="9">
        <v>62</v>
      </c>
      <c r="G4360" s="9">
        <v>659</v>
      </c>
      <c r="H4360" s="5" t="s">
        <v>20</v>
      </c>
      <c r="I4360" s="5" t="s">
        <v>10054</v>
      </c>
      <c r="J4360" s="12" t="str">
        <f>HYPERLINK("https://www.boe.es/gazeta/dias/1805/08/02/pdfs/GMD-1805-62.pdf#page=3","Abrir facsímil")</f>
        <v>Abrir facsímil</v>
      </c>
      <c r="K4360" s="15" t="s">
        <v>22</v>
      </c>
    </row>
    <row r="4361" spans="1:11" ht="42" customHeight="1">
      <c r="A4361" s="4" t="s">
        <v>10035</v>
      </c>
      <c r="B4361" s="5" t="s">
        <v>10036</v>
      </c>
      <c r="C4361" s="5" t="s">
        <v>80</v>
      </c>
      <c r="D4361" s="5" t="s">
        <v>81</v>
      </c>
      <c r="E4361" s="5" t="s">
        <v>585</v>
      </c>
      <c r="F4361" s="9">
        <v>64</v>
      </c>
      <c r="G4361" s="9">
        <v>679</v>
      </c>
      <c r="H4361" s="5" t="s">
        <v>20</v>
      </c>
      <c r="I4361" s="5" t="s">
        <v>10055</v>
      </c>
      <c r="J4361" s="12" t="str">
        <f>HYPERLINK("https://www.boe.es/gazeta/dias/1805/08/09/pdfs/GMD-1805-64.pdf#page=3","Abrir facsímil")</f>
        <v>Abrir facsímil</v>
      </c>
      <c r="K4361" s="15" t="s">
        <v>22</v>
      </c>
    </row>
    <row r="4362" spans="1:11" ht="42" customHeight="1">
      <c r="A4362" s="4" t="s">
        <v>10056</v>
      </c>
      <c r="B4362" s="5" t="s">
        <v>10057</v>
      </c>
      <c r="C4362" s="5" t="s">
        <v>17</v>
      </c>
      <c r="D4362" s="5" t="s">
        <v>18</v>
      </c>
      <c r="E4362" s="5" t="s">
        <v>850</v>
      </c>
      <c r="F4362" s="9">
        <v>42</v>
      </c>
      <c r="G4362" s="9">
        <v>449</v>
      </c>
      <c r="H4362" s="5" t="s">
        <v>20</v>
      </c>
      <c r="I4362" s="5" t="s">
        <v>10058</v>
      </c>
      <c r="J4362" s="12" t="str">
        <f>HYPERLINK("https://www.boe.es/gazeta/dias/1805/05/24/pdfs/GMD-1805-42.pdf#page=5","Abrir facsímil")</f>
        <v>Abrir facsímil</v>
      </c>
      <c r="K4362" s="15" t="s">
        <v>22</v>
      </c>
    </row>
    <row r="4363" spans="1:11" ht="42" customHeight="1">
      <c r="A4363" s="4" t="s">
        <v>10059</v>
      </c>
      <c r="B4363" s="5" t="s">
        <v>10060</v>
      </c>
      <c r="C4363" s="5" t="s">
        <v>80</v>
      </c>
      <c r="D4363" s="5" t="s">
        <v>81</v>
      </c>
      <c r="E4363" s="5" t="s">
        <v>958</v>
      </c>
      <c r="F4363" s="9">
        <v>58</v>
      </c>
      <c r="G4363" s="9">
        <v>619</v>
      </c>
      <c r="H4363" s="5" t="s">
        <v>20</v>
      </c>
      <c r="I4363" s="5" t="s">
        <v>10061</v>
      </c>
      <c r="J4363" s="12" t="str">
        <f>HYPERLINK("https://www.boe.es/gazeta/dias/1805/07/19/pdfs/GMD-1805-58.pdf#page=3","Abrir facsímil")</f>
        <v>Abrir facsímil</v>
      </c>
      <c r="K4363" s="15" t="s">
        <v>22</v>
      </c>
    </row>
    <row r="4364" spans="1:11" ht="42" customHeight="1">
      <c r="A4364" s="4" t="s">
        <v>10062</v>
      </c>
      <c r="B4364" s="5" t="s">
        <v>10062</v>
      </c>
      <c r="C4364" s="5" t="s">
        <v>17</v>
      </c>
      <c r="D4364" s="5" t="s">
        <v>18</v>
      </c>
      <c r="E4364" s="5" t="s">
        <v>440</v>
      </c>
      <c r="F4364" s="9">
        <v>27</v>
      </c>
      <c r="G4364" s="9">
        <v>285</v>
      </c>
      <c r="H4364" s="5" t="s">
        <v>20</v>
      </c>
      <c r="I4364" s="5" t="s">
        <v>10063</v>
      </c>
      <c r="J4364" s="12" t="str">
        <f>HYPERLINK("https://www.boe.es/gazeta/dias/1805/04/02/pdfs/GMD-1805-27.pdf#page=5","Abrir facsímil")</f>
        <v>Abrir facsímil</v>
      </c>
      <c r="K4364" s="15" t="s">
        <v>22</v>
      </c>
    </row>
    <row r="4365" spans="1:11" ht="42" customHeight="1">
      <c r="A4365" s="4" t="s">
        <v>10062</v>
      </c>
      <c r="B4365" s="5" t="s">
        <v>10062</v>
      </c>
      <c r="C4365" s="5" t="s">
        <v>80</v>
      </c>
      <c r="D4365" s="5" t="s">
        <v>81</v>
      </c>
      <c r="E4365" s="5" t="s">
        <v>44</v>
      </c>
      <c r="F4365" s="9">
        <v>29</v>
      </c>
      <c r="G4365" s="9">
        <v>310</v>
      </c>
      <c r="H4365" s="5" t="s">
        <v>20</v>
      </c>
      <c r="I4365" s="5" t="s">
        <v>10064</v>
      </c>
      <c r="J4365" s="12" t="str">
        <f>HYPERLINK("https://www.boe.es/gazeta/dias/1805/04/09/pdfs/GMD-1805-29.pdf#page=6","Abrir facsímil")</f>
        <v>Abrir facsímil</v>
      </c>
      <c r="K4365" s="15" t="s">
        <v>22</v>
      </c>
    </row>
    <row r="4366" spans="1:11" ht="42" customHeight="1">
      <c r="A4366" s="4" t="s">
        <v>10062</v>
      </c>
      <c r="B4366" s="5" t="s">
        <v>10062</v>
      </c>
      <c r="C4366" s="5" t="s">
        <v>80</v>
      </c>
      <c r="D4366" s="5" t="s">
        <v>81</v>
      </c>
      <c r="E4366" s="5" t="s">
        <v>733</v>
      </c>
      <c r="F4366" s="9">
        <v>45</v>
      </c>
      <c r="G4366" s="9">
        <v>483</v>
      </c>
      <c r="H4366" s="5" t="s">
        <v>20</v>
      </c>
      <c r="I4366" s="5" t="s">
        <v>10065</v>
      </c>
      <c r="J4366" s="12" t="str">
        <f>HYPERLINK("https://www.boe.es/gazeta/dias/1805/06/04/pdfs/GMD-1805-45.pdf#page=7","Abrir facsímil")</f>
        <v>Abrir facsímil</v>
      </c>
      <c r="K4366" s="15" t="s">
        <v>22</v>
      </c>
    </row>
    <row r="4367" spans="1:11" ht="42" customHeight="1">
      <c r="A4367" s="4" t="s">
        <v>10062</v>
      </c>
      <c r="B4367" s="5" t="s">
        <v>10062</v>
      </c>
      <c r="C4367" s="5" t="s">
        <v>35</v>
      </c>
      <c r="D4367" s="5" t="s">
        <v>36</v>
      </c>
      <c r="E4367" s="5" t="s">
        <v>733</v>
      </c>
      <c r="F4367" s="9">
        <v>45</v>
      </c>
      <c r="G4367" s="9">
        <v>484</v>
      </c>
      <c r="H4367" s="5" t="s">
        <v>20</v>
      </c>
      <c r="I4367" s="5" t="s">
        <v>10066</v>
      </c>
      <c r="J4367" s="12" t="str">
        <f>HYPERLINK("https://www.boe.es/gazeta/dias/1805/06/04/pdfs/GMD-1805-45.pdf#page=8","Abrir facsímil")</f>
        <v>Abrir facsímil</v>
      </c>
      <c r="K4367" s="15" t="s">
        <v>22</v>
      </c>
    </row>
    <row r="4368" spans="1:11" ht="42" customHeight="1">
      <c r="A4368" s="4" t="s">
        <v>10067</v>
      </c>
      <c r="B4368" s="5" t="s">
        <v>10067</v>
      </c>
      <c r="C4368" s="5" t="s">
        <v>80</v>
      </c>
      <c r="D4368" s="5" t="s">
        <v>81</v>
      </c>
      <c r="E4368" s="5" t="s">
        <v>48</v>
      </c>
      <c r="F4368" s="9">
        <v>35</v>
      </c>
      <c r="G4368" s="9">
        <v>376</v>
      </c>
      <c r="H4368" s="5" t="s">
        <v>20</v>
      </c>
      <c r="I4368" s="5" t="s">
        <v>10068</v>
      </c>
      <c r="J4368" s="12" t="str">
        <f>HYPERLINK("https://www.boe.es/gazeta/dias/1805/04/30/pdfs/GMD-1805-35.pdf#page=8","Abrir facsímil")</f>
        <v>Abrir facsímil</v>
      </c>
      <c r="K4368" s="15" t="s">
        <v>22</v>
      </c>
    </row>
    <row r="4369" spans="1:11" ht="42" customHeight="1">
      <c r="A4369" s="4" t="s">
        <v>10069</v>
      </c>
      <c r="B4369" s="5" t="s">
        <v>10070</v>
      </c>
      <c r="C4369" s="5" t="s">
        <v>85</v>
      </c>
      <c r="D4369" s="5" t="s">
        <v>86</v>
      </c>
      <c r="E4369" s="5" t="s">
        <v>1494</v>
      </c>
      <c r="F4369" s="9">
        <v>31</v>
      </c>
      <c r="G4369" s="9">
        <v>333</v>
      </c>
      <c r="H4369" s="5" t="s">
        <v>20</v>
      </c>
      <c r="I4369" s="5" t="s">
        <v>10071</v>
      </c>
      <c r="J4369" s="12" t="str">
        <f>HYPERLINK("https://www.boe.es/gazeta/dias/1805/04/16/pdfs/GMD-1805-31.pdf#page=9","Abrir facsímil")</f>
        <v>Abrir facsímil</v>
      </c>
      <c r="K4369" s="15" t="s">
        <v>22</v>
      </c>
    </row>
    <row r="4370" spans="1:11" ht="42" customHeight="1">
      <c r="A4370" s="4" t="s">
        <v>10072</v>
      </c>
      <c r="B4370" s="5" t="s">
        <v>10073</v>
      </c>
      <c r="C4370" s="5" t="s">
        <v>85</v>
      </c>
      <c r="D4370" s="5" t="s">
        <v>86</v>
      </c>
      <c r="E4370" s="5" t="s">
        <v>217</v>
      </c>
      <c r="F4370" s="9">
        <v>96</v>
      </c>
      <c r="G4370" s="9">
        <v>1029</v>
      </c>
      <c r="H4370" s="5" t="s">
        <v>20</v>
      </c>
      <c r="I4370" s="5" t="s">
        <v>10074</v>
      </c>
      <c r="J4370" s="12" t="str">
        <f>HYPERLINK("https://www.boe.es/gazeta/dias/1805/11/29/pdfs/GMD-1805-96.pdf#page=5","Abrir facsímil")</f>
        <v>Abrir facsímil</v>
      </c>
      <c r="K4370" s="15" t="s">
        <v>22</v>
      </c>
    </row>
    <row r="4371" spans="1:11" ht="42" customHeight="1">
      <c r="A4371" s="4" t="s">
        <v>10075</v>
      </c>
      <c r="B4371" s="5" t="s">
        <v>10076</v>
      </c>
      <c r="C4371" s="5" t="s">
        <v>35</v>
      </c>
      <c r="D4371" s="5" t="s">
        <v>36</v>
      </c>
      <c r="E4371" s="5" t="s">
        <v>24</v>
      </c>
      <c r="F4371" s="9">
        <v>11</v>
      </c>
      <c r="G4371" s="9">
        <v>121</v>
      </c>
      <c r="H4371" s="5" t="s">
        <v>20</v>
      </c>
      <c r="I4371" s="5" t="s">
        <v>10077</v>
      </c>
      <c r="J4371" s="12" t="str">
        <f>HYPERLINK("https://www.boe.es/gazeta/dias/1805/02/05/pdfs/GMD-1805-11.pdf#page=9","Abrir facsímil")</f>
        <v>Abrir facsímil</v>
      </c>
      <c r="K4371" s="15" t="s">
        <v>22</v>
      </c>
    </row>
    <row r="4372" spans="1:11" ht="42" customHeight="1">
      <c r="A4372" s="4" t="s">
        <v>10078</v>
      </c>
      <c r="B4372" s="5" t="s">
        <v>10079</v>
      </c>
      <c r="C4372" s="5" t="s">
        <v>35</v>
      </c>
      <c r="D4372" s="5" t="s">
        <v>36</v>
      </c>
      <c r="E4372" s="5" t="s">
        <v>506</v>
      </c>
      <c r="F4372" s="9">
        <v>80</v>
      </c>
      <c r="G4372" s="9">
        <v>850</v>
      </c>
      <c r="H4372" s="5" t="s">
        <v>20</v>
      </c>
      <c r="I4372" s="5" t="s">
        <v>10080</v>
      </c>
      <c r="J4372" s="12" t="str">
        <f>HYPERLINK("https://www.boe.es/gazeta/dias/1805/10/04/pdfs/GMD-1805-80.pdf#page=10","Abrir facsímil")</f>
        <v>Abrir facsímil</v>
      </c>
      <c r="K4372" s="15" t="s">
        <v>22</v>
      </c>
    </row>
    <row r="4373" spans="1:11" ht="42" customHeight="1">
      <c r="A4373" s="4" t="s">
        <v>10081</v>
      </c>
      <c r="B4373" s="5" t="s">
        <v>10082</v>
      </c>
      <c r="C4373" s="5" t="s">
        <v>35</v>
      </c>
      <c r="D4373" s="5" t="s">
        <v>36</v>
      </c>
      <c r="E4373" s="5" t="s">
        <v>426</v>
      </c>
      <c r="F4373" s="9">
        <v>75</v>
      </c>
      <c r="G4373" s="9">
        <v>798</v>
      </c>
      <c r="H4373" s="5" t="s">
        <v>20</v>
      </c>
      <c r="I4373" s="5" t="s">
        <v>10083</v>
      </c>
      <c r="J4373" s="12" t="str">
        <f>HYPERLINK("https://www.boe.es/gazeta/dias/1805/09/17/pdfs/GMD-1805-75.pdf#page=10","Abrir facsímil")</f>
        <v>Abrir facsímil</v>
      </c>
      <c r="K4373" s="15" t="s">
        <v>22</v>
      </c>
    </row>
    <row r="4374" spans="1:11" ht="42" customHeight="1">
      <c r="A4374" s="4" t="s">
        <v>10084</v>
      </c>
      <c r="B4374" s="5" t="s">
        <v>10085</v>
      </c>
      <c r="C4374" s="5" t="s">
        <v>17</v>
      </c>
      <c r="D4374" s="5" t="s">
        <v>18</v>
      </c>
      <c r="E4374" s="5" t="s">
        <v>495</v>
      </c>
      <c r="F4374" s="9">
        <v>103</v>
      </c>
      <c r="G4374" s="9">
        <v>1115</v>
      </c>
      <c r="H4374" s="5" t="s">
        <v>20</v>
      </c>
      <c r="I4374" s="5" t="s">
        <v>10086</v>
      </c>
      <c r="J4374" s="12" t="str">
        <f>HYPERLINK("https://www.boe.es/gazeta/dias/1805/12/24/pdfs/GMD-1805-103.pdf#page=7","Abrir facsímil")</f>
        <v>Abrir facsímil</v>
      </c>
      <c r="K4374" s="15" t="s">
        <v>22</v>
      </c>
    </row>
    <row r="4375" spans="1:11" ht="42" customHeight="1">
      <c r="A4375" s="4" t="s">
        <v>10087</v>
      </c>
      <c r="B4375" s="5" t="s">
        <v>10088</v>
      </c>
      <c r="C4375" s="5" t="s">
        <v>52</v>
      </c>
      <c r="D4375" s="5" t="s">
        <v>53</v>
      </c>
      <c r="E4375" s="5" t="s">
        <v>144</v>
      </c>
      <c r="F4375" s="9">
        <v>85</v>
      </c>
      <c r="G4375" s="9" t="s">
        <v>55</v>
      </c>
      <c r="H4375" s="5" t="s">
        <v>20</v>
      </c>
      <c r="I4375" s="5" t="s">
        <v>10089</v>
      </c>
      <c r="J4375" s="12" t="str">
        <f>HYPERLINK("https://www.boe.es/gazeta/dias/1805/10/22/pdfs/GMD-C-1805-85.pdf#page=4","Abrir facsímil")</f>
        <v>Abrir facsímil</v>
      </c>
      <c r="K4375" s="15" t="s">
        <v>22</v>
      </c>
    </row>
    <row r="4376" spans="1:11" ht="42" customHeight="1">
      <c r="A4376" s="4" t="s">
        <v>10090</v>
      </c>
      <c r="B4376" s="5" t="s">
        <v>10091</v>
      </c>
      <c r="C4376" s="5" t="s">
        <v>52</v>
      </c>
      <c r="D4376" s="5" t="s">
        <v>53</v>
      </c>
      <c r="E4376" s="5" t="s">
        <v>144</v>
      </c>
      <c r="F4376" s="9">
        <v>85</v>
      </c>
      <c r="G4376" s="9" t="s">
        <v>145</v>
      </c>
      <c r="H4376" s="5" t="s">
        <v>20</v>
      </c>
      <c r="I4376" s="5" t="s">
        <v>10092</v>
      </c>
      <c r="J4376" s="12" t="str">
        <f>HYPERLINK("https://www.boe.es/gazeta/dias/1805/10/22/pdfs/GMD-C-1805-85.pdf#page=2","Abrir facsímil")</f>
        <v>Abrir facsímil</v>
      </c>
      <c r="K4376" s="15" t="s">
        <v>22</v>
      </c>
    </row>
    <row r="4377" spans="1:11" ht="42" customHeight="1">
      <c r="A4377" s="4" t="s">
        <v>10093</v>
      </c>
      <c r="B4377" s="5" t="s">
        <v>10094</v>
      </c>
      <c r="C4377" s="5" t="s">
        <v>17</v>
      </c>
      <c r="D4377" s="5" t="s">
        <v>18</v>
      </c>
      <c r="E4377" s="5" t="s">
        <v>729</v>
      </c>
      <c r="F4377" s="9">
        <v>61</v>
      </c>
      <c r="G4377" s="9">
        <v>655</v>
      </c>
      <c r="H4377" s="5" t="s">
        <v>20</v>
      </c>
      <c r="I4377" s="5" t="s">
        <v>10095</v>
      </c>
      <c r="J4377" s="12" t="str">
        <f>HYPERLINK("https://www.boe.es/gazeta/dias/1805/07/30/pdfs/GMD-1805-61.pdf#page=7","Abrir facsímil")</f>
        <v>Abrir facsímil</v>
      </c>
      <c r="K4377" s="15" t="s">
        <v>22</v>
      </c>
    </row>
    <row r="4378" spans="1:11" ht="42" customHeight="1">
      <c r="A4378" s="4" t="s">
        <v>10096</v>
      </c>
      <c r="B4378" s="5" t="s">
        <v>10097</v>
      </c>
      <c r="C4378" s="5" t="s">
        <v>17</v>
      </c>
      <c r="D4378" s="5" t="s">
        <v>18</v>
      </c>
      <c r="E4378" s="5" t="s">
        <v>539</v>
      </c>
      <c r="F4378" s="9">
        <v>97</v>
      </c>
      <c r="G4378" s="9">
        <v>1042</v>
      </c>
      <c r="H4378" s="5" t="s">
        <v>20</v>
      </c>
      <c r="I4378" s="5" t="s">
        <v>10098</v>
      </c>
      <c r="J4378" s="12" t="str">
        <f>HYPERLINK("https://www.boe.es/gazeta/dias/1805/12/03/pdfs/GMD-1805-97.pdf#page=6","Abrir facsímil")</f>
        <v>Abrir facsímil</v>
      </c>
      <c r="K4378" s="15" t="s">
        <v>22</v>
      </c>
    </row>
    <row r="4379" spans="1:11" ht="42" customHeight="1">
      <c r="A4379" s="4" t="s">
        <v>10099</v>
      </c>
      <c r="B4379" s="5" t="s">
        <v>10100</v>
      </c>
      <c r="C4379" s="5" t="s">
        <v>35</v>
      </c>
      <c r="D4379" s="5" t="s">
        <v>36</v>
      </c>
      <c r="E4379" s="5" t="s">
        <v>506</v>
      </c>
      <c r="F4379" s="9">
        <v>80</v>
      </c>
      <c r="G4379" s="9">
        <v>850</v>
      </c>
      <c r="H4379" s="5" t="s">
        <v>20</v>
      </c>
      <c r="I4379" s="5" t="s">
        <v>10101</v>
      </c>
      <c r="J4379" s="12" t="str">
        <f>HYPERLINK("https://www.boe.es/gazeta/dias/1805/10/04/pdfs/GMD-1805-80.pdf#page=10","Abrir facsímil")</f>
        <v>Abrir facsímil</v>
      </c>
      <c r="K4379" s="15" t="s">
        <v>22</v>
      </c>
    </row>
    <row r="4380" spans="1:11" ht="42" customHeight="1">
      <c r="A4380" s="4" t="s">
        <v>10102</v>
      </c>
      <c r="B4380" s="5" t="s">
        <v>10103</v>
      </c>
      <c r="C4380" s="5" t="s">
        <v>35</v>
      </c>
      <c r="D4380" s="5" t="s">
        <v>36</v>
      </c>
      <c r="E4380" s="5" t="s">
        <v>422</v>
      </c>
      <c r="F4380" s="9">
        <v>74</v>
      </c>
      <c r="G4380" s="9">
        <v>786</v>
      </c>
      <c r="H4380" s="5" t="s">
        <v>20</v>
      </c>
      <c r="I4380" s="5" t="s">
        <v>10104</v>
      </c>
      <c r="J4380" s="12" t="str">
        <f>HYPERLINK("https://www.boe.es/gazeta/dias/1805/09/13/pdfs/GMD-1805-74.pdf#page=10","Abrir facsímil")</f>
        <v>Abrir facsímil</v>
      </c>
      <c r="K4380" s="15" t="s">
        <v>22</v>
      </c>
    </row>
    <row r="4381" spans="1:11" ht="42" customHeight="1">
      <c r="A4381" s="4" t="s">
        <v>10105</v>
      </c>
      <c r="B4381" s="5" t="s">
        <v>10106</v>
      </c>
      <c r="C4381" s="5" t="s">
        <v>35</v>
      </c>
      <c r="D4381" s="5" t="s">
        <v>36</v>
      </c>
      <c r="E4381" s="5" t="s">
        <v>363</v>
      </c>
      <c r="F4381" s="9">
        <v>1</v>
      </c>
      <c r="G4381" s="9">
        <v>10</v>
      </c>
      <c r="H4381" s="5" t="s">
        <v>20</v>
      </c>
      <c r="I4381" s="5" t="s">
        <v>10107</v>
      </c>
      <c r="J4381" s="12" t="str">
        <f>HYPERLINK("https://www.boe.es/gazeta/dias/1805/01/01/pdfs/GMD-1805-1.pdf#page=10","Abrir facsímil")</f>
        <v>Abrir facsímil</v>
      </c>
      <c r="K4381" s="15" t="s">
        <v>22</v>
      </c>
    </row>
    <row r="4382" spans="1:11" ht="42" customHeight="1">
      <c r="A4382" s="4" t="s">
        <v>10108</v>
      </c>
      <c r="B4382" s="5" t="s">
        <v>10109</v>
      </c>
      <c r="C4382" s="5" t="s">
        <v>80</v>
      </c>
      <c r="D4382" s="5" t="s">
        <v>81</v>
      </c>
      <c r="E4382" s="5" t="s">
        <v>1187</v>
      </c>
      <c r="F4382" s="9">
        <v>40</v>
      </c>
      <c r="G4382" s="9">
        <v>428</v>
      </c>
      <c r="H4382" s="5" t="s">
        <v>20</v>
      </c>
      <c r="I4382" s="5" t="s">
        <v>10110</v>
      </c>
      <c r="J4382" s="12" t="str">
        <f>HYPERLINK("https://www.boe.es/gazeta/dias/1805/05/17/pdfs/GMD-1805-40.pdf#page=4","Abrir facsímil")</f>
        <v>Abrir facsímil</v>
      </c>
      <c r="K4382" s="15" t="s">
        <v>22</v>
      </c>
    </row>
    <row r="4383" spans="1:11" ht="42" customHeight="1">
      <c r="A4383" s="4" t="s">
        <v>10111</v>
      </c>
      <c r="B4383" s="5" t="s">
        <v>10112</v>
      </c>
      <c r="C4383" s="5" t="s">
        <v>35</v>
      </c>
      <c r="D4383" s="5" t="s">
        <v>36</v>
      </c>
      <c r="E4383" s="5" t="s">
        <v>163</v>
      </c>
      <c r="F4383" s="9">
        <v>77</v>
      </c>
      <c r="G4383" s="9">
        <v>817</v>
      </c>
      <c r="H4383" s="5" t="s">
        <v>20</v>
      </c>
      <c r="I4383" s="5" t="s">
        <v>10113</v>
      </c>
      <c r="J4383" s="12" t="str">
        <f>HYPERLINK("https://www.boe.es/gazeta/dias/1805/09/24/pdfs/GMD-1805-77.pdf#page=9","Abrir facsímil")</f>
        <v>Abrir facsímil</v>
      </c>
      <c r="K4383" s="15" t="s">
        <v>22</v>
      </c>
    </row>
    <row r="4384" spans="1:11" ht="42" customHeight="1">
      <c r="A4384" s="4" t="s">
        <v>10114</v>
      </c>
      <c r="B4384" s="5" t="s">
        <v>10115</v>
      </c>
      <c r="C4384" s="5" t="s">
        <v>17</v>
      </c>
      <c r="D4384" s="5" t="s">
        <v>18</v>
      </c>
      <c r="E4384" s="5" t="s">
        <v>120</v>
      </c>
      <c r="F4384" s="9">
        <v>24</v>
      </c>
      <c r="G4384" s="9">
        <v>259</v>
      </c>
      <c r="H4384" s="5" t="s">
        <v>20</v>
      </c>
      <c r="I4384" s="5" t="s">
        <v>10116</v>
      </c>
      <c r="J4384" s="12" t="str">
        <f>HYPERLINK("https://www.boe.es/gazeta/dias/1805/03/22/pdfs/GMD-1805-24.pdf#page=11","Abrir facsímil")</f>
        <v>Abrir facsímil</v>
      </c>
      <c r="K4384" s="15" t="s">
        <v>22</v>
      </c>
    </row>
    <row r="4385" spans="1:11" ht="42" customHeight="1">
      <c r="A4385" s="4" t="s">
        <v>10117</v>
      </c>
      <c r="B4385" s="5" t="s">
        <v>10118</v>
      </c>
      <c r="C4385" s="5" t="s">
        <v>35</v>
      </c>
      <c r="D4385" s="5" t="s">
        <v>36</v>
      </c>
      <c r="E4385" s="5" t="s">
        <v>904</v>
      </c>
      <c r="F4385" s="9">
        <v>47</v>
      </c>
      <c r="G4385" s="9">
        <v>509</v>
      </c>
      <c r="H4385" s="5" t="s">
        <v>20</v>
      </c>
      <c r="I4385" s="5" t="s">
        <v>10119</v>
      </c>
      <c r="J4385" s="12" t="str">
        <f>HYPERLINK("https://www.boe.es/gazeta/dias/1805/06/11/pdfs/GMD-1805-47.pdf#page=9","Abrir facsímil")</f>
        <v>Abrir facsímil</v>
      </c>
      <c r="K4385" s="15" t="s">
        <v>22</v>
      </c>
    </row>
    <row r="4386" spans="1:11" ht="42" customHeight="1">
      <c r="A4386" s="4" t="s">
        <v>10120</v>
      </c>
      <c r="B4386" s="5" t="s">
        <v>10121</v>
      </c>
      <c r="C4386" s="5" t="s">
        <v>35</v>
      </c>
      <c r="D4386" s="5" t="s">
        <v>36</v>
      </c>
      <c r="E4386" s="5" t="s">
        <v>261</v>
      </c>
      <c r="F4386" s="9">
        <v>18</v>
      </c>
      <c r="G4386" s="9">
        <v>186</v>
      </c>
      <c r="H4386" s="5" t="s">
        <v>20</v>
      </c>
      <c r="I4386" s="5" t="s">
        <v>10122</v>
      </c>
      <c r="J4386" s="12" t="str">
        <f>HYPERLINK("https://www.boe.es/gazeta/dias/1805/03/01/pdfs/GMD-1805-18.pdf#page=6","Abrir facsímil")</f>
        <v>Abrir facsímil</v>
      </c>
      <c r="K4386" s="15" t="s">
        <v>22</v>
      </c>
    </row>
    <row r="4387" spans="1:11" ht="42" customHeight="1">
      <c r="A4387" s="4" t="s">
        <v>10123</v>
      </c>
      <c r="B4387" s="5" t="s">
        <v>10124</v>
      </c>
      <c r="C4387" s="5" t="s">
        <v>17</v>
      </c>
      <c r="D4387" s="5" t="s">
        <v>18</v>
      </c>
      <c r="E4387" s="5" t="s">
        <v>399</v>
      </c>
      <c r="F4387" s="9">
        <v>39</v>
      </c>
      <c r="G4387" s="9">
        <v>422</v>
      </c>
      <c r="H4387" s="5" t="s">
        <v>20</v>
      </c>
      <c r="I4387" s="5" t="s">
        <v>10125</v>
      </c>
      <c r="J4387" s="12" t="str">
        <f>HYPERLINK("https://www.boe.es/gazeta/dias/1805/05/14/pdfs/GMD-1805-39.pdf#page=10","Abrir facsímil")</f>
        <v>Abrir facsímil</v>
      </c>
      <c r="K4387" s="15" t="s">
        <v>22</v>
      </c>
    </row>
    <row r="4388" spans="1:11" ht="42" customHeight="1">
      <c r="A4388" s="4" t="s">
        <v>10126</v>
      </c>
      <c r="B4388" s="5" t="s">
        <v>10127</v>
      </c>
      <c r="C4388" s="5" t="s">
        <v>80</v>
      </c>
      <c r="D4388" s="5" t="s">
        <v>81</v>
      </c>
      <c r="E4388" s="5" t="s">
        <v>67</v>
      </c>
      <c r="F4388" s="9">
        <v>98</v>
      </c>
      <c r="G4388" s="9">
        <v>1057</v>
      </c>
      <c r="H4388" s="5" t="s">
        <v>20</v>
      </c>
      <c r="I4388" s="5" t="s">
        <v>10128</v>
      </c>
      <c r="J4388" s="12" t="str">
        <f>HYPERLINK("https://www.boe.es/gazeta/dias/1805/12/06/pdfs/GMD-1805-98.pdf#page=9","Abrir facsímil")</f>
        <v>Abrir facsímil</v>
      </c>
      <c r="K4388" s="15" t="s">
        <v>22</v>
      </c>
    </row>
    <row r="4389" spans="1:11" ht="42" customHeight="1">
      <c r="A4389" s="4" t="s">
        <v>10129</v>
      </c>
      <c r="B4389" s="5" t="s">
        <v>10130</v>
      </c>
      <c r="C4389" s="5" t="s">
        <v>184</v>
      </c>
      <c r="D4389" s="5" t="s">
        <v>86</v>
      </c>
      <c r="E4389" s="5" t="s">
        <v>276</v>
      </c>
      <c r="F4389" s="9">
        <v>51</v>
      </c>
      <c r="G4389" s="9">
        <v>552</v>
      </c>
      <c r="H4389" s="5" t="s">
        <v>20</v>
      </c>
      <c r="I4389" s="5" t="s">
        <v>10131</v>
      </c>
      <c r="J4389" s="12" t="str">
        <f>HYPERLINK("https://www.boe.es/gazeta/dias/1805/06/25/pdfs/GMD-1805-51.pdf#page=8","Abrir facsímil")</f>
        <v>Abrir facsímil</v>
      </c>
      <c r="K4389" s="15" t="s">
        <v>22</v>
      </c>
    </row>
    <row r="4390" spans="1:11" ht="42" customHeight="1">
      <c r="A4390" s="4" t="s">
        <v>10132</v>
      </c>
      <c r="B4390" s="5" t="s">
        <v>10133</v>
      </c>
      <c r="C4390" s="5" t="s">
        <v>35</v>
      </c>
      <c r="D4390" s="5" t="s">
        <v>36</v>
      </c>
      <c r="E4390" s="5" t="s">
        <v>163</v>
      </c>
      <c r="F4390" s="9">
        <v>77</v>
      </c>
      <c r="G4390" s="9">
        <v>817</v>
      </c>
      <c r="H4390" s="5" t="s">
        <v>20</v>
      </c>
      <c r="I4390" s="5" t="s">
        <v>10134</v>
      </c>
      <c r="J4390" s="12" t="str">
        <f>HYPERLINK("https://www.boe.es/gazeta/dias/1805/09/24/pdfs/GMD-1805-77.pdf#page=9","Abrir facsímil")</f>
        <v>Abrir facsímil</v>
      </c>
      <c r="K4390" s="15" t="s">
        <v>22</v>
      </c>
    </row>
    <row r="4391" spans="1:11" ht="42" customHeight="1">
      <c r="A4391" s="4" t="s">
        <v>10135</v>
      </c>
      <c r="B4391" s="5" t="s">
        <v>10136</v>
      </c>
      <c r="C4391" s="5" t="s">
        <v>35</v>
      </c>
      <c r="D4391" s="5" t="s">
        <v>36</v>
      </c>
      <c r="E4391" s="5" t="s">
        <v>148</v>
      </c>
      <c r="F4391" s="9">
        <v>50</v>
      </c>
      <c r="G4391" s="9">
        <v>541</v>
      </c>
      <c r="H4391" s="5" t="s">
        <v>20</v>
      </c>
      <c r="I4391" s="5" t="s">
        <v>10137</v>
      </c>
      <c r="J4391" s="12" t="str">
        <f>HYPERLINK("https://www.boe.es/gazeta/dias/1805/06/21/pdfs/GMD-1805-50.pdf#page=9","Abrir facsímil")</f>
        <v>Abrir facsímil</v>
      </c>
      <c r="K4391" s="15" t="s">
        <v>22</v>
      </c>
    </row>
    <row r="4392" spans="1:11" ht="42" customHeight="1">
      <c r="A4392" s="4" t="s">
        <v>10135</v>
      </c>
      <c r="B4392" s="5" t="s">
        <v>10136</v>
      </c>
      <c r="C4392" s="5" t="s">
        <v>17</v>
      </c>
      <c r="D4392" s="5" t="s">
        <v>18</v>
      </c>
      <c r="E4392" s="5" t="s">
        <v>352</v>
      </c>
      <c r="F4392" s="9">
        <v>60</v>
      </c>
      <c r="G4392" s="9">
        <v>646</v>
      </c>
      <c r="H4392" s="5" t="s">
        <v>20</v>
      </c>
      <c r="I4392" s="5" t="s">
        <v>10138</v>
      </c>
      <c r="J4392" s="12" t="str">
        <f>HYPERLINK("https://www.boe.es/gazeta/dias/1805/07/26/pdfs/GMD-1805-60.pdf#page=10","Abrir facsímil")</f>
        <v>Abrir facsímil</v>
      </c>
      <c r="K4392" s="15" t="s">
        <v>22</v>
      </c>
    </row>
    <row r="4393" spans="1:11" ht="42" customHeight="1">
      <c r="A4393" s="4" t="s">
        <v>10139</v>
      </c>
      <c r="B4393" s="5" t="s">
        <v>10140</v>
      </c>
      <c r="C4393" s="5" t="s">
        <v>85</v>
      </c>
      <c r="D4393" s="5" t="s">
        <v>86</v>
      </c>
      <c r="E4393" s="5" t="s">
        <v>649</v>
      </c>
      <c r="F4393" s="9">
        <v>7</v>
      </c>
      <c r="G4393" s="9">
        <v>78</v>
      </c>
      <c r="H4393" s="5" t="s">
        <v>20</v>
      </c>
      <c r="I4393" s="5" t="s">
        <v>10141</v>
      </c>
      <c r="J4393" s="12" t="str">
        <f>HYPERLINK("https://www.boe.es/gazeta/dias/1805/01/22/pdfs/GMD-1805-7.pdf#page=10","Abrir facsímil")</f>
        <v>Abrir facsímil</v>
      </c>
      <c r="K4393" s="15" t="s">
        <v>22</v>
      </c>
    </row>
    <row r="4394" spans="1:11" ht="42" customHeight="1">
      <c r="A4394" s="4" t="s">
        <v>10142</v>
      </c>
      <c r="B4394" s="5" t="s">
        <v>10143</v>
      </c>
      <c r="C4394" s="5" t="s">
        <v>184</v>
      </c>
      <c r="D4394" s="5" t="s">
        <v>86</v>
      </c>
      <c r="E4394" s="5" t="s">
        <v>27</v>
      </c>
      <c r="F4394" s="9">
        <v>37</v>
      </c>
      <c r="G4394" s="9">
        <v>403</v>
      </c>
      <c r="H4394" s="5" t="s">
        <v>20</v>
      </c>
      <c r="I4394" s="5" t="s">
        <v>10144</v>
      </c>
      <c r="J4394" s="12" t="str">
        <f>HYPERLINK("https://www.boe.es/gazeta/dias/1805/05/07/pdfs/GMD-1805-37.pdf#page=11","Abrir facsímil")</f>
        <v>Abrir facsímil</v>
      </c>
      <c r="K4394" s="15" t="s">
        <v>22</v>
      </c>
    </row>
    <row r="4395" spans="1:11" ht="42" customHeight="1">
      <c r="A4395" s="4" t="s">
        <v>10145</v>
      </c>
      <c r="B4395" s="5" t="s">
        <v>10146</v>
      </c>
      <c r="C4395" s="5" t="s">
        <v>35</v>
      </c>
      <c r="D4395" s="5" t="s">
        <v>36</v>
      </c>
      <c r="E4395" s="5" t="s">
        <v>673</v>
      </c>
      <c r="F4395" s="9">
        <v>32</v>
      </c>
      <c r="G4395" s="9">
        <v>342</v>
      </c>
      <c r="H4395" s="5" t="s">
        <v>20</v>
      </c>
      <c r="I4395" s="5" t="s">
        <v>10147</v>
      </c>
      <c r="J4395" s="12" t="str">
        <f>HYPERLINK("https://www.boe.es/gazeta/dias/1805/04/19/pdfs/GMD-1805-32.pdf#page=6","Abrir facsímil")</f>
        <v>Abrir facsímil</v>
      </c>
      <c r="K4395" s="15" t="s">
        <v>22</v>
      </c>
    </row>
    <row r="4396" spans="1:11" ht="42" customHeight="1">
      <c r="A4396" s="4" t="s">
        <v>10148</v>
      </c>
      <c r="B4396" s="5" t="s">
        <v>10149</v>
      </c>
      <c r="C4396" s="5" t="s">
        <v>35</v>
      </c>
      <c r="D4396" s="5" t="s">
        <v>36</v>
      </c>
      <c r="E4396" s="5" t="s">
        <v>138</v>
      </c>
      <c r="F4396" s="9">
        <v>102</v>
      </c>
      <c r="G4396" s="9">
        <v>1104</v>
      </c>
      <c r="H4396" s="5" t="s">
        <v>20</v>
      </c>
      <c r="I4396" s="5" t="s">
        <v>10150</v>
      </c>
      <c r="J4396" s="12" t="str">
        <f>HYPERLINK("https://www.boe.es/gazeta/dias/1805/12/20/pdfs/GMD-1805-102.pdf#page=8","Abrir facsímil")</f>
        <v>Abrir facsímil</v>
      </c>
      <c r="K4396" s="15" t="s">
        <v>22</v>
      </c>
    </row>
    <row r="4397" spans="1:11" ht="42" customHeight="1">
      <c r="A4397" s="4" t="s">
        <v>10151</v>
      </c>
      <c r="B4397" s="5" t="s">
        <v>10152</v>
      </c>
      <c r="C4397" s="5" t="s">
        <v>17</v>
      </c>
      <c r="D4397" s="5" t="s">
        <v>18</v>
      </c>
      <c r="E4397" s="5" t="s">
        <v>63</v>
      </c>
      <c r="F4397" s="9">
        <v>101</v>
      </c>
      <c r="G4397" s="9">
        <v>1093</v>
      </c>
      <c r="H4397" s="5" t="s">
        <v>20</v>
      </c>
      <c r="I4397" s="5" t="s">
        <v>10153</v>
      </c>
      <c r="J4397" s="12" t="str">
        <f>HYPERLINK("https://www.boe.es/gazeta/dias/1805/12/17/pdfs/GMD-1805-101.pdf#page=9","Abrir facsímil")</f>
        <v>Abrir facsímil</v>
      </c>
      <c r="K4397" s="15" t="s">
        <v>22</v>
      </c>
    </row>
    <row r="4398" spans="1:11" ht="42" customHeight="1">
      <c r="A4398" s="4" t="s">
        <v>10154</v>
      </c>
      <c r="B4398" s="5" t="s">
        <v>10155</v>
      </c>
      <c r="C4398" s="5" t="s">
        <v>17</v>
      </c>
      <c r="D4398" s="5" t="s">
        <v>18</v>
      </c>
      <c r="E4398" s="5" t="s">
        <v>854</v>
      </c>
      <c r="F4398" s="9">
        <v>46</v>
      </c>
      <c r="G4398" s="9">
        <v>498</v>
      </c>
      <c r="H4398" s="5" t="s">
        <v>20</v>
      </c>
      <c r="I4398" s="5" t="s">
        <v>10156</v>
      </c>
      <c r="J4398" s="12" t="str">
        <f>HYPERLINK("https://www.boe.es/gazeta/dias/1805/06/07/pdfs/GMD-1805-46.pdf#page=10","Abrir facsímil")</f>
        <v>Abrir facsímil</v>
      </c>
      <c r="K4398" s="15" t="s">
        <v>22</v>
      </c>
    </row>
    <row r="4399" spans="1:11" ht="42" customHeight="1">
      <c r="A4399" s="4" t="s">
        <v>10157</v>
      </c>
      <c r="B4399" s="5" t="s">
        <v>10158</v>
      </c>
      <c r="C4399" s="5" t="s">
        <v>35</v>
      </c>
      <c r="D4399" s="5" t="s">
        <v>36</v>
      </c>
      <c r="E4399" s="5" t="s">
        <v>276</v>
      </c>
      <c r="F4399" s="9">
        <v>51</v>
      </c>
      <c r="G4399" s="9">
        <v>551</v>
      </c>
      <c r="H4399" s="5" t="s">
        <v>20</v>
      </c>
      <c r="I4399" s="5" t="s">
        <v>10159</v>
      </c>
      <c r="J4399" s="12" t="str">
        <f>HYPERLINK("https://www.boe.es/gazeta/dias/1805/06/25/pdfs/GMD-1805-51.pdf#page=7","Abrir facsímil")</f>
        <v>Abrir facsímil</v>
      </c>
      <c r="K4399" s="15" t="s">
        <v>22</v>
      </c>
    </row>
    <row r="4400" spans="1:11" ht="42" customHeight="1">
      <c r="A4400" s="4" t="s">
        <v>10160</v>
      </c>
      <c r="B4400" s="5" t="s">
        <v>10160</v>
      </c>
      <c r="C4400" s="5" t="s">
        <v>184</v>
      </c>
      <c r="D4400" s="5" t="s">
        <v>86</v>
      </c>
      <c r="E4400" s="5" t="s">
        <v>27</v>
      </c>
      <c r="F4400" s="9">
        <v>37</v>
      </c>
      <c r="G4400" s="9">
        <v>395</v>
      </c>
      <c r="H4400" s="5" t="s">
        <v>20</v>
      </c>
      <c r="I4400" s="5" t="s">
        <v>10161</v>
      </c>
      <c r="J4400" s="12" t="str">
        <f>HYPERLINK("https://www.boe.es/gazeta/dias/1805/05/07/pdfs/GMD-1805-37.pdf#page=3","Abrir facsímil")</f>
        <v>Abrir facsímil</v>
      </c>
      <c r="K4400" s="15" t="s">
        <v>22</v>
      </c>
    </row>
    <row r="4401" spans="1:11" ht="42" customHeight="1">
      <c r="A4401" s="4" t="s">
        <v>10162</v>
      </c>
      <c r="B4401" s="5" t="s">
        <v>10163</v>
      </c>
      <c r="C4401" s="5" t="s">
        <v>17</v>
      </c>
      <c r="D4401" s="5" t="s">
        <v>18</v>
      </c>
      <c r="E4401" s="5" t="s">
        <v>163</v>
      </c>
      <c r="F4401" s="9">
        <v>77</v>
      </c>
      <c r="G4401" s="9">
        <v>812</v>
      </c>
      <c r="H4401" s="5" t="s">
        <v>20</v>
      </c>
      <c r="I4401" s="5" t="s">
        <v>10164</v>
      </c>
      <c r="J4401" s="12" t="str">
        <f>HYPERLINK("https://www.boe.es/gazeta/dias/1805/09/24/pdfs/GMD-1805-77.pdf#page=4","Abrir facsímil")</f>
        <v>Abrir facsímil</v>
      </c>
      <c r="K4401" s="15" t="s">
        <v>22</v>
      </c>
    </row>
    <row r="4402" spans="1:11" ht="42" customHeight="1">
      <c r="A4402" s="4" t="s">
        <v>10162</v>
      </c>
      <c r="B4402" s="5" t="s">
        <v>10163</v>
      </c>
      <c r="C4402" s="5" t="s">
        <v>80</v>
      </c>
      <c r="D4402" s="5" t="s">
        <v>81</v>
      </c>
      <c r="E4402" s="5" t="s">
        <v>539</v>
      </c>
      <c r="F4402" s="9">
        <v>97</v>
      </c>
      <c r="G4402" s="9">
        <v>1037</v>
      </c>
      <c r="H4402" s="5" t="s">
        <v>20</v>
      </c>
      <c r="I4402" s="5" t="s">
        <v>10165</v>
      </c>
      <c r="J4402" s="12" t="str">
        <f>HYPERLINK("https://www.boe.es/gazeta/dias/1805/12/03/pdfs/GMD-1805-97.pdf#page=1","Abrir facsímil")</f>
        <v>Abrir facsímil</v>
      </c>
      <c r="K4402" s="15" t="s">
        <v>22</v>
      </c>
    </row>
    <row r="4403" spans="1:11" ht="42" customHeight="1">
      <c r="A4403" s="4" t="s">
        <v>10162</v>
      </c>
      <c r="B4403" s="5" t="s">
        <v>10163</v>
      </c>
      <c r="C4403" s="5" t="s">
        <v>80</v>
      </c>
      <c r="D4403" s="5" t="s">
        <v>81</v>
      </c>
      <c r="E4403" s="5" t="s">
        <v>192</v>
      </c>
      <c r="F4403" s="9">
        <v>105</v>
      </c>
      <c r="G4403" s="9">
        <v>1130</v>
      </c>
      <c r="H4403" s="5" t="s">
        <v>20</v>
      </c>
      <c r="I4403" s="5" t="s">
        <v>10166</v>
      </c>
      <c r="J4403" s="12" t="str">
        <f>HYPERLINK("https://www.boe.es/gazeta/dias/1805/12/31/pdfs/GMD-1805-105.pdf#page=2","Abrir facsímil")</f>
        <v>Abrir facsímil</v>
      </c>
      <c r="K4403" s="15" t="s">
        <v>22</v>
      </c>
    </row>
    <row r="4404" spans="1:11" ht="42" customHeight="1">
      <c r="A4404" s="4" t="s">
        <v>10167</v>
      </c>
      <c r="B4404" s="5" t="s">
        <v>10168</v>
      </c>
      <c r="C4404" s="5" t="s">
        <v>80</v>
      </c>
      <c r="D4404" s="5" t="s">
        <v>81</v>
      </c>
      <c r="E4404" s="5" t="s">
        <v>273</v>
      </c>
      <c r="F4404" s="9">
        <v>8</v>
      </c>
      <c r="G4404" s="9">
        <v>86</v>
      </c>
      <c r="H4404" s="5" t="s">
        <v>20</v>
      </c>
      <c r="I4404" s="5" t="s">
        <v>10169</v>
      </c>
      <c r="J4404" s="12" t="str">
        <f>HYPERLINK("https://www.boe.es/gazeta/dias/1805/01/25/pdfs/GMD-1805-8.pdf#page=6","Abrir facsímil")</f>
        <v>Abrir facsímil</v>
      </c>
      <c r="K4404" s="15" t="s">
        <v>22</v>
      </c>
    </row>
    <row r="4405" spans="1:11" ht="42" customHeight="1">
      <c r="A4405" s="4" t="s">
        <v>10170</v>
      </c>
      <c r="B4405" s="5" t="s">
        <v>10171</v>
      </c>
      <c r="C4405" s="5" t="s">
        <v>17</v>
      </c>
      <c r="D4405" s="5" t="s">
        <v>18</v>
      </c>
      <c r="E4405" s="5" t="s">
        <v>393</v>
      </c>
      <c r="F4405" s="9">
        <v>44</v>
      </c>
      <c r="G4405" s="9">
        <v>468</v>
      </c>
      <c r="H4405" s="5" t="s">
        <v>20</v>
      </c>
      <c r="I4405" s="5" t="s">
        <v>10172</v>
      </c>
      <c r="J4405" s="12" t="str">
        <f>HYPERLINK("https://www.boe.es/gazeta/dias/1805/05/31/pdfs/GMD-1805-44.pdf#page=4","Abrir facsímil")</f>
        <v>Abrir facsímil</v>
      </c>
      <c r="K4405" s="15" t="s">
        <v>22</v>
      </c>
    </row>
    <row r="4406" spans="1:11" ht="42" customHeight="1">
      <c r="A4406" s="4" t="s">
        <v>10173</v>
      </c>
      <c r="B4406" s="5" t="s">
        <v>10174</v>
      </c>
      <c r="C4406" s="5" t="s">
        <v>80</v>
      </c>
      <c r="D4406" s="5" t="s">
        <v>81</v>
      </c>
      <c r="E4406" s="5" t="s">
        <v>217</v>
      </c>
      <c r="F4406" s="9">
        <v>96</v>
      </c>
      <c r="G4406" s="9">
        <v>1027</v>
      </c>
      <c r="H4406" s="5" t="s">
        <v>20</v>
      </c>
      <c r="I4406" s="5" t="s">
        <v>10175</v>
      </c>
      <c r="J4406" s="12" t="str">
        <f>HYPERLINK("https://www.boe.es/gazeta/dias/1805/11/29/pdfs/GMD-1805-96.pdf#page=3","Abrir facsímil")</f>
        <v>Abrir facsímil</v>
      </c>
      <c r="K4406" s="15" t="s">
        <v>22</v>
      </c>
    </row>
    <row r="4407" spans="1:11" ht="42" customHeight="1">
      <c r="A4407" s="4" t="s">
        <v>10176</v>
      </c>
      <c r="B4407" s="5" t="s">
        <v>10176</v>
      </c>
      <c r="C4407" s="5" t="s">
        <v>80</v>
      </c>
      <c r="D4407" s="5" t="s">
        <v>81</v>
      </c>
      <c r="E4407" s="5" t="s">
        <v>200</v>
      </c>
      <c r="F4407" s="9">
        <v>91</v>
      </c>
      <c r="G4407" s="9">
        <v>969</v>
      </c>
      <c r="H4407" s="5" t="s">
        <v>20</v>
      </c>
      <c r="I4407" s="5" t="s">
        <v>10177</v>
      </c>
      <c r="J4407" s="12" t="str">
        <f>HYPERLINK("https://www.boe.es/gazeta/dias/1805/11/12/pdfs/GMD-1805-91.pdf#page=1","Abrir facsímil")</f>
        <v>Abrir facsímil</v>
      </c>
      <c r="K4407" s="15" t="s">
        <v>22</v>
      </c>
    </row>
    <row r="4408" spans="1:11" ht="42" customHeight="1">
      <c r="A4408" s="4" t="s">
        <v>10178</v>
      </c>
      <c r="B4408" s="5" t="s">
        <v>10179</v>
      </c>
      <c r="C4408" s="5" t="s">
        <v>35</v>
      </c>
      <c r="D4408" s="5" t="s">
        <v>36</v>
      </c>
      <c r="E4408" s="5" t="s">
        <v>854</v>
      </c>
      <c r="F4408" s="9">
        <v>46</v>
      </c>
      <c r="G4408" s="9">
        <v>499</v>
      </c>
      <c r="H4408" s="5" t="s">
        <v>20</v>
      </c>
      <c r="I4408" s="5" t="s">
        <v>10180</v>
      </c>
      <c r="J4408" s="12" t="str">
        <f>HYPERLINK("https://www.boe.es/gazeta/dias/1805/06/07/pdfs/GMD-1805-46.pdf#page=11","Abrir facsímil")</f>
        <v>Abrir facsímil</v>
      </c>
      <c r="K4408" s="15" t="s">
        <v>22</v>
      </c>
    </row>
    <row r="4409" spans="1:11" ht="42" customHeight="1">
      <c r="A4409" s="4" t="s">
        <v>10181</v>
      </c>
      <c r="B4409" s="5" t="s">
        <v>10181</v>
      </c>
      <c r="C4409" s="5" t="s">
        <v>85</v>
      </c>
      <c r="D4409" s="5" t="s">
        <v>86</v>
      </c>
      <c r="E4409" s="5" t="s">
        <v>854</v>
      </c>
      <c r="F4409" s="9">
        <v>46</v>
      </c>
      <c r="G4409" s="9">
        <v>498</v>
      </c>
      <c r="H4409" s="5" t="s">
        <v>20</v>
      </c>
      <c r="I4409" s="5" t="s">
        <v>10182</v>
      </c>
      <c r="J4409" s="12" t="str">
        <f>HYPERLINK("https://www.boe.es/gazeta/dias/1805/06/07/pdfs/GMD-1805-46.pdf#page=10","Abrir facsímil")</f>
        <v>Abrir facsímil</v>
      </c>
      <c r="K4409" s="15" t="s">
        <v>22</v>
      </c>
    </row>
    <row r="4410" spans="1:11" ht="42" customHeight="1">
      <c r="A4410" s="4" t="s">
        <v>10183</v>
      </c>
      <c r="B4410" s="5" t="s">
        <v>10183</v>
      </c>
      <c r="C4410" s="5" t="s">
        <v>35</v>
      </c>
      <c r="D4410" s="5" t="s">
        <v>36</v>
      </c>
      <c r="E4410" s="5" t="s">
        <v>67</v>
      </c>
      <c r="F4410" s="9">
        <v>98</v>
      </c>
      <c r="G4410" s="9">
        <v>1059</v>
      </c>
      <c r="H4410" s="5" t="s">
        <v>20</v>
      </c>
      <c r="I4410" s="5" t="s">
        <v>10184</v>
      </c>
      <c r="J4410" s="12" t="str">
        <f>HYPERLINK("https://www.boe.es/gazeta/dias/1805/12/06/pdfs/GMD-1805-98.pdf#page=11","Abrir facsímil")</f>
        <v>Abrir facsímil</v>
      </c>
      <c r="K4410" s="15" t="s">
        <v>22</v>
      </c>
    </row>
    <row r="4411" spans="1:11" ht="42" customHeight="1">
      <c r="A4411" s="4" t="s">
        <v>10185</v>
      </c>
      <c r="B4411" s="5" t="s">
        <v>10186</v>
      </c>
      <c r="C4411" s="5" t="s">
        <v>85</v>
      </c>
      <c r="D4411" s="5" t="s">
        <v>86</v>
      </c>
      <c r="E4411" s="5" t="s">
        <v>1445</v>
      </c>
      <c r="F4411" s="9">
        <v>6</v>
      </c>
      <c r="G4411" s="9">
        <v>66</v>
      </c>
      <c r="H4411" s="5" t="s">
        <v>20</v>
      </c>
      <c r="I4411" s="5" t="s">
        <v>10187</v>
      </c>
      <c r="J4411" s="12" t="str">
        <f>HYPERLINK("https://www.boe.es/gazeta/dias/1805/01/18/pdfs/GMD-1805-6.pdf#page=10","Abrir facsímil")</f>
        <v>Abrir facsímil</v>
      </c>
      <c r="K4411" s="15" t="s">
        <v>22</v>
      </c>
    </row>
    <row r="4412" spans="1:11" ht="42" customHeight="1">
      <c r="A4412" s="4" t="s">
        <v>10188</v>
      </c>
      <c r="B4412" s="5" t="s">
        <v>10189</v>
      </c>
      <c r="C4412" s="5" t="s">
        <v>17</v>
      </c>
      <c r="D4412" s="5" t="s">
        <v>18</v>
      </c>
      <c r="E4412" s="5" t="s">
        <v>787</v>
      </c>
      <c r="F4412" s="9">
        <v>95</v>
      </c>
      <c r="G4412" s="9">
        <v>1019</v>
      </c>
      <c r="H4412" s="5" t="s">
        <v>20</v>
      </c>
      <c r="I4412" s="5" t="s">
        <v>10190</v>
      </c>
      <c r="J4412" s="12" t="str">
        <f>HYPERLINK("https://www.boe.es/gazeta/dias/1805/11/26/pdfs/GMD-1805-95.pdf#page=7","Abrir facsímil")</f>
        <v>Abrir facsímil</v>
      </c>
      <c r="K4412" s="15" t="s">
        <v>22</v>
      </c>
    </row>
    <row r="4413" spans="1:11" ht="42" customHeight="1">
      <c r="A4413" s="4" t="s">
        <v>10188</v>
      </c>
      <c r="B4413" s="5" t="s">
        <v>10189</v>
      </c>
      <c r="C4413" s="5" t="s">
        <v>80</v>
      </c>
      <c r="D4413" s="5" t="s">
        <v>81</v>
      </c>
      <c r="E4413" s="5" t="s">
        <v>67</v>
      </c>
      <c r="F4413" s="9">
        <v>98</v>
      </c>
      <c r="G4413" s="9">
        <v>1054</v>
      </c>
      <c r="H4413" s="5" t="s">
        <v>20</v>
      </c>
      <c r="I4413" s="5" t="s">
        <v>10191</v>
      </c>
      <c r="J4413" s="12" t="str">
        <f>HYPERLINK("https://www.boe.es/gazeta/dias/1805/12/06/pdfs/GMD-1805-98.pdf#page=6","Abrir facsímil")</f>
        <v>Abrir facsímil</v>
      </c>
      <c r="K4413" s="15" t="s">
        <v>22</v>
      </c>
    </row>
    <row r="4414" spans="1:11" ht="42" customHeight="1">
      <c r="A4414" s="4" t="s">
        <v>10192</v>
      </c>
      <c r="B4414" s="5" t="s">
        <v>10192</v>
      </c>
      <c r="C4414" s="5" t="s">
        <v>80</v>
      </c>
      <c r="D4414" s="5" t="s">
        <v>81</v>
      </c>
      <c r="E4414" s="5" t="s">
        <v>132</v>
      </c>
      <c r="F4414" s="9">
        <v>2</v>
      </c>
      <c r="G4414" s="9">
        <v>18</v>
      </c>
      <c r="H4414" s="5" t="s">
        <v>20</v>
      </c>
      <c r="I4414" s="5" t="s">
        <v>10193</v>
      </c>
      <c r="J4414" s="12" t="str">
        <f>HYPERLINK("https://www.boe.es/gazeta/dias/1805/01/04/pdfs/GMD-1805-2.pdf#page=6","Abrir facsímil")</f>
        <v>Abrir facsímil</v>
      </c>
      <c r="K4414" s="15" t="s">
        <v>22</v>
      </c>
    </row>
    <row r="4415" spans="1:11" ht="42" customHeight="1">
      <c r="A4415" s="4" t="s">
        <v>10194</v>
      </c>
      <c r="B4415" s="5" t="s">
        <v>10195</v>
      </c>
      <c r="C4415" s="5" t="s">
        <v>85</v>
      </c>
      <c r="D4415" s="5" t="s">
        <v>86</v>
      </c>
      <c r="E4415" s="5" t="s">
        <v>99</v>
      </c>
      <c r="F4415" s="9">
        <v>83</v>
      </c>
      <c r="G4415" s="9">
        <v>883</v>
      </c>
      <c r="H4415" s="5" t="s">
        <v>20</v>
      </c>
      <c r="I4415" s="5" t="s">
        <v>10196</v>
      </c>
      <c r="J4415" s="12" t="str">
        <f>HYPERLINK("https://www.boe.es/gazeta/dias/1805/10/15/pdfs/GMD-1805-83.pdf#page=11","Abrir facsímil")</f>
        <v>Abrir facsímil</v>
      </c>
      <c r="K4415" s="15" t="s">
        <v>22</v>
      </c>
    </row>
    <row r="4416" spans="1:11" ht="42" customHeight="1">
      <c r="A4416" s="4" t="s">
        <v>10197</v>
      </c>
      <c r="B4416" s="5" t="s">
        <v>10198</v>
      </c>
      <c r="C4416" s="5" t="s">
        <v>35</v>
      </c>
      <c r="D4416" s="5" t="s">
        <v>36</v>
      </c>
      <c r="E4416" s="5" t="s">
        <v>303</v>
      </c>
      <c r="F4416" s="9">
        <v>57</v>
      </c>
      <c r="G4416" s="9">
        <v>611</v>
      </c>
      <c r="H4416" s="5" t="s">
        <v>20</v>
      </c>
      <c r="I4416" s="5" t="s">
        <v>10199</v>
      </c>
      <c r="J4416" s="12" t="str">
        <f>HYPERLINK("https://www.boe.es/gazeta/dias/1805/07/16/pdfs/GMD-1805-57.pdf#page=7","Abrir facsímil")</f>
        <v>Abrir facsímil</v>
      </c>
      <c r="K4416" s="15" t="s">
        <v>22</v>
      </c>
    </row>
    <row r="4417" spans="1:11" ht="42" customHeight="1">
      <c r="A4417" s="4" t="s">
        <v>10200</v>
      </c>
      <c r="B4417" s="5" t="s">
        <v>10201</v>
      </c>
      <c r="C4417" s="5" t="s">
        <v>184</v>
      </c>
      <c r="D4417" s="5" t="s">
        <v>86</v>
      </c>
      <c r="E4417" s="5" t="s">
        <v>196</v>
      </c>
      <c r="F4417" s="9">
        <v>67</v>
      </c>
      <c r="G4417" s="9">
        <v>719</v>
      </c>
      <c r="H4417" s="5" t="s">
        <v>20</v>
      </c>
      <c r="I4417" s="5" t="s">
        <v>10202</v>
      </c>
      <c r="J4417" s="12" t="str">
        <f>HYPERLINK("https://www.boe.es/gazeta/dias/1805/08/20/pdfs/GMD-1805-67.pdf#page=7","Abrir facsímil")</f>
        <v>Abrir facsímil</v>
      </c>
      <c r="K4417" s="15" t="s">
        <v>22</v>
      </c>
    </row>
    <row r="4418" spans="1:11" ht="42" customHeight="1">
      <c r="A4418" s="4" t="s">
        <v>10203</v>
      </c>
      <c r="B4418" s="5" t="s">
        <v>10203</v>
      </c>
      <c r="C4418" s="5" t="s">
        <v>80</v>
      </c>
      <c r="D4418" s="5" t="s">
        <v>81</v>
      </c>
      <c r="E4418" s="5" t="s">
        <v>132</v>
      </c>
      <c r="F4418" s="9">
        <v>2</v>
      </c>
      <c r="G4418" s="9">
        <v>15</v>
      </c>
      <c r="H4418" s="5" t="s">
        <v>20</v>
      </c>
      <c r="I4418" s="5" t="s">
        <v>10204</v>
      </c>
      <c r="J4418" s="12" t="str">
        <f>HYPERLINK("https://www.boe.es/gazeta/dias/1805/01/04/pdfs/GMD-1805-2.pdf#page=3","Abrir facsímil")</f>
        <v>Abrir facsímil</v>
      </c>
      <c r="K4418" s="15" t="s">
        <v>22</v>
      </c>
    </row>
    <row r="4419" spans="1:11" ht="42" customHeight="1">
      <c r="A4419" s="4" t="s">
        <v>10205</v>
      </c>
      <c r="B4419" s="5" t="s">
        <v>10205</v>
      </c>
      <c r="C4419" s="5" t="s">
        <v>80</v>
      </c>
      <c r="D4419" s="5" t="s">
        <v>81</v>
      </c>
      <c r="E4419" s="5" t="s">
        <v>132</v>
      </c>
      <c r="F4419" s="9">
        <v>2</v>
      </c>
      <c r="G4419" s="9">
        <v>17</v>
      </c>
      <c r="H4419" s="5" t="s">
        <v>20</v>
      </c>
      <c r="I4419" s="5" t="s">
        <v>10206</v>
      </c>
      <c r="J4419" s="12" t="str">
        <f>HYPERLINK("https://www.boe.es/gazeta/dias/1805/01/04/pdfs/GMD-1805-2.pdf#page=5","Abrir facsímil")</f>
        <v>Abrir facsímil</v>
      </c>
      <c r="K4419" s="15" t="s">
        <v>22</v>
      </c>
    </row>
    <row r="4420" spans="1:11" ht="42" customHeight="1">
      <c r="A4420" s="4" t="s">
        <v>10205</v>
      </c>
      <c r="B4420" s="5" t="s">
        <v>10205</v>
      </c>
      <c r="C4420" s="5" t="s">
        <v>29</v>
      </c>
      <c r="D4420" s="5" t="s">
        <v>30</v>
      </c>
      <c r="E4420" s="5" t="s">
        <v>1221</v>
      </c>
      <c r="F4420" s="9">
        <v>41</v>
      </c>
      <c r="G4420" s="9">
        <v>436</v>
      </c>
      <c r="H4420" s="5" t="s">
        <v>20</v>
      </c>
      <c r="I4420" s="5" t="s">
        <v>10207</v>
      </c>
      <c r="J4420" s="12" t="str">
        <f>HYPERLINK("https://www.boe.es/gazeta/dias/1805/05/21/pdfs/GMD-1805-41.pdf#page=4","Abrir facsímil")</f>
        <v>Abrir facsímil</v>
      </c>
      <c r="K4420" s="15" t="s">
        <v>22</v>
      </c>
    </row>
    <row r="4421" spans="1:11" ht="42" customHeight="1">
      <c r="A4421" s="4" t="s">
        <v>10205</v>
      </c>
      <c r="B4421" s="5" t="s">
        <v>10205</v>
      </c>
      <c r="C4421" s="5" t="s">
        <v>35</v>
      </c>
      <c r="D4421" s="5" t="s">
        <v>36</v>
      </c>
      <c r="E4421" s="5" t="s">
        <v>207</v>
      </c>
      <c r="F4421" s="9">
        <v>76</v>
      </c>
      <c r="G4421" s="9">
        <v>802</v>
      </c>
      <c r="H4421" s="5" t="s">
        <v>20</v>
      </c>
      <c r="I4421" s="5" t="s">
        <v>10208</v>
      </c>
      <c r="J4421" s="12" t="str">
        <f>HYPERLINK("https://www.boe.es/gazeta/dias/1805/09/20/pdfs/GMD-1805-76.pdf#page=2","Abrir facsímil")</f>
        <v>Abrir facsímil</v>
      </c>
      <c r="K4421" s="15" t="s">
        <v>22</v>
      </c>
    </row>
    <row r="4422" spans="1:11" ht="42" customHeight="1">
      <c r="A4422" s="4" t="s">
        <v>10205</v>
      </c>
      <c r="B4422" s="5" t="s">
        <v>10205</v>
      </c>
      <c r="C4422" s="5" t="s">
        <v>80</v>
      </c>
      <c r="D4422" s="5" t="s">
        <v>81</v>
      </c>
      <c r="E4422" s="5" t="s">
        <v>864</v>
      </c>
      <c r="F4422" s="9">
        <v>88</v>
      </c>
      <c r="G4422" s="9">
        <v>931</v>
      </c>
      <c r="H4422" s="5" t="s">
        <v>20</v>
      </c>
      <c r="I4422" s="5" t="s">
        <v>10209</v>
      </c>
      <c r="J4422" s="12" t="str">
        <f>HYPERLINK("https://www.boe.es/gazeta/dias/1805/11/01/pdfs/GMD-1805-88.pdf#page=3","Abrir facsímil")</f>
        <v>Abrir facsímil</v>
      </c>
      <c r="K4422" s="15" t="s">
        <v>22</v>
      </c>
    </row>
    <row r="4423" spans="1:11" ht="42" customHeight="1">
      <c r="A4423" s="4" t="s">
        <v>10210</v>
      </c>
      <c r="B4423" s="5" t="s">
        <v>10210</v>
      </c>
      <c r="C4423" s="5" t="s">
        <v>17</v>
      </c>
      <c r="D4423" s="5" t="s">
        <v>18</v>
      </c>
      <c r="E4423" s="5" t="s">
        <v>281</v>
      </c>
      <c r="F4423" s="9">
        <v>15</v>
      </c>
      <c r="G4423" s="9">
        <v>153</v>
      </c>
      <c r="H4423" s="5" t="s">
        <v>20</v>
      </c>
      <c r="I4423" s="5" t="s">
        <v>10211</v>
      </c>
      <c r="J4423" s="12" t="str">
        <f>HYPERLINK("https://www.boe.es/gazeta/dias/1805/02/19/pdfs/GMD-1805-15.pdf#page=5","Abrir facsímil")</f>
        <v>Abrir facsímil</v>
      </c>
      <c r="K4423" s="15" t="s">
        <v>22</v>
      </c>
    </row>
    <row r="4424" spans="1:11" ht="42" customHeight="1">
      <c r="A4424" s="4" t="s">
        <v>10210</v>
      </c>
      <c r="B4424" s="5" t="s">
        <v>10210</v>
      </c>
      <c r="C4424" s="5" t="s">
        <v>35</v>
      </c>
      <c r="D4424" s="5" t="s">
        <v>36</v>
      </c>
      <c r="E4424" s="5" t="s">
        <v>1494</v>
      </c>
      <c r="F4424" s="9">
        <v>31</v>
      </c>
      <c r="G4424" s="9">
        <v>327</v>
      </c>
      <c r="H4424" s="5" t="s">
        <v>20</v>
      </c>
      <c r="I4424" s="5" t="s">
        <v>10212</v>
      </c>
      <c r="J4424" s="12" t="str">
        <f>HYPERLINK("https://www.boe.es/gazeta/dias/1805/04/16/pdfs/GMD-1805-31.pdf#page=3","Abrir facsímil")</f>
        <v>Abrir facsímil</v>
      </c>
      <c r="K4424" s="15" t="s">
        <v>22</v>
      </c>
    </row>
    <row r="4425" spans="1:11" ht="42" customHeight="1">
      <c r="A4425" s="4" t="s">
        <v>10210</v>
      </c>
      <c r="B4425" s="5" t="s">
        <v>10210</v>
      </c>
      <c r="C4425" s="5" t="s">
        <v>184</v>
      </c>
      <c r="D4425" s="5" t="s">
        <v>86</v>
      </c>
      <c r="E4425" s="5" t="s">
        <v>1221</v>
      </c>
      <c r="F4425" s="9">
        <v>41</v>
      </c>
      <c r="G4425" s="9">
        <v>436</v>
      </c>
      <c r="H4425" s="5" t="s">
        <v>20</v>
      </c>
      <c r="I4425" s="5" t="s">
        <v>10213</v>
      </c>
      <c r="J4425" s="12" t="str">
        <f>HYPERLINK("https://www.boe.es/gazeta/dias/1805/05/21/pdfs/GMD-1805-41.pdf#page=4","Abrir facsímil")</f>
        <v>Abrir facsímil</v>
      </c>
      <c r="K4425" s="15" t="s">
        <v>22</v>
      </c>
    </row>
    <row r="4426" spans="1:11" ht="42" customHeight="1">
      <c r="A4426" s="4" t="s">
        <v>10210</v>
      </c>
      <c r="B4426" s="5" t="s">
        <v>10210</v>
      </c>
      <c r="C4426" s="5" t="s">
        <v>184</v>
      </c>
      <c r="D4426" s="5" t="s">
        <v>86</v>
      </c>
      <c r="E4426" s="5" t="s">
        <v>711</v>
      </c>
      <c r="F4426" s="9">
        <v>63</v>
      </c>
      <c r="G4426" s="9">
        <v>667</v>
      </c>
      <c r="H4426" s="5" t="s">
        <v>20</v>
      </c>
      <c r="I4426" s="5" t="s">
        <v>10214</v>
      </c>
      <c r="J4426" s="12" t="str">
        <f>HYPERLINK("https://www.boe.es/gazeta/dias/1805/08/06/pdfs/GMD-1805-63.pdf#page=3","Abrir facsímil")</f>
        <v>Abrir facsímil</v>
      </c>
      <c r="K4426" s="15" t="s">
        <v>22</v>
      </c>
    </row>
    <row r="4427" spans="1:11" ht="42" customHeight="1">
      <c r="A4427" s="4" t="s">
        <v>10215</v>
      </c>
      <c r="B4427" s="5" t="s">
        <v>10215</v>
      </c>
      <c r="C4427" s="5" t="s">
        <v>29</v>
      </c>
      <c r="D4427" s="5" t="s">
        <v>30</v>
      </c>
      <c r="E4427" s="5" t="s">
        <v>188</v>
      </c>
      <c r="F4427" s="9">
        <v>68</v>
      </c>
      <c r="G4427" s="9">
        <v>725</v>
      </c>
      <c r="H4427" s="5" t="s">
        <v>20</v>
      </c>
      <c r="I4427" s="5" t="s">
        <v>10216</v>
      </c>
      <c r="J4427" s="12" t="str">
        <f>HYPERLINK("https://www.boe.es/gazeta/dias/1805/08/23/pdfs/GMD-1805-68.pdf#page=5","Abrir facsímil")</f>
        <v>Abrir facsímil</v>
      </c>
      <c r="K4427" s="15" t="s">
        <v>22</v>
      </c>
    </row>
    <row r="4428" spans="1:11" ht="42" customHeight="1">
      <c r="A4428" s="4" t="s">
        <v>10217</v>
      </c>
      <c r="B4428" s="5" t="s">
        <v>10217</v>
      </c>
      <c r="C4428" s="5" t="s">
        <v>29</v>
      </c>
      <c r="D4428" s="5" t="s">
        <v>30</v>
      </c>
      <c r="E4428" s="5" t="s">
        <v>399</v>
      </c>
      <c r="F4428" s="9">
        <v>39</v>
      </c>
      <c r="G4428" s="9">
        <v>413</v>
      </c>
      <c r="H4428" s="5" t="s">
        <v>20</v>
      </c>
      <c r="I4428" s="5" t="s">
        <v>10218</v>
      </c>
      <c r="J4428" s="12" t="str">
        <f>HYPERLINK("https://www.boe.es/gazeta/dias/1805/05/14/pdfs/GMD-1805-39.pdf#page=1","Abrir facsímil")</f>
        <v>Abrir facsímil</v>
      </c>
      <c r="K4428" s="15" t="s">
        <v>22</v>
      </c>
    </row>
    <row r="4429" spans="1:11" ht="42" customHeight="1">
      <c r="A4429" s="4" t="s">
        <v>10219</v>
      </c>
      <c r="B4429" s="5" t="s">
        <v>10219</v>
      </c>
      <c r="C4429" s="5" t="s">
        <v>80</v>
      </c>
      <c r="D4429" s="5" t="s">
        <v>81</v>
      </c>
      <c r="E4429" s="5" t="s">
        <v>132</v>
      </c>
      <c r="F4429" s="9">
        <v>2</v>
      </c>
      <c r="G4429" s="9">
        <v>15</v>
      </c>
      <c r="H4429" s="5" t="s">
        <v>20</v>
      </c>
      <c r="I4429" s="5" t="s">
        <v>10220</v>
      </c>
      <c r="J4429" s="12" t="str">
        <f>HYPERLINK("https://www.boe.es/gazeta/dias/1805/01/04/pdfs/GMD-1805-2.pdf#page=3","Abrir facsímil")</f>
        <v>Abrir facsímil</v>
      </c>
      <c r="K4429" s="15" t="s">
        <v>22</v>
      </c>
    </row>
    <row r="4430" spans="1:11" ht="42" customHeight="1">
      <c r="A4430" s="4" t="s">
        <v>10221</v>
      </c>
      <c r="B4430" s="5" t="s">
        <v>10221</v>
      </c>
      <c r="C4430" s="5" t="s">
        <v>80</v>
      </c>
      <c r="D4430" s="5" t="s">
        <v>81</v>
      </c>
      <c r="E4430" s="5" t="s">
        <v>27</v>
      </c>
      <c r="F4430" s="9">
        <v>37</v>
      </c>
      <c r="G4430" s="9">
        <v>395</v>
      </c>
      <c r="H4430" s="5" t="s">
        <v>20</v>
      </c>
      <c r="I4430" s="5" t="s">
        <v>10222</v>
      </c>
      <c r="J4430" s="12" t="str">
        <f>HYPERLINK("https://www.boe.es/gazeta/dias/1805/05/07/pdfs/GMD-1805-37.pdf#page=3","Abrir facsímil")</f>
        <v>Abrir facsímil</v>
      </c>
      <c r="K4430" s="15" t="s">
        <v>22</v>
      </c>
    </row>
    <row r="4431" spans="1:11" ht="42" customHeight="1">
      <c r="A4431" s="4" t="s">
        <v>10223</v>
      </c>
      <c r="B4431" s="5" t="s">
        <v>10223</v>
      </c>
      <c r="C4431" s="5" t="s">
        <v>80</v>
      </c>
      <c r="D4431" s="5" t="s">
        <v>81</v>
      </c>
      <c r="E4431" s="5" t="s">
        <v>135</v>
      </c>
      <c r="F4431" s="9">
        <v>71</v>
      </c>
      <c r="G4431" s="9">
        <v>751</v>
      </c>
      <c r="H4431" s="5" t="s">
        <v>20</v>
      </c>
      <c r="I4431" s="5" t="s">
        <v>10224</v>
      </c>
      <c r="J4431" s="12" t="str">
        <f>HYPERLINK("https://www.boe.es/gazeta/dias/1805/09/03/pdfs/GMD-1805-71.pdf#page=3","Abrir facsímil")</f>
        <v>Abrir facsímil</v>
      </c>
      <c r="K4431" s="15" t="s">
        <v>22</v>
      </c>
    </row>
    <row r="4432" spans="1:11" ht="42" customHeight="1">
      <c r="A4432" s="4" t="s">
        <v>10225</v>
      </c>
      <c r="B4432" s="5" t="s">
        <v>10225</v>
      </c>
      <c r="C4432" s="5" t="s">
        <v>80</v>
      </c>
      <c r="D4432" s="5" t="s">
        <v>81</v>
      </c>
      <c r="E4432" s="5" t="s">
        <v>864</v>
      </c>
      <c r="F4432" s="9">
        <v>88</v>
      </c>
      <c r="G4432" s="9">
        <v>931</v>
      </c>
      <c r="H4432" s="5" t="s">
        <v>20</v>
      </c>
      <c r="I4432" s="5" t="s">
        <v>10226</v>
      </c>
      <c r="J4432" s="12" t="str">
        <f>HYPERLINK("https://www.boe.es/gazeta/dias/1805/11/01/pdfs/GMD-1805-88.pdf#page=3","Abrir facsímil")</f>
        <v>Abrir facsímil</v>
      </c>
      <c r="K4432" s="15" t="s">
        <v>22</v>
      </c>
    </row>
    <row r="4433" spans="1:11" ht="42" customHeight="1">
      <c r="A4433" s="4" t="s">
        <v>10227</v>
      </c>
      <c r="B4433" s="5" t="s">
        <v>10227</v>
      </c>
      <c r="C4433" s="5" t="s">
        <v>17</v>
      </c>
      <c r="D4433" s="5" t="s">
        <v>18</v>
      </c>
      <c r="E4433" s="5" t="s">
        <v>112</v>
      </c>
      <c r="F4433" s="9">
        <v>16</v>
      </c>
      <c r="G4433" s="9">
        <v>164</v>
      </c>
      <c r="H4433" s="5" t="s">
        <v>20</v>
      </c>
      <c r="I4433" s="5" t="s">
        <v>10228</v>
      </c>
      <c r="J4433" s="12" t="str">
        <f>HYPERLINK("https://www.boe.es/gazeta/dias/1805/02/22/pdfs/GMD-1805-16.pdf#page=4","Abrir facsímil")</f>
        <v>Abrir facsímil</v>
      </c>
      <c r="K4433" s="15" t="s">
        <v>22</v>
      </c>
    </row>
    <row r="4434" spans="1:11" ht="42" customHeight="1">
      <c r="A4434" s="4" t="s">
        <v>10227</v>
      </c>
      <c r="B4434" s="5" t="s">
        <v>10227</v>
      </c>
      <c r="C4434" s="5" t="s">
        <v>80</v>
      </c>
      <c r="D4434" s="5" t="s">
        <v>81</v>
      </c>
      <c r="E4434" s="5" t="s">
        <v>261</v>
      </c>
      <c r="F4434" s="9">
        <v>18</v>
      </c>
      <c r="G4434" s="9">
        <v>182</v>
      </c>
      <c r="H4434" s="5" t="s">
        <v>20</v>
      </c>
      <c r="I4434" s="5" t="s">
        <v>10229</v>
      </c>
      <c r="J4434" s="12" t="str">
        <f>HYPERLINK("https://www.boe.es/gazeta/dias/1805/03/01/pdfs/GMD-1805-18.pdf#page=2","Abrir facsímil")</f>
        <v>Abrir facsímil</v>
      </c>
      <c r="K4434" s="15" t="s">
        <v>22</v>
      </c>
    </row>
    <row r="4435" spans="1:11" ht="42" customHeight="1">
      <c r="A4435" s="4" t="s">
        <v>10227</v>
      </c>
      <c r="B4435" s="5" t="s">
        <v>10227</v>
      </c>
      <c r="C4435" s="5" t="s">
        <v>35</v>
      </c>
      <c r="D4435" s="5" t="s">
        <v>36</v>
      </c>
      <c r="E4435" s="5" t="s">
        <v>471</v>
      </c>
      <c r="F4435" s="9">
        <v>22</v>
      </c>
      <c r="G4435" s="9">
        <v>227</v>
      </c>
      <c r="H4435" s="5" t="s">
        <v>20</v>
      </c>
      <c r="I4435" s="5" t="s">
        <v>10230</v>
      </c>
      <c r="J4435" s="12" t="str">
        <f>HYPERLINK("https://www.boe.es/gazeta/dias/1805/03/15/pdfs/GMD-1805-22.pdf#page=3","Abrir facsímil")</f>
        <v>Abrir facsímil</v>
      </c>
      <c r="K4435" s="15" t="s">
        <v>22</v>
      </c>
    </row>
    <row r="4436" spans="1:11" ht="42" customHeight="1">
      <c r="A4436" s="4" t="s">
        <v>10227</v>
      </c>
      <c r="B4436" s="5" t="s">
        <v>10227</v>
      </c>
      <c r="C4436" s="5" t="s">
        <v>80</v>
      </c>
      <c r="D4436" s="5" t="s">
        <v>81</v>
      </c>
      <c r="E4436" s="5" t="s">
        <v>290</v>
      </c>
      <c r="F4436" s="9">
        <v>36</v>
      </c>
      <c r="G4436" s="9">
        <v>381</v>
      </c>
      <c r="H4436" s="5" t="s">
        <v>20</v>
      </c>
      <c r="I4436" s="5" t="s">
        <v>10231</v>
      </c>
      <c r="J4436" s="12" t="str">
        <f>HYPERLINK("https://www.boe.es/gazeta/dias/1805/05/03/pdfs/GMD-1805-36.pdf#page=1","Abrir facsímil")</f>
        <v>Abrir facsímil</v>
      </c>
      <c r="K4436" s="15" t="s">
        <v>22</v>
      </c>
    </row>
    <row r="4437" spans="1:11" ht="42" customHeight="1">
      <c r="A4437" s="4" t="s">
        <v>10232</v>
      </c>
      <c r="B4437" s="5" t="s">
        <v>10232</v>
      </c>
      <c r="C4437" s="5" t="s">
        <v>80</v>
      </c>
      <c r="D4437" s="5" t="s">
        <v>81</v>
      </c>
      <c r="E4437" s="5" t="s">
        <v>40</v>
      </c>
      <c r="F4437" s="9">
        <v>59</v>
      </c>
      <c r="G4437" s="9">
        <v>626</v>
      </c>
      <c r="H4437" s="5" t="s">
        <v>20</v>
      </c>
      <c r="I4437" s="5" t="s">
        <v>10233</v>
      </c>
      <c r="J4437" s="12" t="str">
        <f>HYPERLINK("https://www.boe.es/gazeta/dias/1805/07/23/pdfs/GMD-1805-59.pdf#page=2","Abrir facsímil")</f>
        <v>Abrir facsímil</v>
      </c>
      <c r="K4437" s="15" t="s">
        <v>22</v>
      </c>
    </row>
    <row r="4438" spans="1:11" ht="42" customHeight="1">
      <c r="A4438" s="4" t="s">
        <v>10234</v>
      </c>
      <c r="B4438" s="5" t="s">
        <v>10234</v>
      </c>
      <c r="C4438" s="5" t="s">
        <v>35</v>
      </c>
      <c r="D4438" s="5" t="s">
        <v>36</v>
      </c>
      <c r="E4438" s="5" t="s">
        <v>261</v>
      </c>
      <c r="F4438" s="9">
        <v>18</v>
      </c>
      <c r="G4438" s="9">
        <v>184</v>
      </c>
      <c r="H4438" s="5" t="s">
        <v>20</v>
      </c>
      <c r="I4438" s="5" t="s">
        <v>10235</v>
      </c>
      <c r="J4438" s="12" t="str">
        <f>HYPERLINK("https://www.boe.es/gazeta/dias/1805/03/01/pdfs/GMD-1805-18.pdf#page=4","Abrir facsímil")</f>
        <v>Abrir facsímil</v>
      </c>
      <c r="K4438" s="15" t="s">
        <v>22</v>
      </c>
    </row>
    <row r="4439" spans="1:11" ht="42" customHeight="1">
      <c r="A4439" s="4" t="s">
        <v>10234</v>
      </c>
      <c r="B4439" s="5" t="s">
        <v>10234</v>
      </c>
      <c r="C4439" s="5" t="s">
        <v>17</v>
      </c>
      <c r="D4439" s="5" t="s">
        <v>18</v>
      </c>
      <c r="E4439" s="5" t="s">
        <v>1292</v>
      </c>
      <c r="F4439" s="9">
        <v>43</v>
      </c>
      <c r="G4439" s="9">
        <v>462</v>
      </c>
      <c r="H4439" s="5" t="s">
        <v>20</v>
      </c>
      <c r="I4439" s="5" t="s">
        <v>10236</v>
      </c>
      <c r="J4439" s="12" t="str">
        <f>HYPERLINK("https://www.boe.es/gazeta/dias/1805/05/28/pdfs/GMD-1805-43.pdf#page=6","Abrir facsímil")</f>
        <v>Abrir facsímil</v>
      </c>
      <c r="K4439" s="15" t="s">
        <v>22</v>
      </c>
    </row>
    <row r="4440" spans="1:11" ht="42" customHeight="1">
      <c r="A4440" s="4" t="s">
        <v>10237</v>
      </c>
      <c r="B4440" s="5" t="s">
        <v>10237</v>
      </c>
      <c r="C4440" s="5" t="s">
        <v>35</v>
      </c>
      <c r="D4440" s="5" t="s">
        <v>36</v>
      </c>
      <c r="E4440" s="5" t="s">
        <v>365</v>
      </c>
      <c r="F4440" s="9">
        <v>3</v>
      </c>
      <c r="G4440" s="9">
        <v>26</v>
      </c>
      <c r="H4440" s="5" t="s">
        <v>20</v>
      </c>
      <c r="I4440" s="5" t="s">
        <v>10238</v>
      </c>
      <c r="J4440" s="12" t="str">
        <f>HYPERLINK("https://www.boe.es/gazeta/dias/1805/01/08/pdfs/GMD-1805-3.pdf#page=2","Abrir facsímil")</f>
        <v>Abrir facsímil</v>
      </c>
      <c r="K4440" s="15" t="s">
        <v>22</v>
      </c>
    </row>
    <row r="4441" spans="1:11" ht="42" customHeight="1">
      <c r="A4441" s="4" t="s">
        <v>10239</v>
      </c>
      <c r="B4441" s="5" t="s">
        <v>10239</v>
      </c>
      <c r="C4441" s="5" t="s">
        <v>80</v>
      </c>
      <c r="D4441" s="5" t="s">
        <v>81</v>
      </c>
      <c r="E4441" s="5" t="s">
        <v>148</v>
      </c>
      <c r="F4441" s="9">
        <v>50</v>
      </c>
      <c r="G4441" s="9">
        <v>536</v>
      </c>
      <c r="H4441" s="5" t="s">
        <v>20</v>
      </c>
      <c r="I4441" s="5" t="s">
        <v>10240</v>
      </c>
      <c r="J4441" s="12" t="str">
        <f>HYPERLINK("https://www.boe.es/gazeta/dias/1805/06/21/pdfs/GMD-1805-50.pdf#page=4","Abrir facsímil")</f>
        <v>Abrir facsímil</v>
      </c>
      <c r="K4441" s="15" t="s">
        <v>22</v>
      </c>
    </row>
    <row r="4442" spans="1:11" ht="42" customHeight="1">
      <c r="A4442" s="4" t="s">
        <v>10239</v>
      </c>
      <c r="B4442" s="5" t="s">
        <v>10239</v>
      </c>
      <c r="C4442" s="5" t="s">
        <v>35</v>
      </c>
      <c r="D4442" s="5" t="s">
        <v>36</v>
      </c>
      <c r="E4442" s="5" t="s">
        <v>99</v>
      </c>
      <c r="F4442" s="9">
        <v>83</v>
      </c>
      <c r="G4442" s="9">
        <v>874</v>
      </c>
      <c r="H4442" s="5" t="s">
        <v>20</v>
      </c>
      <c r="I4442" s="5" t="s">
        <v>10241</v>
      </c>
      <c r="J4442" s="12" t="str">
        <f>HYPERLINK("https://www.boe.es/gazeta/dias/1805/10/15/pdfs/GMD-1805-83.pdf#page=2","Abrir facsímil")</f>
        <v>Abrir facsímil</v>
      </c>
      <c r="K4442" s="15" t="s">
        <v>22</v>
      </c>
    </row>
    <row r="4443" spans="1:11" ht="42" customHeight="1">
      <c r="A4443" s="4" t="s">
        <v>10242</v>
      </c>
      <c r="B4443" s="5" t="s">
        <v>10242</v>
      </c>
      <c r="C4443" s="5" t="s">
        <v>17</v>
      </c>
      <c r="D4443" s="5" t="s">
        <v>18</v>
      </c>
      <c r="E4443" s="5" t="s">
        <v>1445</v>
      </c>
      <c r="F4443" s="9">
        <v>6</v>
      </c>
      <c r="G4443" s="9">
        <v>59</v>
      </c>
      <c r="H4443" s="5" t="s">
        <v>20</v>
      </c>
      <c r="I4443" s="5" t="s">
        <v>10243</v>
      </c>
      <c r="J4443" s="12" t="str">
        <f>HYPERLINK("https://www.boe.es/gazeta/dias/1805/01/18/pdfs/GMD-1805-6.pdf#page=3","Abrir facsímil")</f>
        <v>Abrir facsímil</v>
      </c>
      <c r="K4443" s="15" t="s">
        <v>22</v>
      </c>
    </row>
    <row r="4444" spans="1:11" ht="42" customHeight="1">
      <c r="A4444" s="4" t="s">
        <v>10242</v>
      </c>
      <c r="B4444" s="5" t="s">
        <v>10242</v>
      </c>
      <c r="C4444" s="5" t="s">
        <v>80</v>
      </c>
      <c r="D4444" s="5" t="s">
        <v>81</v>
      </c>
      <c r="E4444" s="5" t="s">
        <v>114</v>
      </c>
      <c r="F4444" s="9">
        <v>17</v>
      </c>
      <c r="G4444" s="9">
        <v>170</v>
      </c>
      <c r="H4444" s="5" t="s">
        <v>20</v>
      </c>
      <c r="I4444" s="5" t="s">
        <v>10244</v>
      </c>
      <c r="J4444" s="12" t="str">
        <f>HYPERLINK("https://www.boe.es/gazeta/dias/1805/02/26/pdfs/GMD-1805-17.pdf#page=2","Abrir facsímil")</f>
        <v>Abrir facsímil</v>
      </c>
      <c r="K4444" s="15" t="s">
        <v>22</v>
      </c>
    </row>
    <row r="4445" spans="1:11" ht="42" customHeight="1">
      <c r="A4445" s="4" t="s">
        <v>10242</v>
      </c>
      <c r="B4445" s="5" t="s">
        <v>10242</v>
      </c>
      <c r="C4445" s="5" t="s">
        <v>35</v>
      </c>
      <c r="D4445" s="5" t="s">
        <v>36</v>
      </c>
      <c r="E4445" s="5" t="s">
        <v>128</v>
      </c>
      <c r="F4445" s="9">
        <v>23</v>
      </c>
      <c r="G4445" s="9">
        <v>240</v>
      </c>
      <c r="H4445" s="5" t="s">
        <v>20</v>
      </c>
      <c r="I4445" s="5" t="s">
        <v>10245</v>
      </c>
      <c r="J4445" s="12" t="str">
        <f>HYPERLINK("https://www.boe.es/gazeta/dias/1805/03/19/pdfs/GMD-1805-23.pdf#page=4","Abrir facsímil")</f>
        <v>Abrir facsímil</v>
      </c>
      <c r="K4445" s="15" t="s">
        <v>22</v>
      </c>
    </row>
    <row r="4446" spans="1:11" ht="42" customHeight="1">
      <c r="A4446" s="4" t="s">
        <v>10242</v>
      </c>
      <c r="B4446" s="5" t="s">
        <v>10242</v>
      </c>
      <c r="C4446" s="5" t="s">
        <v>80</v>
      </c>
      <c r="D4446" s="5" t="s">
        <v>81</v>
      </c>
      <c r="E4446" s="5" t="s">
        <v>213</v>
      </c>
      <c r="F4446" s="9">
        <v>56</v>
      </c>
      <c r="G4446" s="9">
        <v>594</v>
      </c>
      <c r="H4446" s="5" t="s">
        <v>20</v>
      </c>
      <c r="I4446" s="5" t="s">
        <v>10246</v>
      </c>
      <c r="J4446" s="12" t="str">
        <f>HYPERLINK("https://www.boe.es/gazeta/dias/1805/07/12/pdfs/GMD-1805-56.pdf#page=2","Abrir facsímil")</f>
        <v>Abrir facsímil</v>
      </c>
      <c r="K4446" s="15" t="s">
        <v>22</v>
      </c>
    </row>
    <row r="4447" spans="1:11" ht="42" customHeight="1">
      <c r="A4447" s="4" t="s">
        <v>10247</v>
      </c>
      <c r="B4447" s="5" t="s">
        <v>10247</v>
      </c>
      <c r="C4447" s="5" t="s">
        <v>17</v>
      </c>
      <c r="D4447" s="5" t="s">
        <v>18</v>
      </c>
      <c r="E4447" s="5" t="s">
        <v>128</v>
      </c>
      <c r="F4447" s="9">
        <v>23</v>
      </c>
      <c r="G4447" s="9">
        <v>243</v>
      </c>
      <c r="H4447" s="5" t="s">
        <v>20</v>
      </c>
      <c r="I4447" s="5" t="s">
        <v>10248</v>
      </c>
      <c r="J4447" s="12" t="str">
        <f>HYPERLINK("https://www.boe.es/gazeta/dias/1805/03/19/pdfs/GMD-1805-23.pdf#page=7","Abrir facsímil")</f>
        <v>Abrir facsímil</v>
      </c>
      <c r="K4447" s="15" t="s">
        <v>22</v>
      </c>
    </row>
    <row r="4448" spans="1:11" ht="42" customHeight="1">
      <c r="A4448" s="4" t="s">
        <v>10247</v>
      </c>
      <c r="B4448" s="5" t="s">
        <v>10247</v>
      </c>
      <c r="C4448" s="5" t="s">
        <v>17</v>
      </c>
      <c r="D4448" s="5" t="s">
        <v>18</v>
      </c>
      <c r="E4448" s="5" t="s">
        <v>567</v>
      </c>
      <c r="F4448" s="9">
        <v>49</v>
      </c>
      <c r="G4448" s="9">
        <v>529</v>
      </c>
      <c r="H4448" s="5" t="s">
        <v>20</v>
      </c>
      <c r="I4448" s="5" t="s">
        <v>10249</v>
      </c>
      <c r="J4448" s="12" t="str">
        <f>HYPERLINK("https://www.boe.es/gazeta/dias/1805/06/18/pdfs/GMD-1805-49.pdf#page=5","Abrir facsímil")</f>
        <v>Abrir facsímil</v>
      </c>
      <c r="K4448" s="15" t="s">
        <v>22</v>
      </c>
    </row>
    <row r="4449" spans="1:11" ht="42" customHeight="1">
      <c r="A4449" s="4" t="s">
        <v>10247</v>
      </c>
      <c r="B4449" s="5" t="s">
        <v>10247</v>
      </c>
      <c r="C4449" s="5" t="s">
        <v>35</v>
      </c>
      <c r="D4449" s="5" t="s">
        <v>36</v>
      </c>
      <c r="E4449" s="5" t="s">
        <v>141</v>
      </c>
      <c r="F4449" s="9">
        <v>82</v>
      </c>
      <c r="G4449" s="9">
        <v>864</v>
      </c>
      <c r="H4449" s="5" t="s">
        <v>20</v>
      </c>
      <c r="I4449" s="5" t="s">
        <v>10250</v>
      </c>
      <c r="J4449" s="12" t="str">
        <f>HYPERLINK("https://www.boe.es/gazeta/dias/1805/10/11/pdfs/GMD-1805-82.pdf#page=4","Abrir facsímil")</f>
        <v>Abrir facsímil</v>
      </c>
      <c r="K4449" s="15" t="s">
        <v>22</v>
      </c>
    </row>
    <row r="4450" spans="1:11" ht="42" customHeight="1">
      <c r="A4450" s="4" t="s">
        <v>10251</v>
      </c>
      <c r="B4450" s="5" t="s">
        <v>10251</v>
      </c>
      <c r="C4450" s="5" t="s">
        <v>80</v>
      </c>
      <c r="D4450" s="5" t="s">
        <v>81</v>
      </c>
      <c r="E4450" s="5" t="s">
        <v>711</v>
      </c>
      <c r="F4450" s="9">
        <v>63</v>
      </c>
      <c r="G4450" s="9">
        <v>670</v>
      </c>
      <c r="H4450" s="5" t="s">
        <v>20</v>
      </c>
      <c r="I4450" s="5" t="s">
        <v>10252</v>
      </c>
      <c r="J4450" s="12" t="str">
        <f>HYPERLINK("https://www.boe.es/gazeta/dias/1805/08/06/pdfs/GMD-1805-63.pdf#page=6","Abrir facsímil")</f>
        <v>Abrir facsímil</v>
      </c>
      <c r="K4450" s="15" t="s">
        <v>22</v>
      </c>
    </row>
    <row r="4451" spans="1:11" ht="42" customHeight="1">
      <c r="A4451" s="4" t="s">
        <v>10253</v>
      </c>
      <c r="B4451" s="5" t="s">
        <v>10253</v>
      </c>
      <c r="C4451" s="5" t="s">
        <v>17</v>
      </c>
      <c r="D4451" s="5" t="s">
        <v>18</v>
      </c>
      <c r="E4451" s="5" t="s">
        <v>114</v>
      </c>
      <c r="F4451" s="9">
        <v>17</v>
      </c>
      <c r="G4451" s="9">
        <v>176</v>
      </c>
      <c r="H4451" s="5" t="s">
        <v>20</v>
      </c>
      <c r="I4451" s="5" t="s">
        <v>10254</v>
      </c>
      <c r="J4451" s="12" t="str">
        <f>HYPERLINK("https://www.boe.es/gazeta/dias/1805/02/26/pdfs/GMD-1805-17.pdf#page=8","Abrir facsímil")</f>
        <v>Abrir facsímil</v>
      </c>
      <c r="K4451" s="15" t="s">
        <v>22</v>
      </c>
    </row>
    <row r="4452" spans="1:11" ht="42" customHeight="1">
      <c r="A4452" s="4" t="s">
        <v>10253</v>
      </c>
      <c r="B4452" s="5" t="s">
        <v>10253</v>
      </c>
      <c r="C4452" s="5" t="s">
        <v>17</v>
      </c>
      <c r="D4452" s="5" t="s">
        <v>18</v>
      </c>
      <c r="E4452" s="5" t="s">
        <v>120</v>
      </c>
      <c r="F4452" s="9">
        <v>24</v>
      </c>
      <c r="G4452" s="9">
        <v>252</v>
      </c>
      <c r="H4452" s="5" t="s">
        <v>20</v>
      </c>
      <c r="I4452" s="5" t="s">
        <v>10255</v>
      </c>
      <c r="J4452" s="12" t="str">
        <f>HYPERLINK("https://www.boe.es/gazeta/dias/1805/03/22/pdfs/GMD-1805-24.pdf#page=4","Abrir facsímil")</f>
        <v>Abrir facsímil</v>
      </c>
      <c r="K4452" s="15" t="s">
        <v>22</v>
      </c>
    </row>
    <row r="4453" spans="1:11" ht="42" customHeight="1">
      <c r="A4453" s="4" t="s">
        <v>10253</v>
      </c>
      <c r="B4453" s="5" t="s">
        <v>10253</v>
      </c>
      <c r="C4453" s="5" t="s">
        <v>17</v>
      </c>
      <c r="D4453" s="5" t="s">
        <v>18</v>
      </c>
      <c r="E4453" s="5" t="s">
        <v>1432</v>
      </c>
      <c r="F4453" s="9">
        <v>53</v>
      </c>
      <c r="G4453" s="9">
        <v>569</v>
      </c>
      <c r="H4453" s="5" t="s">
        <v>20</v>
      </c>
      <c r="I4453" s="5" t="s">
        <v>10256</v>
      </c>
      <c r="J4453" s="12" t="str">
        <f>HYPERLINK("https://www.boe.es/gazeta/dias/1805/07/02/pdfs/GMD-1805-53.pdf#page=5","Abrir facsímil")</f>
        <v>Abrir facsímil</v>
      </c>
      <c r="K4453" s="15" t="s">
        <v>22</v>
      </c>
    </row>
    <row r="4454" spans="1:11" ht="42" customHeight="1">
      <c r="A4454" s="4" t="s">
        <v>10253</v>
      </c>
      <c r="B4454" s="5" t="s">
        <v>10253</v>
      </c>
      <c r="C4454" s="5" t="s">
        <v>29</v>
      </c>
      <c r="D4454" s="5" t="s">
        <v>30</v>
      </c>
      <c r="E4454" s="5" t="s">
        <v>135</v>
      </c>
      <c r="F4454" s="9">
        <v>71</v>
      </c>
      <c r="G4454" s="9">
        <v>749</v>
      </c>
      <c r="H4454" s="5" t="s">
        <v>20</v>
      </c>
      <c r="I4454" s="5" t="s">
        <v>10257</v>
      </c>
      <c r="J4454" s="12" t="str">
        <f>HYPERLINK("https://www.boe.es/gazeta/dias/1805/09/03/pdfs/GMD-1805-71.pdf#page=1","Abrir facsímil")</f>
        <v>Abrir facsímil</v>
      </c>
      <c r="K4454" s="15" t="s">
        <v>22</v>
      </c>
    </row>
    <row r="4455" spans="1:11" ht="42" customHeight="1">
      <c r="A4455" s="4" t="s">
        <v>10258</v>
      </c>
      <c r="B4455" s="5" t="s">
        <v>10258</v>
      </c>
      <c r="C4455" s="5" t="s">
        <v>80</v>
      </c>
      <c r="D4455" s="5" t="s">
        <v>81</v>
      </c>
      <c r="E4455" s="5" t="s">
        <v>585</v>
      </c>
      <c r="F4455" s="9">
        <v>64</v>
      </c>
      <c r="G4455" s="9">
        <v>681</v>
      </c>
      <c r="H4455" s="5" t="s">
        <v>20</v>
      </c>
      <c r="I4455" s="5" t="s">
        <v>10259</v>
      </c>
      <c r="J4455" s="12" t="str">
        <f>HYPERLINK("https://www.boe.es/gazeta/dias/1805/08/09/pdfs/GMD-1805-64.pdf#page=5","Abrir facsímil")</f>
        <v>Abrir facsímil</v>
      </c>
      <c r="K4455" s="15" t="s">
        <v>22</v>
      </c>
    </row>
    <row r="4456" spans="1:11" ht="42" customHeight="1">
      <c r="A4456" s="4" t="s">
        <v>10260</v>
      </c>
      <c r="B4456" s="5" t="s">
        <v>10260</v>
      </c>
      <c r="C4456" s="5" t="s">
        <v>80</v>
      </c>
      <c r="D4456" s="5" t="s">
        <v>81</v>
      </c>
      <c r="E4456" s="5" t="s">
        <v>585</v>
      </c>
      <c r="F4456" s="9">
        <v>64</v>
      </c>
      <c r="G4456" s="9">
        <v>681</v>
      </c>
      <c r="H4456" s="5" t="s">
        <v>20</v>
      </c>
      <c r="I4456" s="5" t="s">
        <v>10261</v>
      </c>
      <c r="J4456" s="12" t="str">
        <f>HYPERLINK("https://www.boe.es/gazeta/dias/1805/08/09/pdfs/GMD-1805-64.pdf#page=5","Abrir facsímil")</f>
        <v>Abrir facsímil</v>
      </c>
      <c r="K4456" s="15" t="s">
        <v>22</v>
      </c>
    </row>
    <row r="4457" spans="1:11" ht="42" customHeight="1">
      <c r="A4457" s="4" t="s">
        <v>10262</v>
      </c>
      <c r="B4457" s="5" t="s">
        <v>10262</v>
      </c>
      <c r="C4457" s="5" t="s">
        <v>17</v>
      </c>
      <c r="D4457" s="5" t="s">
        <v>18</v>
      </c>
      <c r="E4457" s="5" t="s">
        <v>120</v>
      </c>
      <c r="F4457" s="9">
        <v>24</v>
      </c>
      <c r="G4457" s="9">
        <v>252</v>
      </c>
      <c r="H4457" s="5" t="s">
        <v>20</v>
      </c>
      <c r="I4457" s="5" t="s">
        <v>10263</v>
      </c>
      <c r="J4457" s="12" t="str">
        <f>HYPERLINK("https://www.boe.es/gazeta/dias/1805/03/22/pdfs/GMD-1805-24.pdf#page=4","Abrir facsímil")</f>
        <v>Abrir facsímil</v>
      </c>
      <c r="K4457" s="15" t="s">
        <v>22</v>
      </c>
    </row>
    <row r="4458" spans="1:11" ht="42" customHeight="1">
      <c r="A4458" s="4" t="s">
        <v>10262</v>
      </c>
      <c r="B4458" s="5" t="s">
        <v>10262</v>
      </c>
      <c r="C4458" s="5" t="s">
        <v>35</v>
      </c>
      <c r="D4458" s="5" t="s">
        <v>36</v>
      </c>
      <c r="E4458" s="5" t="s">
        <v>711</v>
      </c>
      <c r="F4458" s="9">
        <v>63</v>
      </c>
      <c r="G4458" s="9">
        <v>671</v>
      </c>
      <c r="H4458" s="5" t="s">
        <v>20</v>
      </c>
      <c r="I4458" s="5" t="s">
        <v>10264</v>
      </c>
      <c r="J4458" s="12" t="str">
        <f>HYPERLINK("https://www.boe.es/gazeta/dias/1805/08/06/pdfs/GMD-1805-63.pdf#page=7","Abrir facsímil")</f>
        <v>Abrir facsímil</v>
      </c>
      <c r="K4458" s="15" t="s">
        <v>22</v>
      </c>
    </row>
    <row r="4459" spans="1:11" ht="42" customHeight="1">
      <c r="A4459" s="4" t="s">
        <v>10265</v>
      </c>
      <c r="B4459" s="5" t="s">
        <v>10265</v>
      </c>
      <c r="C4459" s="5" t="s">
        <v>17</v>
      </c>
      <c r="D4459" s="5" t="s">
        <v>18</v>
      </c>
      <c r="E4459" s="5" t="s">
        <v>399</v>
      </c>
      <c r="F4459" s="9">
        <v>39</v>
      </c>
      <c r="G4459" s="9">
        <v>421</v>
      </c>
      <c r="H4459" s="5" t="s">
        <v>20</v>
      </c>
      <c r="I4459" s="5" t="s">
        <v>10266</v>
      </c>
      <c r="J4459" s="12" t="str">
        <f>HYPERLINK("https://www.boe.es/gazeta/dias/1805/05/14/pdfs/GMD-1805-39.pdf#page=9","Abrir facsímil")</f>
        <v>Abrir facsímil</v>
      </c>
      <c r="K4459" s="15" t="s">
        <v>22</v>
      </c>
    </row>
    <row r="4460" spans="1:11" ht="42" customHeight="1">
      <c r="A4460" s="4" t="s">
        <v>10267</v>
      </c>
      <c r="B4460" s="5" t="s">
        <v>10267</v>
      </c>
      <c r="C4460" s="5" t="s">
        <v>80</v>
      </c>
      <c r="D4460" s="5" t="s">
        <v>81</v>
      </c>
      <c r="E4460" s="5" t="s">
        <v>135</v>
      </c>
      <c r="F4460" s="9">
        <v>71</v>
      </c>
      <c r="G4460" s="9">
        <v>750</v>
      </c>
      <c r="H4460" s="5" t="s">
        <v>20</v>
      </c>
      <c r="I4460" s="5" t="s">
        <v>10268</v>
      </c>
      <c r="J4460" s="12" t="str">
        <f>HYPERLINK("https://www.boe.es/gazeta/dias/1805/09/03/pdfs/GMD-1805-71.pdf#page=2","Abrir facsímil")</f>
        <v>Abrir facsímil</v>
      </c>
      <c r="K4460" s="15" t="s">
        <v>22</v>
      </c>
    </row>
    <row r="4461" spans="1:11" ht="42" customHeight="1">
      <c r="A4461" s="4" t="s">
        <v>10269</v>
      </c>
      <c r="B4461" s="5" t="s">
        <v>10269</v>
      </c>
      <c r="C4461" s="5" t="s">
        <v>80</v>
      </c>
      <c r="D4461" s="5" t="s">
        <v>81</v>
      </c>
      <c r="E4461" s="5" t="s">
        <v>904</v>
      </c>
      <c r="F4461" s="9">
        <v>47</v>
      </c>
      <c r="G4461" s="9">
        <v>508</v>
      </c>
      <c r="H4461" s="5" t="s">
        <v>20</v>
      </c>
      <c r="I4461" s="5" t="s">
        <v>10270</v>
      </c>
      <c r="J4461" s="12" t="str">
        <f>HYPERLINK("https://www.boe.es/gazeta/dias/1805/06/11/pdfs/GMD-1805-47.pdf#page=8","Abrir facsímil")</f>
        <v>Abrir facsímil</v>
      </c>
      <c r="K4461" s="15" t="s">
        <v>22</v>
      </c>
    </row>
    <row r="4462" spans="1:11" ht="42" customHeight="1">
      <c r="A4462" s="4" t="s">
        <v>10271</v>
      </c>
      <c r="B4462" s="5" t="s">
        <v>10271</v>
      </c>
      <c r="C4462" s="5" t="s">
        <v>35</v>
      </c>
      <c r="D4462" s="5" t="s">
        <v>36</v>
      </c>
      <c r="E4462" s="5" t="s">
        <v>138</v>
      </c>
      <c r="F4462" s="9">
        <v>102</v>
      </c>
      <c r="G4462" s="9">
        <v>1098</v>
      </c>
      <c r="H4462" s="5" t="s">
        <v>20</v>
      </c>
      <c r="I4462" s="5" t="s">
        <v>10272</v>
      </c>
      <c r="J4462" s="12" t="str">
        <f>HYPERLINK("https://www.boe.es/gazeta/dias/1805/12/20/pdfs/GMD-1805-102.pdf#page=2","Abrir facsímil")</f>
        <v>Abrir facsímil</v>
      </c>
      <c r="K4462" s="15" t="s">
        <v>22</v>
      </c>
    </row>
    <row r="4463" spans="1:11" ht="42" customHeight="1">
      <c r="A4463" s="4" t="s">
        <v>10273</v>
      </c>
      <c r="B4463" s="5" t="s">
        <v>10273</v>
      </c>
      <c r="C4463" s="5" t="s">
        <v>80</v>
      </c>
      <c r="D4463" s="5" t="s">
        <v>81</v>
      </c>
      <c r="E4463" s="5" t="s">
        <v>273</v>
      </c>
      <c r="F4463" s="9">
        <v>8</v>
      </c>
      <c r="G4463" s="9">
        <v>85</v>
      </c>
      <c r="H4463" s="5" t="s">
        <v>20</v>
      </c>
      <c r="I4463" s="5" t="s">
        <v>10274</v>
      </c>
      <c r="J4463" s="12" t="str">
        <f>HYPERLINK("https://www.boe.es/gazeta/dias/1805/01/25/pdfs/GMD-1805-8.pdf#page=5","Abrir facsímil")</f>
        <v>Abrir facsímil</v>
      </c>
      <c r="K4463" s="15" t="s">
        <v>22</v>
      </c>
    </row>
    <row r="4464" spans="1:11" ht="42" customHeight="1">
      <c r="A4464" s="4" t="s">
        <v>10273</v>
      </c>
      <c r="B4464" s="5" t="s">
        <v>10273</v>
      </c>
      <c r="C4464" s="5" t="s">
        <v>35</v>
      </c>
      <c r="D4464" s="5" t="s">
        <v>36</v>
      </c>
      <c r="E4464" s="5" t="s">
        <v>95</v>
      </c>
      <c r="F4464" s="9">
        <v>13</v>
      </c>
      <c r="G4464" s="9">
        <v>135</v>
      </c>
      <c r="H4464" s="5" t="s">
        <v>20</v>
      </c>
      <c r="I4464" s="5" t="s">
        <v>10275</v>
      </c>
      <c r="J4464" s="12" t="str">
        <f>HYPERLINK("https://www.boe.es/gazeta/dias/1805/02/12/pdfs/GMD-1805-13.pdf#page=3","Abrir facsímil")</f>
        <v>Abrir facsímil</v>
      </c>
      <c r="K4464" s="15" t="s">
        <v>22</v>
      </c>
    </row>
    <row r="4465" spans="1:11" ht="42" customHeight="1">
      <c r="A4465" s="4" t="s">
        <v>10273</v>
      </c>
      <c r="B4465" s="5" t="s">
        <v>10273</v>
      </c>
      <c r="C4465" s="5" t="s">
        <v>17</v>
      </c>
      <c r="D4465" s="5" t="s">
        <v>18</v>
      </c>
      <c r="E4465" s="5" t="s">
        <v>440</v>
      </c>
      <c r="F4465" s="9">
        <v>27</v>
      </c>
      <c r="G4465" s="9">
        <v>282</v>
      </c>
      <c r="H4465" s="5" t="s">
        <v>20</v>
      </c>
      <c r="I4465" s="5" t="s">
        <v>10276</v>
      </c>
      <c r="J4465" s="12" t="str">
        <f>HYPERLINK("https://www.boe.es/gazeta/dias/1805/04/02/pdfs/GMD-1805-27.pdf#page=2","Abrir facsímil")</f>
        <v>Abrir facsímil</v>
      </c>
      <c r="K4465" s="15" t="s">
        <v>22</v>
      </c>
    </row>
    <row r="4466" spans="1:11" ht="42" customHeight="1">
      <c r="A4466" s="4" t="s">
        <v>10273</v>
      </c>
      <c r="B4466" s="5" t="s">
        <v>10273</v>
      </c>
      <c r="C4466" s="5" t="s">
        <v>35</v>
      </c>
      <c r="D4466" s="5" t="s">
        <v>36</v>
      </c>
      <c r="E4466" s="5" t="s">
        <v>37</v>
      </c>
      <c r="F4466" s="9">
        <v>54</v>
      </c>
      <c r="G4466" s="9">
        <v>575</v>
      </c>
      <c r="H4466" s="5" t="s">
        <v>20</v>
      </c>
      <c r="I4466" s="5" t="s">
        <v>10277</v>
      </c>
      <c r="J4466" s="12" t="str">
        <f>HYPERLINK("https://www.boe.es/gazeta/dias/1805/07/05/pdfs/GMD-1805-54.pdf#page=3","Abrir facsímil")</f>
        <v>Abrir facsímil</v>
      </c>
      <c r="K4466" s="15" t="s">
        <v>22</v>
      </c>
    </row>
    <row r="4467" spans="1:11" ht="42" customHeight="1">
      <c r="A4467" s="4" t="s">
        <v>10273</v>
      </c>
      <c r="B4467" s="5" t="s">
        <v>10273</v>
      </c>
      <c r="C4467" s="5" t="s">
        <v>80</v>
      </c>
      <c r="D4467" s="5" t="s">
        <v>81</v>
      </c>
      <c r="E4467" s="5" t="s">
        <v>1259</v>
      </c>
      <c r="F4467" s="9">
        <v>78</v>
      </c>
      <c r="G4467" s="9">
        <v>822</v>
      </c>
      <c r="H4467" s="5" t="s">
        <v>20</v>
      </c>
      <c r="I4467" s="5" t="s">
        <v>10278</v>
      </c>
      <c r="J4467" s="12" t="str">
        <f>HYPERLINK("https://www.boe.es/gazeta/dias/1805/09/27/pdfs/GMD-1805-78.pdf#page=2","Abrir facsímil")</f>
        <v>Abrir facsímil</v>
      </c>
      <c r="K4467" s="15" t="s">
        <v>22</v>
      </c>
    </row>
    <row r="4468" spans="1:11" ht="42" customHeight="1">
      <c r="A4468" s="4" t="s">
        <v>10273</v>
      </c>
      <c r="B4468" s="5" t="s">
        <v>10273</v>
      </c>
      <c r="C4468" s="5" t="s">
        <v>184</v>
      </c>
      <c r="D4468" s="5" t="s">
        <v>86</v>
      </c>
      <c r="E4468" s="5" t="s">
        <v>817</v>
      </c>
      <c r="F4468" s="9">
        <v>92</v>
      </c>
      <c r="G4468" s="9">
        <v>988</v>
      </c>
      <c r="H4468" s="5" t="s">
        <v>20</v>
      </c>
      <c r="I4468" s="5" t="s">
        <v>10279</v>
      </c>
      <c r="J4468" s="12" t="str">
        <f>HYPERLINK("https://www.boe.es/gazeta/dias/1805/11/15/pdfs/GMD-1805-92.pdf#page=8","Abrir facsímil")</f>
        <v>Abrir facsímil</v>
      </c>
      <c r="K4468" s="15" t="s">
        <v>22</v>
      </c>
    </row>
    <row r="4469" spans="1:11" ht="42" customHeight="1">
      <c r="A4469" s="4" t="s">
        <v>10280</v>
      </c>
      <c r="B4469" s="5" t="s">
        <v>10280</v>
      </c>
      <c r="C4469" s="5" t="s">
        <v>80</v>
      </c>
      <c r="D4469" s="5" t="s">
        <v>81</v>
      </c>
      <c r="E4469" s="5" t="s">
        <v>356</v>
      </c>
      <c r="F4469" s="9">
        <v>12</v>
      </c>
      <c r="G4469" s="9">
        <v>127</v>
      </c>
      <c r="H4469" s="5" t="s">
        <v>20</v>
      </c>
      <c r="I4469" s="5" t="s">
        <v>10281</v>
      </c>
      <c r="J4469" s="12" t="str">
        <f>HYPERLINK("https://www.boe.es/gazeta/dias/1805/02/08/pdfs/GMD-1805-12.pdf#page=3","Abrir facsímil")</f>
        <v>Abrir facsímil</v>
      </c>
      <c r="K4469" s="15" t="s">
        <v>22</v>
      </c>
    </row>
    <row r="4470" spans="1:11" ht="42" customHeight="1">
      <c r="A4470" s="4" t="s">
        <v>10282</v>
      </c>
      <c r="B4470" s="5" t="s">
        <v>10282</v>
      </c>
      <c r="C4470" s="5" t="s">
        <v>80</v>
      </c>
      <c r="D4470" s="5" t="s">
        <v>81</v>
      </c>
      <c r="E4470" s="5" t="s">
        <v>1221</v>
      </c>
      <c r="F4470" s="9">
        <v>41</v>
      </c>
      <c r="G4470" s="9">
        <v>434</v>
      </c>
      <c r="H4470" s="5" t="s">
        <v>20</v>
      </c>
      <c r="I4470" s="5" t="s">
        <v>10283</v>
      </c>
      <c r="J4470" s="12" t="str">
        <f>HYPERLINK("https://www.boe.es/gazeta/dias/1805/05/21/pdfs/GMD-1805-41.pdf#page=2","Abrir facsímil")</f>
        <v>Abrir facsímil</v>
      </c>
      <c r="K4470" s="15" t="s">
        <v>22</v>
      </c>
    </row>
    <row r="4471" spans="1:11" ht="42" customHeight="1">
      <c r="A4471" s="4" t="s">
        <v>10284</v>
      </c>
      <c r="B4471" s="5" t="s">
        <v>10284</v>
      </c>
      <c r="C4471" s="5" t="s">
        <v>80</v>
      </c>
      <c r="D4471" s="5" t="s">
        <v>81</v>
      </c>
      <c r="E4471" s="5" t="s">
        <v>296</v>
      </c>
      <c r="F4471" s="9">
        <v>26</v>
      </c>
      <c r="G4471" s="9">
        <v>270</v>
      </c>
      <c r="H4471" s="5" t="s">
        <v>20</v>
      </c>
      <c r="I4471" s="5" t="s">
        <v>10285</v>
      </c>
      <c r="J4471" s="12" t="str">
        <f>HYPERLINK("https://www.boe.es/gazeta/dias/1805/03/29/pdfs/GMD-1805-26.pdf#page=2","Abrir facsímil")</f>
        <v>Abrir facsímil</v>
      </c>
      <c r="K4471" s="15" t="s">
        <v>22</v>
      </c>
    </row>
    <row r="4472" spans="1:11" ht="42" customHeight="1">
      <c r="A4472" s="4" t="s">
        <v>10284</v>
      </c>
      <c r="B4472" s="5" t="s">
        <v>10284</v>
      </c>
      <c r="C4472" s="5" t="s">
        <v>80</v>
      </c>
      <c r="D4472" s="5" t="s">
        <v>81</v>
      </c>
      <c r="E4472" s="5" t="s">
        <v>296</v>
      </c>
      <c r="F4472" s="9">
        <v>26</v>
      </c>
      <c r="G4472" s="9">
        <v>272</v>
      </c>
      <c r="H4472" s="5" t="s">
        <v>20</v>
      </c>
      <c r="I4472" s="5" t="s">
        <v>10286</v>
      </c>
      <c r="J4472" s="12" t="str">
        <f>HYPERLINK("https://www.boe.es/gazeta/dias/1805/03/29/pdfs/GMD-1805-26.pdf#page=4","Abrir facsímil")</f>
        <v>Abrir facsímil</v>
      </c>
      <c r="K4472" s="15" t="s">
        <v>22</v>
      </c>
    </row>
    <row r="4473" spans="1:11" ht="42" customHeight="1">
      <c r="A4473" s="4" t="s">
        <v>10284</v>
      </c>
      <c r="B4473" s="5" t="s">
        <v>10284</v>
      </c>
      <c r="C4473" s="5" t="s">
        <v>17</v>
      </c>
      <c r="D4473" s="5" t="s">
        <v>18</v>
      </c>
      <c r="E4473" s="5" t="s">
        <v>440</v>
      </c>
      <c r="F4473" s="9">
        <v>27</v>
      </c>
      <c r="G4473" s="9">
        <v>282</v>
      </c>
      <c r="H4473" s="5" t="s">
        <v>20</v>
      </c>
      <c r="I4473" s="5" t="s">
        <v>10287</v>
      </c>
      <c r="J4473" s="12" t="str">
        <f>HYPERLINK("https://www.boe.es/gazeta/dias/1805/04/02/pdfs/GMD-1805-27.pdf#page=2","Abrir facsímil")</f>
        <v>Abrir facsímil</v>
      </c>
      <c r="K4473" s="15" t="s">
        <v>22</v>
      </c>
    </row>
    <row r="4474" spans="1:11" ht="42" customHeight="1">
      <c r="A4474" s="4" t="s">
        <v>10284</v>
      </c>
      <c r="B4474" s="5" t="s">
        <v>10284</v>
      </c>
      <c r="C4474" s="5" t="s">
        <v>80</v>
      </c>
      <c r="D4474" s="5" t="s">
        <v>81</v>
      </c>
      <c r="E4474" s="5" t="s">
        <v>1259</v>
      </c>
      <c r="F4474" s="9">
        <v>78</v>
      </c>
      <c r="G4474" s="9">
        <v>822</v>
      </c>
      <c r="H4474" s="5" t="s">
        <v>20</v>
      </c>
      <c r="I4474" s="5" t="s">
        <v>10288</v>
      </c>
      <c r="J4474" s="12" t="str">
        <f>HYPERLINK("https://www.boe.es/gazeta/dias/1805/09/27/pdfs/GMD-1805-78.pdf#page=2","Abrir facsímil")</f>
        <v>Abrir facsímil</v>
      </c>
      <c r="K4474" s="15" t="s">
        <v>22</v>
      </c>
    </row>
    <row r="4475" spans="1:11" ht="42" customHeight="1">
      <c r="A4475" s="4" t="s">
        <v>10284</v>
      </c>
      <c r="B4475" s="5" t="s">
        <v>10284</v>
      </c>
      <c r="C4475" s="5" t="s">
        <v>80</v>
      </c>
      <c r="D4475" s="5" t="s">
        <v>81</v>
      </c>
      <c r="E4475" s="5" t="s">
        <v>335</v>
      </c>
      <c r="F4475" s="9">
        <v>79</v>
      </c>
      <c r="G4475" s="9">
        <v>829</v>
      </c>
      <c r="H4475" s="5" t="s">
        <v>20</v>
      </c>
      <c r="I4475" s="5" t="s">
        <v>10289</v>
      </c>
      <c r="J4475" s="12" t="str">
        <f>HYPERLINK("https://www.boe.es/gazeta/dias/1805/10/01/pdfs/GMD-1805-79.pdf#page=1","Abrir facsímil")</f>
        <v>Abrir facsímil</v>
      </c>
      <c r="K4475" s="15" t="s">
        <v>22</v>
      </c>
    </row>
    <row r="4476" spans="1:11" ht="42" customHeight="1">
      <c r="A4476" s="4" t="s">
        <v>10290</v>
      </c>
      <c r="B4476" s="5" t="s">
        <v>10290</v>
      </c>
      <c r="C4476" s="5" t="s">
        <v>80</v>
      </c>
      <c r="D4476" s="5" t="s">
        <v>81</v>
      </c>
      <c r="E4476" s="5" t="s">
        <v>19</v>
      </c>
      <c r="F4476" s="9">
        <v>86</v>
      </c>
      <c r="G4476" s="9">
        <v>908</v>
      </c>
      <c r="H4476" s="5" t="s">
        <v>20</v>
      </c>
      <c r="I4476" s="5" t="s">
        <v>10291</v>
      </c>
      <c r="J4476" s="12" t="str">
        <f>HYPERLINK("https://www.boe.es/gazeta/dias/1805/10/25/pdfs/GMD-1805-86.pdf#page=4","Abrir facsímil")</f>
        <v>Abrir facsímil</v>
      </c>
      <c r="K4476" s="15" t="s">
        <v>22</v>
      </c>
    </row>
    <row r="4477" spans="1:11" ht="42" customHeight="1">
      <c r="A4477" s="4" t="s">
        <v>10292</v>
      </c>
      <c r="B4477" s="5" t="s">
        <v>10292</v>
      </c>
      <c r="C4477" s="5" t="s">
        <v>29</v>
      </c>
      <c r="D4477" s="5" t="s">
        <v>30</v>
      </c>
      <c r="E4477" s="5" t="s">
        <v>335</v>
      </c>
      <c r="F4477" s="9">
        <v>79</v>
      </c>
      <c r="G4477" s="9">
        <v>832</v>
      </c>
      <c r="H4477" s="5" t="s">
        <v>20</v>
      </c>
      <c r="I4477" s="5" t="s">
        <v>10293</v>
      </c>
      <c r="J4477" s="12" t="str">
        <f>HYPERLINK("https://www.boe.es/gazeta/dias/1805/10/01/pdfs/GMD-1805-79.pdf#page=4","Abrir facsímil")</f>
        <v>Abrir facsímil</v>
      </c>
      <c r="K4477" s="15" t="s">
        <v>22</v>
      </c>
    </row>
    <row r="4478" spans="1:11" ht="42" customHeight="1">
      <c r="A4478" s="4" t="s">
        <v>10294</v>
      </c>
      <c r="B4478" s="5" t="s">
        <v>10294</v>
      </c>
      <c r="C4478" s="5" t="s">
        <v>80</v>
      </c>
      <c r="D4478" s="5" t="s">
        <v>81</v>
      </c>
      <c r="E4478" s="5" t="s">
        <v>215</v>
      </c>
      <c r="F4478" s="9">
        <v>87</v>
      </c>
      <c r="G4478" s="9">
        <v>918</v>
      </c>
      <c r="H4478" s="5" t="s">
        <v>20</v>
      </c>
      <c r="I4478" s="5" t="s">
        <v>10295</v>
      </c>
      <c r="J4478" s="12" t="str">
        <f>HYPERLINK("https://www.boe.es/gazeta/dias/1805/10/29/pdfs/GMD-1805-87.pdf#page=2","Abrir facsímil")</f>
        <v>Abrir facsímil</v>
      </c>
      <c r="K4478" s="15" t="s">
        <v>22</v>
      </c>
    </row>
    <row r="4479" spans="1:11" ht="42" customHeight="1">
      <c r="A4479" s="4" t="s">
        <v>10296</v>
      </c>
      <c r="B4479" s="5" t="s">
        <v>10296</v>
      </c>
      <c r="C4479" s="5" t="s">
        <v>35</v>
      </c>
      <c r="D4479" s="5" t="s">
        <v>36</v>
      </c>
      <c r="E4479" s="5" t="s">
        <v>365</v>
      </c>
      <c r="F4479" s="9">
        <v>3</v>
      </c>
      <c r="G4479" s="9">
        <v>28</v>
      </c>
      <c r="H4479" s="5" t="s">
        <v>20</v>
      </c>
      <c r="I4479" s="5" t="s">
        <v>10297</v>
      </c>
      <c r="J4479" s="12" t="str">
        <f>HYPERLINK("https://www.boe.es/gazeta/dias/1805/01/08/pdfs/GMD-1805-3.pdf#page=4","Abrir facsímil")</f>
        <v>Abrir facsímil</v>
      </c>
      <c r="K4479" s="15" t="s">
        <v>22</v>
      </c>
    </row>
    <row r="4480" spans="1:11" ht="42" customHeight="1">
      <c r="A4480" s="4" t="s">
        <v>10296</v>
      </c>
      <c r="B4480" s="5" t="s">
        <v>10296</v>
      </c>
      <c r="C4480" s="5" t="s">
        <v>80</v>
      </c>
      <c r="D4480" s="5" t="s">
        <v>81</v>
      </c>
      <c r="E4480" s="5" t="s">
        <v>209</v>
      </c>
      <c r="F4480" s="9">
        <v>89</v>
      </c>
      <c r="G4480" s="9">
        <v>952</v>
      </c>
      <c r="H4480" s="5" t="s">
        <v>20</v>
      </c>
      <c r="I4480" s="5" t="s">
        <v>10298</v>
      </c>
      <c r="J4480" s="12" t="str">
        <f>HYPERLINK("https://www.boe.es/gazeta/dias/1805/11/05/pdfs/GMD-1805-89.pdf#page=12","Abrir facsímil")</f>
        <v>Abrir facsímil</v>
      </c>
      <c r="K4480" s="15" t="s">
        <v>22</v>
      </c>
    </row>
    <row r="4481" spans="1:11" ht="42" customHeight="1">
      <c r="A4481" s="4" t="s">
        <v>10299</v>
      </c>
      <c r="B4481" s="5" t="s">
        <v>10299</v>
      </c>
      <c r="C4481" s="5" t="s">
        <v>80</v>
      </c>
      <c r="D4481" s="5" t="s">
        <v>81</v>
      </c>
      <c r="E4481" s="5" t="s">
        <v>673</v>
      </c>
      <c r="F4481" s="9">
        <v>32</v>
      </c>
      <c r="G4481" s="9">
        <v>337</v>
      </c>
      <c r="H4481" s="5" t="s">
        <v>20</v>
      </c>
      <c r="I4481" s="5" t="s">
        <v>10300</v>
      </c>
      <c r="J4481" s="12" t="str">
        <f>HYPERLINK("https://www.boe.es/gazeta/dias/1805/04/19/pdfs/GMD-1805-32.pdf#page=1","Abrir facsímil")</f>
        <v>Abrir facsímil</v>
      </c>
      <c r="K4481" s="15" t="s">
        <v>22</v>
      </c>
    </row>
    <row r="4482" spans="1:11" ht="42" customHeight="1">
      <c r="A4482" s="4" t="s">
        <v>10299</v>
      </c>
      <c r="B4482" s="5" t="s">
        <v>10299</v>
      </c>
      <c r="C4482" s="5" t="s">
        <v>17</v>
      </c>
      <c r="D4482" s="5" t="s">
        <v>18</v>
      </c>
      <c r="E4482" s="5" t="s">
        <v>409</v>
      </c>
      <c r="F4482" s="9">
        <v>69</v>
      </c>
      <c r="G4482" s="9">
        <v>737</v>
      </c>
      <c r="H4482" s="5" t="s">
        <v>20</v>
      </c>
      <c r="I4482" s="5" t="s">
        <v>10301</v>
      </c>
      <c r="J4482" s="12" t="str">
        <f>HYPERLINK("https://www.boe.es/gazeta/dias/1805/08/27/pdfs/GMD-1805-69.pdf#page=5","Abrir facsímil")</f>
        <v>Abrir facsímil</v>
      </c>
      <c r="K4482" s="15" t="s">
        <v>22</v>
      </c>
    </row>
    <row r="4483" spans="1:11" ht="42" customHeight="1">
      <c r="A4483" s="4" t="s">
        <v>10302</v>
      </c>
      <c r="B4483" s="5" t="s">
        <v>10303</v>
      </c>
      <c r="C4483" s="5" t="s">
        <v>35</v>
      </c>
      <c r="D4483" s="5" t="s">
        <v>36</v>
      </c>
      <c r="E4483" s="5" t="s">
        <v>539</v>
      </c>
      <c r="F4483" s="9">
        <v>97</v>
      </c>
      <c r="G4483" s="9">
        <v>1044</v>
      </c>
      <c r="H4483" s="5" t="s">
        <v>20</v>
      </c>
      <c r="I4483" s="5" t="s">
        <v>10304</v>
      </c>
      <c r="J4483" s="12" t="str">
        <f>HYPERLINK("https://www.boe.es/gazeta/dias/1805/12/03/pdfs/GMD-1805-97.pdf#page=8","Abrir facsímil")</f>
        <v>Abrir facsímil</v>
      </c>
      <c r="K4483" s="15" t="s">
        <v>22</v>
      </c>
    </row>
    <row r="4484" spans="1:11" ht="42" customHeight="1">
      <c r="A4484" s="4" t="s">
        <v>10305</v>
      </c>
      <c r="B4484" s="5" t="s">
        <v>10306</v>
      </c>
      <c r="C4484" s="5" t="s">
        <v>29</v>
      </c>
      <c r="D4484" s="5" t="s">
        <v>30</v>
      </c>
      <c r="E4484" s="5" t="s">
        <v>539</v>
      </c>
      <c r="F4484" s="9">
        <v>97</v>
      </c>
      <c r="G4484" s="9">
        <v>1048</v>
      </c>
      <c r="H4484" s="5" t="s">
        <v>20</v>
      </c>
      <c r="I4484" s="5" t="s">
        <v>10307</v>
      </c>
      <c r="J4484" s="12" t="str">
        <f>HYPERLINK("https://www.boe.es/gazeta/dias/1805/12/03/pdfs/GMD-1805-97.pdf#page=12","Abrir facsímil")</f>
        <v>Abrir facsímil</v>
      </c>
      <c r="K4484" s="15" t="s">
        <v>22</v>
      </c>
    </row>
    <row r="4485" spans="1:11" ht="42" customHeight="1">
      <c r="A4485" s="4" t="s">
        <v>10308</v>
      </c>
      <c r="B4485" s="5" t="s">
        <v>10309</v>
      </c>
      <c r="C4485" s="5" t="s">
        <v>29</v>
      </c>
      <c r="D4485" s="5" t="s">
        <v>30</v>
      </c>
      <c r="E4485" s="5" t="s">
        <v>1292</v>
      </c>
      <c r="F4485" s="9">
        <v>43</v>
      </c>
      <c r="G4485" s="9">
        <v>464</v>
      </c>
      <c r="H4485" s="5" t="s">
        <v>20</v>
      </c>
      <c r="I4485" s="5" t="s">
        <v>10310</v>
      </c>
      <c r="J4485" s="12" t="str">
        <f>HYPERLINK("https://www.boe.es/gazeta/dias/1805/05/28/pdfs/GMD-1805-43.pdf#page=8","Abrir facsímil")</f>
        <v>Abrir facsímil</v>
      </c>
      <c r="K4485" s="15" t="s">
        <v>22</v>
      </c>
    </row>
    <row r="4486" spans="1:11" ht="42" customHeight="1">
      <c r="A4486" s="4" t="s">
        <v>10308</v>
      </c>
      <c r="B4486" s="5" t="s">
        <v>10309</v>
      </c>
      <c r="C4486" s="5" t="s">
        <v>29</v>
      </c>
      <c r="D4486" s="5" t="s">
        <v>30</v>
      </c>
      <c r="E4486" s="5" t="s">
        <v>138</v>
      </c>
      <c r="F4486" s="9">
        <v>102</v>
      </c>
      <c r="G4486" s="9">
        <v>1108</v>
      </c>
      <c r="H4486" s="5" t="s">
        <v>20</v>
      </c>
      <c r="I4486" s="5" t="s">
        <v>10311</v>
      </c>
      <c r="J4486" s="12" t="str">
        <f>HYPERLINK("https://www.boe.es/gazeta/dias/1805/12/20/pdfs/GMD-1805-102.pdf#page=12","Abrir facsímil")</f>
        <v>Abrir facsímil</v>
      </c>
      <c r="K4486" s="15" t="s">
        <v>22</v>
      </c>
    </row>
    <row r="4487" spans="1:11" ht="42" customHeight="1">
      <c r="A4487" s="4" t="s">
        <v>10312</v>
      </c>
      <c r="B4487" s="5" t="s">
        <v>10313</v>
      </c>
      <c r="C4487" s="5" t="s">
        <v>17</v>
      </c>
      <c r="D4487" s="5" t="s">
        <v>18</v>
      </c>
      <c r="E4487" s="5" t="s">
        <v>76</v>
      </c>
      <c r="F4487" s="9">
        <v>66</v>
      </c>
      <c r="G4487" s="9">
        <v>710</v>
      </c>
      <c r="H4487" s="5" t="s">
        <v>20</v>
      </c>
      <c r="I4487" s="5" t="s">
        <v>10314</v>
      </c>
      <c r="J4487" s="12" t="str">
        <f>HYPERLINK("https://www.boe.es/gazeta/dias/1805/08/16/pdfs/GMD-1805-66.pdf#page=10","Abrir facsímil")</f>
        <v>Abrir facsímil</v>
      </c>
      <c r="K4487" s="15" t="s">
        <v>22</v>
      </c>
    </row>
    <row r="4488" spans="1:11" ht="42" customHeight="1">
      <c r="A4488" s="4" t="s">
        <v>10315</v>
      </c>
      <c r="B4488" s="5" t="s">
        <v>10316</v>
      </c>
      <c r="C4488" s="5" t="s">
        <v>184</v>
      </c>
      <c r="D4488" s="5" t="s">
        <v>86</v>
      </c>
      <c r="E4488" s="5" t="s">
        <v>76</v>
      </c>
      <c r="F4488" s="9">
        <v>66</v>
      </c>
      <c r="G4488" s="9">
        <v>712</v>
      </c>
      <c r="H4488" s="5" t="s">
        <v>20</v>
      </c>
      <c r="I4488" s="5" t="s">
        <v>10317</v>
      </c>
      <c r="J4488" s="12" t="str">
        <f>HYPERLINK("https://www.boe.es/gazeta/dias/1805/08/16/pdfs/GMD-1805-66.pdf#page=12","Abrir facsímil")</f>
        <v>Abrir facsímil</v>
      </c>
      <c r="K4488" s="15" t="s">
        <v>22</v>
      </c>
    </row>
    <row r="4489" spans="1:11" ht="42" customHeight="1">
      <c r="A4489" s="4" t="s">
        <v>10318</v>
      </c>
      <c r="B4489" s="5" t="s">
        <v>10319</v>
      </c>
      <c r="C4489" s="5" t="s">
        <v>17</v>
      </c>
      <c r="D4489" s="5" t="s">
        <v>18</v>
      </c>
      <c r="E4489" s="5" t="s">
        <v>958</v>
      </c>
      <c r="F4489" s="9">
        <v>58</v>
      </c>
      <c r="G4489" s="9">
        <v>624</v>
      </c>
      <c r="H4489" s="5" t="s">
        <v>20</v>
      </c>
      <c r="I4489" s="5" t="s">
        <v>10320</v>
      </c>
      <c r="J4489" s="12" t="str">
        <f>HYPERLINK("https://www.boe.es/gazeta/dias/1805/07/19/pdfs/GMD-1805-58.pdf#page=8","Abrir facsímil")</f>
        <v>Abrir facsímil</v>
      </c>
      <c r="K4489" s="15" t="s">
        <v>22</v>
      </c>
    </row>
    <row r="4490" spans="1:11" ht="42" customHeight="1">
      <c r="A4490" s="4" t="s">
        <v>10321</v>
      </c>
      <c r="B4490" s="5" t="s">
        <v>10322</v>
      </c>
      <c r="C4490" s="5" t="s">
        <v>17</v>
      </c>
      <c r="D4490" s="5" t="s">
        <v>18</v>
      </c>
      <c r="E4490" s="5" t="s">
        <v>293</v>
      </c>
      <c r="F4490" s="9">
        <v>5</v>
      </c>
      <c r="G4490" s="9">
        <v>53</v>
      </c>
      <c r="H4490" s="5" t="s">
        <v>20</v>
      </c>
      <c r="I4490" s="5" t="s">
        <v>10323</v>
      </c>
      <c r="J4490" s="12" t="str">
        <f>HYPERLINK("https://www.boe.es/gazeta/dias/1805/01/15/pdfs/GMD-1805-5.pdf#page=9","Abrir facsímil")</f>
        <v>Abrir facsímil</v>
      </c>
      <c r="K4490" s="15" t="s">
        <v>22</v>
      </c>
    </row>
    <row r="4491" spans="1:11" ht="42" customHeight="1">
      <c r="A4491" s="4" t="s">
        <v>10324</v>
      </c>
      <c r="B4491" s="5" t="s">
        <v>10325</v>
      </c>
      <c r="C4491" s="5" t="s">
        <v>35</v>
      </c>
      <c r="D4491" s="5" t="s">
        <v>36</v>
      </c>
      <c r="E4491" s="5" t="s">
        <v>59</v>
      </c>
      <c r="F4491" s="9">
        <v>21</v>
      </c>
      <c r="G4491" s="9">
        <v>221</v>
      </c>
      <c r="H4491" s="5" t="s">
        <v>20</v>
      </c>
      <c r="I4491" s="5" t="s">
        <v>10326</v>
      </c>
      <c r="J4491" s="12" t="str">
        <f>HYPERLINK("https://www.boe.es/gazeta/dias/1805/03/12/pdfs/GMD-1805-21.pdf#page=9","Abrir facsímil")</f>
        <v>Abrir facsímil</v>
      </c>
      <c r="K4491" s="15" t="s">
        <v>22</v>
      </c>
    </row>
    <row r="4492" spans="1:11" ht="42" customHeight="1">
      <c r="A4492" s="4" t="s">
        <v>10327</v>
      </c>
      <c r="B4492" s="5" t="s">
        <v>10328</v>
      </c>
      <c r="C4492" s="5" t="s">
        <v>35</v>
      </c>
      <c r="D4492" s="5" t="s">
        <v>36</v>
      </c>
      <c r="E4492" s="5" t="s">
        <v>87</v>
      </c>
      <c r="F4492" s="9">
        <v>14</v>
      </c>
      <c r="G4492" s="9">
        <v>146</v>
      </c>
      <c r="H4492" s="5" t="s">
        <v>20</v>
      </c>
      <c r="I4492" s="5" t="s">
        <v>10329</v>
      </c>
      <c r="J4492" s="12" t="str">
        <f>HYPERLINK("https://www.boe.es/gazeta/dias/1805/02/15/pdfs/GMD-1805-14.pdf#page=6","Abrir facsímil")</f>
        <v>Abrir facsímil</v>
      </c>
      <c r="K4492" s="15" t="s">
        <v>22</v>
      </c>
    </row>
    <row r="4493" spans="1:11" ht="42" customHeight="1">
      <c r="A4493" s="4" t="s">
        <v>10330</v>
      </c>
      <c r="B4493" s="5" t="s">
        <v>10331</v>
      </c>
      <c r="C4493" s="5" t="s">
        <v>52</v>
      </c>
      <c r="D4493" s="5" t="s">
        <v>53</v>
      </c>
      <c r="E4493" s="5" t="s">
        <v>82</v>
      </c>
      <c r="F4493" s="9">
        <v>25</v>
      </c>
      <c r="G4493" s="9" t="s">
        <v>145</v>
      </c>
      <c r="H4493" s="5" t="s">
        <v>20</v>
      </c>
      <c r="I4493" s="5" t="s">
        <v>10332</v>
      </c>
      <c r="J4493" s="12" t="str">
        <f>HYPERLINK("https://www.boe.es/gazeta/dias/1805/03/26/pdfs/GMD-C-1805-25.pdf#page=2","Abrir facsímil")</f>
        <v>Abrir facsímil</v>
      </c>
      <c r="K4493" s="15" t="s">
        <v>22</v>
      </c>
    </row>
    <row r="4494" spans="1:11" ht="42" customHeight="1">
      <c r="A4494" s="4" t="s">
        <v>10333</v>
      </c>
      <c r="B4494" s="5" t="s">
        <v>10334</v>
      </c>
      <c r="C4494" s="5" t="s">
        <v>35</v>
      </c>
      <c r="D4494" s="5" t="s">
        <v>36</v>
      </c>
      <c r="E4494" s="5" t="s">
        <v>729</v>
      </c>
      <c r="F4494" s="9">
        <v>61</v>
      </c>
      <c r="G4494" s="9">
        <v>654</v>
      </c>
      <c r="H4494" s="5" t="s">
        <v>20</v>
      </c>
      <c r="I4494" s="5" t="s">
        <v>10335</v>
      </c>
      <c r="J4494" s="12" t="str">
        <f>HYPERLINK("https://www.boe.es/gazeta/dias/1805/07/30/pdfs/GMD-1805-61.pdf#page=6","Abrir facsímil")</f>
        <v>Abrir facsímil</v>
      </c>
      <c r="K4494" s="15" t="s">
        <v>22</v>
      </c>
    </row>
    <row r="4495" spans="1:11" ht="42" customHeight="1">
      <c r="A4495" s="4" t="s">
        <v>10336</v>
      </c>
      <c r="B4495" s="5" t="s">
        <v>10337</v>
      </c>
      <c r="C4495" s="5" t="s">
        <v>35</v>
      </c>
      <c r="D4495" s="5" t="s">
        <v>36</v>
      </c>
      <c r="E4495" s="5" t="s">
        <v>276</v>
      </c>
      <c r="F4495" s="9">
        <v>51</v>
      </c>
      <c r="G4495" s="9">
        <v>547</v>
      </c>
      <c r="H4495" s="5" t="s">
        <v>20</v>
      </c>
      <c r="I4495" s="5" t="s">
        <v>10338</v>
      </c>
      <c r="J4495" s="12" t="str">
        <f>HYPERLINK("https://www.boe.es/gazeta/dias/1805/06/25/pdfs/GMD-1805-51.pdf#page=3","Abrir facsímil")</f>
        <v>Abrir facsímil</v>
      </c>
      <c r="K4495" s="15" t="s">
        <v>22</v>
      </c>
    </row>
    <row r="4496" spans="1:11" ht="42" customHeight="1">
      <c r="A4496" s="4" t="s">
        <v>10336</v>
      </c>
      <c r="B4496" s="5" t="s">
        <v>10337</v>
      </c>
      <c r="C4496" s="5" t="s">
        <v>80</v>
      </c>
      <c r="D4496" s="5" t="s">
        <v>81</v>
      </c>
      <c r="E4496" s="5" t="s">
        <v>276</v>
      </c>
      <c r="F4496" s="9">
        <v>51</v>
      </c>
      <c r="G4496" s="9">
        <v>549</v>
      </c>
      <c r="H4496" s="5" t="s">
        <v>20</v>
      </c>
      <c r="I4496" s="5" t="s">
        <v>10339</v>
      </c>
      <c r="J4496" s="12" t="str">
        <f>HYPERLINK("https://www.boe.es/gazeta/dias/1805/06/25/pdfs/GMD-1805-51.pdf#page=5","Abrir facsímil")</f>
        <v>Abrir facsímil</v>
      </c>
      <c r="K4496" s="15" t="s">
        <v>22</v>
      </c>
    </row>
    <row r="4497" spans="1:11" ht="42" customHeight="1">
      <c r="A4497" s="4" t="s">
        <v>10340</v>
      </c>
      <c r="B4497" s="5" t="s">
        <v>10341</v>
      </c>
      <c r="C4497" s="5" t="s">
        <v>17</v>
      </c>
      <c r="D4497" s="5" t="s">
        <v>18</v>
      </c>
      <c r="E4497" s="5" t="s">
        <v>854</v>
      </c>
      <c r="F4497" s="9">
        <v>46</v>
      </c>
      <c r="G4497" s="9">
        <v>494</v>
      </c>
      <c r="H4497" s="5" t="s">
        <v>20</v>
      </c>
      <c r="I4497" s="5" t="s">
        <v>10342</v>
      </c>
      <c r="J4497" s="12" t="str">
        <f>HYPERLINK("https://www.boe.es/gazeta/dias/1805/06/07/pdfs/GMD-1805-46.pdf#page=6","Abrir facsímil")</f>
        <v>Abrir facsímil</v>
      </c>
      <c r="K4497" s="15" t="s">
        <v>22</v>
      </c>
    </row>
    <row r="4498" spans="1:11" ht="42" customHeight="1">
      <c r="A4498" s="4" t="s">
        <v>10340</v>
      </c>
      <c r="B4498" s="5" t="s">
        <v>10341</v>
      </c>
      <c r="C4498" s="5" t="s">
        <v>35</v>
      </c>
      <c r="D4498" s="5" t="s">
        <v>36</v>
      </c>
      <c r="E4498" s="5" t="s">
        <v>567</v>
      </c>
      <c r="F4498" s="9">
        <v>49</v>
      </c>
      <c r="G4498" s="9">
        <v>528</v>
      </c>
      <c r="H4498" s="5" t="s">
        <v>20</v>
      </c>
      <c r="I4498" s="5" t="s">
        <v>10343</v>
      </c>
      <c r="J4498" s="12" t="str">
        <f>HYPERLINK("https://www.boe.es/gazeta/dias/1805/06/18/pdfs/GMD-1805-49.pdf#page=4","Abrir facsímil")</f>
        <v>Abrir facsímil</v>
      </c>
      <c r="K4498" s="15" t="s">
        <v>22</v>
      </c>
    </row>
    <row r="4499" spans="1:11" ht="42" customHeight="1">
      <c r="A4499" s="4" t="s">
        <v>10344</v>
      </c>
      <c r="B4499" s="5" t="s">
        <v>10345</v>
      </c>
      <c r="C4499" s="5" t="s">
        <v>17</v>
      </c>
      <c r="D4499" s="5" t="s">
        <v>18</v>
      </c>
      <c r="E4499" s="5" t="s">
        <v>1432</v>
      </c>
      <c r="F4499" s="9">
        <v>53</v>
      </c>
      <c r="G4499" s="9">
        <v>568</v>
      </c>
      <c r="H4499" s="5" t="s">
        <v>20</v>
      </c>
      <c r="I4499" s="5" t="s">
        <v>10346</v>
      </c>
      <c r="J4499" s="12" t="str">
        <f>HYPERLINK("https://www.boe.es/gazeta/dias/1805/07/02/pdfs/GMD-1805-53.pdf#page=4","Abrir facsímil")</f>
        <v>Abrir facsímil</v>
      </c>
      <c r="K4499" s="15" t="s">
        <v>22</v>
      </c>
    </row>
    <row r="4500" spans="1:11" ht="42" customHeight="1">
      <c r="A4500" s="4" t="s">
        <v>10347</v>
      </c>
      <c r="B4500" s="5" t="s">
        <v>10348</v>
      </c>
      <c r="C4500" s="5" t="s">
        <v>80</v>
      </c>
      <c r="D4500" s="5" t="s">
        <v>81</v>
      </c>
      <c r="E4500" s="5" t="s">
        <v>363</v>
      </c>
      <c r="F4500" s="9">
        <v>1</v>
      </c>
      <c r="G4500" s="9">
        <v>7</v>
      </c>
      <c r="H4500" s="5" t="s">
        <v>20</v>
      </c>
      <c r="I4500" s="5" t="s">
        <v>10349</v>
      </c>
      <c r="J4500" s="12" t="str">
        <f>HYPERLINK("https://www.boe.es/gazeta/dias/1805/01/01/pdfs/GMD-1805-1.pdf#page=7","Abrir facsímil")</f>
        <v>Abrir facsímil</v>
      </c>
      <c r="K4500" s="15" t="s">
        <v>22</v>
      </c>
    </row>
    <row r="4501" spans="1:11" ht="42" customHeight="1">
      <c r="A4501" s="4" t="s">
        <v>10350</v>
      </c>
      <c r="B4501" s="5" t="s">
        <v>10351</v>
      </c>
      <c r="C4501" s="5" t="s">
        <v>85</v>
      </c>
      <c r="D4501" s="5" t="s">
        <v>86</v>
      </c>
      <c r="E4501" s="5" t="s">
        <v>273</v>
      </c>
      <c r="F4501" s="9">
        <v>8</v>
      </c>
      <c r="G4501" s="9">
        <v>89</v>
      </c>
      <c r="H4501" s="5" t="s">
        <v>20</v>
      </c>
      <c r="I4501" s="5" t="s">
        <v>10352</v>
      </c>
      <c r="J4501" s="12" t="str">
        <f>HYPERLINK("https://www.boe.es/gazeta/dias/1805/01/25/pdfs/GMD-1805-8.pdf#page=9","Abrir facsímil")</f>
        <v>Abrir facsímil</v>
      </c>
      <c r="K4501" s="15" t="s">
        <v>22</v>
      </c>
    </row>
    <row r="4502" spans="1:11" ht="42" customHeight="1">
      <c r="A4502" s="4" t="s">
        <v>10353</v>
      </c>
      <c r="B4502" s="5" t="s">
        <v>10354</v>
      </c>
      <c r="C4502" s="5" t="s">
        <v>35</v>
      </c>
      <c r="D4502" s="5" t="s">
        <v>36</v>
      </c>
      <c r="E4502" s="5" t="s">
        <v>63</v>
      </c>
      <c r="F4502" s="9">
        <v>101</v>
      </c>
      <c r="G4502" s="9">
        <v>1091</v>
      </c>
      <c r="H4502" s="5" t="s">
        <v>20</v>
      </c>
      <c r="I4502" s="5" t="s">
        <v>10355</v>
      </c>
      <c r="J4502" s="12" t="str">
        <f>HYPERLINK("https://www.boe.es/gazeta/dias/1805/12/17/pdfs/GMD-1805-101.pdf#page=7","Abrir facsímil")</f>
        <v>Abrir facsímil</v>
      </c>
      <c r="K4502" s="15" t="s">
        <v>22</v>
      </c>
    </row>
    <row r="4503" spans="1:11" ht="42" customHeight="1">
      <c r="A4503" s="4" t="s">
        <v>10356</v>
      </c>
      <c r="B4503" s="5" t="s">
        <v>10357</v>
      </c>
      <c r="C4503" s="5" t="s">
        <v>80</v>
      </c>
      <c r="D4503" s="5" t="s">
        <v>81</v>
      </c>
      <c r="E4503" s="5" t="s">
        <v>886</v>
      </c>
      <c r="F4503" s="9">
        <v>93</v>
      </c>
      <c r="G4503" s="9">
        <v>996</v>
      </c>
      <c r="H4503" s="5" t="s">
        <v>20</v>
      </c>
      <c r="I4503" s="5" t="s">
        <v>10358</v>
      </c>
      <c r="J4503" s="12" t="str">
        <f>HYPERLINK("https://www.boe.es/gazeta/dias/1805/11/19/pdfs/GMD-1805-93.pdf#page=8","Abrir facsímil")</f>
        <v>Abrir facsímil</v>
      </c>
      <c r="K4503" s="15" t="s">
        <v>22</v>
      </c>
    </row>
    <row r="4504" spans="1:11" ht="42" customHeight="1">
      <c r="A4504" s="4" t="s">
        <v>10359</v>
      </c>
      <c r="B4504" s="5" t="s">
        <v>10360</v>
      </c>
      <c r="C4504" s="5" t="s">
        <v>35</v>
      </c>
      <c r="D4504" s="5" t="s">
        <v>36</v>
      </c>
      <c r="E4504" s="5" t="s">
        <v>365</v>
      </c>
      <c r="F4504" s="9">
        <v>3</v>
      </c>
      <c r="G4504" s="9">
        <v>27</v>
      </c>
      <c r="H4504" s="5" t="s">
        <v>20</v>
      </c>
      <c r="I4504" s="5" t="s">
        <v>10361</v>
      </c>
      <c r="J4504" s="12" t="str">
        <f>HYPERLINK("https://www.boe.es/gazeta/dias/1805/01/08/pdfs/GMD-1805-3.pdf#page=3","Abrir facsímil")</f>
        <v>Abrir facsímil</v>
      </c>
      <c r="K4504" s="15" t="s">
        <v>22</v>
      </c>
    </row>
    <row r="4505" spans="1:11" ht="42" customHeight="1">
      <c r="A4505" s="4" t="s">
        <v>10359</v>
      </c>
      <c r="B4505" s="5" t="s">
        <v>10360</v>
      </c>
      <c r="C4505" s="5" t="s">
        <v>17</v>
      </c>
      <c r="D4505" s="5" t="s">
        <v>18</v>
      </c>
      <c r="E4505" s="5" t="s">
        <v>24</v>
      </c>
      <c r="F4505" s="9">
        <v>11</v>
      </c>
      <c r="G4505" s="9">
        <v>117</v>
      </c>
      <c r="H4505" s="5" t="s">
        <v>20</v>
      </c>
      <c r="I4505" s="5" t="s">
        <v>10362</v>
      </c>
      <c r="J4505" s="12" t="str">
        <f>HYPERLINK("https://www.boe.es/gazeta/dias/1805/02/05/pdfs/GMD-1805-11.pdf#page=5","Abrir facsímil")</f>
        <v>Abrir facsímil</v>
      </c>
      <c r="K4505" s="15" t="s">
        <v>22</v>
      </c>
    </row>
    <row r="4506" spans="1:11" ht="42" customHeight="1">
      <c r="A4506" s="4" t="s">
        <v>10363</v>
      </c>
      <c r="B4506" s="5" t="s">
        <v>10364</v>
      </c>
      <c r="C4506" s="5" t="s">
        <v>80</v>
      </c>
      <c r="D4506" s="5" t="s">
        <v>81</v>
      </c>
      <c r="E4506" s="5" t="s">
        <v>539</v>
      </c>
      <c r="F4506" s="9">
        <v>97</v>
      </c>
      <c r="G4506" s="9">
        <v>1041</v>
      </c>
      <c r="H4506" s="5" t="s">
        <v>20</v>
      </c>
      <c r="I4506" s="5" t="s">
        <v>10365</v>
      </c>
      <c r="J4506" s="12" t="str">
        <f>HYPERLINK("https://www.boe.es/gazeta/dias/1805/12/03/pdfs/GMD-1805-97.pdf#page=5","Abrir facsímil")</f>
        <v>Abrir facsímil</v>
      </c>
      <c r="K4506" s="15" t="s">
        <v>22</v>
      </c>
    </row>
    <row r="4507" spans="1:11" ht="42" customHeight="1">
      <c r="A4507" s="4" t="s">
        <v>10366</v>
      </c>
      <c r="B4507" s="5" t="s">
        <v>10367</v>
      </c>
      <c r="C4507" s="5" t="s">
        <v>85</v>
      </c>
      <c r="D4507" s="5" t="s">
        <v>86</v>
      </c>
      <c r="E4507" s="5" t="s">
        <v>112</v>
      </c>
      <c r="F4507" s="9">
        <v>16</v>
      </c>
      <c r="G4507" s="9">
        <v>166</v>
      </c>
      <c r="H4507" s="5" t="s">
        <v>20</v>
      </c>
      <c r="I4507" s="5" t="s">
        <v>10368</v>
      </c>
      <c r="J4507" s="12" t="str">
        <f>HYPERLINK("https://www.boe.es/gazeta/dias/1805/02/22/pdfs/GMD-1805-16.pdf#page=6","Abrir facsímil")</f>
        <v>Abrir facsímil</v>
      </c>
      <c r="K4507" s="15" t="s">
        <v>22</v>
      </c>
    </row>
    <row r="4508" spans="1:11" ht="42" customHeight="1">
      <c r="A4508" s="4" t="s">
        <v>10369</v>
      </c>
      <c r="B4508" s="5" t="s">
        <v>10369</v>
      </c>
      <c r="C4508" s="5" t="s">
        <v>17</v>
      </c>
      <c r="D4508" s="5" t="s">
        <v>18</v>
      </c>
      <c r="E4508" s="5" t="s">
        <v>300</v>
      </c>
      <c r="F4508" s="9">
        <v>81</v>
      </c>
      <c r="G4508" s="9">
        <v>858</v>
      </c>
      <c r="H4508" s="5" t="s">
        <v>20</v>
      </c>
      <c r="I4508" s="5" t="s">
        <v>10370</v>
      </c>
      <c r="J4508" s="12" t="str">
        <f>HYPERLINK("https://www.boe.es/gazeta/dias/1805/10/08/pdfs/GMD-1805-81.pdf#page=6","Abrir facsímil")</f>
        <v>Abrir facsímil</v>
      </c>
      <c r="K4508" s="15" t="s">
        <v>22</v>
      </c>
    </row>
    <row r="4509" spans="1:11" ht="42" customHeight="1">
      <c r="A4509" s="4" t="s">
        <v>10371</v>
      </c>
      <c r="B4509" s="5" t="s">
        <v>10372</v>
      </c>
      <c r="C4509" s="5" t="s">
        <v>17</v>
      </c>
      <c r="D4509" s="5" t="s">
        <v>18</v>
      </c>
      <c r="E4509" s="5" t="s">
        <v>138</v>
      </c>
      <c r="F4509" s="9">
        <v>102</v>
      </c>
      <c r="G4509" s="9">
        <v>1104</v>
      </c>
      <c r="H4509" s="5" t="s">
        <v>20</v>
      </c>
      <c r="I4509" s="5" t="s">
        <v>10373</v>
      </c>
      <c r="J4509" s="12" t="str">
        <f>HYPERLINK("https://www.boe.es/gazeta/dias/1805/12/20/pdfs/GMD-1805-102.pdf#page=8","Abrir facsímil")</f>
        <v>Abrir facsímil</v>
      </c>
      <c r="K4509" s="15" t="s">
        <v>22</v>
      </c>
    </row>
    <row r="4510" spans="1:11" ht="42" customHeight="1">
      <c r="A4510" s="4" t="s">
        <v>10374</v>
      </c>
      <c r="B4510" s="5" t="s">
        <v>10375</v>
      </c>
      <c r="C4510" s="5" t="s">
        <v>35</v>
      </c>
      <c r="D4510" s="5" t="s">
        <v>36</v>
      </c>
      <c r="E4510" s="5" t="s">
        <v>163</v>
      </c>
      <c r="F4510" s="9">
        <v>77</v>
      </c>
      <c r="G4510" s="9">
        <v>817</v>
      </c>
      <c r="H4510" s="5" t="s">
        <v>20</v>
      </c>
      <c r="I4510" s="5" t="s">
        <v>10376</v>
      </c>
      <c r="J4510" s="12" t="str">
        <f>HYPERLINK("https://www.boe.es/gazeta/dias/1805/09/24/pdfs/GMD-1805-77.pdf#page=9","Abrir facsímil")</f>
        <v>Abrir facsímil</v>
      </c>
      <c r="K4510" s="15" t="s">
        <v>22</v>
      </c>
    </row>
    <row r="4511" spans="1:11" ht="42" customHeight="1">
      <c r="A4511" s="4" t="s">
        <v>10377</v>
      </c>
      <c r="B4511" s="5" t="s">
        <v>10378</v>
      </c>
      <c r="C4511" s="5" t="s">
        <v>35</v>
      </c>
      <c r="D4511" s="5" t="s">
        <v>36</v>
      </c>
      <c r="E4511" s="5" t="s">
        <v>539</v>
      </c>
      <c r="F4511" s="9">
        <v>97</v>
      </c>
      <c r="G4511" s="9">
        <v>1043</v>
      </c>
      <c r="H4511" s="5" t="s">
        <v>20</v>
      </c>
      <c r="I4511" s="5" t="s">
        <v>10379</v>
      </c>
      <c r="J4511" s="12" t="str">
        <f>HYPERLINK("https://www.boe.es/gazeta/dias/1805/12/03/pdfs/GMD-1805-97.pdf#page=7","Abrir facsímil")</f>
        <v>Abrir facsímil</v>
      </c>
      <c r="K4511" s="15" t="s">
        <v>22</v>
      </c>
    </row>
    <row r="4512" spans="1:11" ht="42" customHeight="1">
      <c r="A4512" s="4" t="s">
        <v>10380</v>
      </c>
      <c r="B4512" s="5" t="s">
        <v>10381</v>
      </c>
      <c r="C4512" s="5" t="s">
        <v>17</v>
      </c>
      <c r="D4512" s="5" t="s">
        <v>18</v>
      </c>
      <c r="E4512" s="5" t="s">
        <v>512</v>
      </c>
      <c r="F4512" s="9">
        <v>100</v>
      </c>
      <c r="G4512" s="9">
        <v>1081</v>
      </c>
      <c r="H4512" s="5" t="s">
        <v>20</v>
      </c>
      <c r="I4512" s="5" t="s">
        <v>10382</v>
      </c>
      <c r="J4512" s="12" t="str">
        <f>HYPERLINK("https://www.boe.es/gazeta/dias/1805/12/13/pdfs/GMD-1805-100.pdf#page=9","Abrir facsímil")</f>
        <v>Abrir facsímil</v>
      </c>
      <c r="K4512" s="15" t="s">
        <v>22</v>
      </c>
    </row>
    <row r="4513" spans="1:11" ht="42" customHeight="1">
      <c r="A4513" s="4" t="s">
        <v>10383</v>
      </c>
      <c r="B4513" s="5" t="s">
        <v>10384</v>
      </c>
      <c r="C4513" s="5" t="s">
        <v>17</v>
      </c>
      <c r="D4513" s="5" t="s">
        <v>18</v>
      </c>
      <c r="E4513" s="5" t="s">
        <v>539</v>
      </c>
      <c r="F4513" s="9">
        <v>97</v>
      </c>
      <c r="G4513" s="9">
        <v>1042</v>
      </c>
      <c r="H4513" s="5" t="s">
        <v>20</v>
      </c>
      <c r="I4513" s="5" t="s">
        <v>10385</v>
      </c>
      <c r="J4513" s="12" t="str">
        <f>HYPERLINK("https://www.boe.es/gazeta/dias/1805/12/03/pdfs/GMD-1805-97.pdf#page=6","Abrir facsímil")</f>
        <v>Abrir facsímil</v>
      </c>
      <c r="K4513" s="15" t="s">
        <v>22</v>
      </c>
    </row>
    <row r="4514" spans="1:11" ht="42" customHeight="1">
      <c r="A4514" s="4" t="s">
        <v>10386</v>
      </c>
      <c r="B4514" s="5" t="s">
        <v>10387</v>
      </c>
      <c r="C4514" s="5" t="s">
        <v>35</v>
      </c>
      <c r="D4514" s="5" t="s">
        <v>36</v>
      </c>
      <c r="E4514" s="5" t="s">
        <v>1292</v>
      </c>
      <c r="F4514" s="9">
        <v>43</v>
      </c>
      <c r="G4514" s="9">
        <v>464</v>
      </c>
      <c r="H4514" s="5" t="s">
        <v>20</v>
      </c>
      <c r="I4514" s="5" t="s">
        <v>10388</v>
      </c>
      <c r="J4514" s="12" t="str">
        <f>HYPERLINK("https://www.boe.es/gazeta/dias/1805/05/28/pdfs/GMD-1805-43.pdf#page=8","Abrir facsímil")</f>
        <v>Abrir facsímil</v>
      </c>
      <c r="K4514" s="15" t="s">
        <v>22</v>
      </c>
    </row>
    <row r="4515" spans="1:11" ht="42" customHeight="1">
      <c r="A4515" s="4" t="s">
        <v>10389</v>
      </c>
      <c r="B4515" s="5" t="s">
        <v>10390</v>
      </c>
      <c r="C4515" s="5" t="s">
        <v>80</v>
      </c>
      <c r="D4515" s="5" t="s">
        <v>81</v>
      </c>
      <c r="E4515" s="5" t="s">
        <v>63</v>
      </c>
      <c r="F4515" s="9">
        <v>101</v>
      </c>
      <c r="G4515" s="9">
        <v>1085</v>
      </c>
      <c r="H4515" s="5" t="s">
        <v>20</v>
      </c>
      <c r="I4515" s="5" t="s">
        <v>10391</v>
      </c>
      <c r="J4515" s="12" t="str">
        <f>HYPERLINK("https://www.boe.es/gazeta/dias/1805/12/17/pdfs/GMD-1805-101.pdf#page=1","Abrir facsímil")</f>
        <v>Abrir facsímil</v>
      </c>
      <c r="K4515" s="15" t="s">
        <v>22</v>
      </c>
    </row>
    <row r="4516" spans="1:11" ht="42" customHeight="1">
      <c r="A4516" s="4" t="s">
        <v>10392</v>
      </c>
      <c r="B4516" s="5" t="s">
        <v>10392</v>
      </c>
      <c r="C4516" s="5" t="s">
        <v>80</v>
      </c>
      <c r="D4516" s="5" t="s">
        <v>81</v>
      </c>
      <c r="E4516" s="5" t="s">
        <v>217</v>
      </c>
      <c r="F4516" s="9">
        <v>96</v>
      </c>
      <c r="G4516" s="9">
        <v>1026</v>
      </c>
      <c r="H4516" s="5" t="s">
        <v>20</v>
      </c>
      <c r="I4516" s="5" t="s">
        <v>10393</v>
      </c>
      <c r="J4516" s="12" t="str">
        <f>HYPERLINK("https://www.boe.es/gazeta/dias/1805/11/29/pdfs/GMD-1805-96.pdf#page=2","Abrir facsímil")</f>
        <v>Abrir facsímil</v>
      </c>
      <c r="K4516" s="15" t="s">
        <v>22</v>
      </c>
    </row>
    <row r="4517" spans="1:11" ht="42" customHeight="1">
      <c r="A4517" s="4" t="s">
        <v>10394</v>
      </c>
      <c r="B4517" s="5" t="s">
        <v>10395</v>
      </c>
      <c r="C4517" s="5" t="s">
        <v>35</v>
      </c>
      <c r="D4517" s="5" t="s">
        <v>36</v>
      </c>
      <c r="E4517" s="5" t="s">
        <v>1432</v>
      </c>
      <c r="F4517" s="9">
        <v>53</v>
      </c>
      <c r="G4517" s="9">
        <v>571</v>
      </c>
      <c r="H4517" s="5" t="s">
        <v>20</v>
      </c>
      <c r="I4517" s="5" t="s">
        <v>10396</v>
      </c>
      <c r="J4517" s="12" t="str">
        <f>HYPERLINK("https://www.boe.es/gazeta/dias/1805/07/02/pdfs/GMD-1805-53.pdf#page=7","Abrir facsímil")</f>
        <v>Abrir facsímil</v>
      </c>
      <c r="K4517" s="15" t="s">
        <v>22</v>
      </c>
    </row>
    <row r="4518" spans="1:11" ht="42" customHeight="1">
      <c r="A4518" s="4" t="s">
        <v>10397</v>
      </c>
      <c r="B4518" s="5" t="s">
        <v>10398</v>
      </c>
      <c r="C4518" s="5" t="s">
        <v>17</v>
      </c>
      <c r="D4518" s="5" t="s">
        <v>18</v>
      </c>
      <c r="E4518" s="5" t="s">
        <v>669</v>
      </c>
      <c r="F4518" s="9">
        <v>84</v>
      </c>
      <c r="G4518" s="9">
        <v>890</v>
      </c>
      <c r="H4518" s="5" t="s">
        <v>20</v>
      </c>
      <c r="I4518" s="5" t="s">
        <v>10399</v>
      </c>
      <c r="J4518" s="12" t="str">
        <f>HYPERLINK("https://www.boe.es/gazeta/dias/1805/10/18/pdfs/GMD-1805-84.pdf#page=6","Abrir facsímil")</f>
        <v>Abrir facsímil</v>
      </c>
      <c r="K4518" s="15" t="s">
        <v>22</v>
      </c>
    </row>
    <row r="4519" spans="1:11" ht="42" customHeight="1">
      <c r="A4519" s="4" t="s">
        <v>10400</v>
      </c>
      <c r="B4519" s="5" t="s">
        <v>10401</v>
      </c>
      <c r="C4519" s="5" t="s">
        <v>80</v>
      </c>
      <c r="D4519" s="5" t="s">
        <v>81</v>
      </c>
      <c r="E4519" s="5" t="s">
        <v>387</v>
      </c>
      <c r="F4519" s="9">
        <v>4</v>
      </c>
      <c r="G4519" s="9">
        <v>40</v>
      </c>
      <c r="H4519" s="5" t="s">
        <v>20</v>
      </c>
      <c r="I4519" s="5" t="s">
        <v>10402</v>
      </c>
      <c r="J4519" s="12" t="str">
        <f>HYPERLINK("https://www.boe.es/gazeta/dias/1805/01/11/pdfs/GMD-1805-4.pdf#page=8","Abrir facsímil")</f>
        <v>Abrir facsímil</v>
      </c>
      <c r="K4519" s="15" t="s">
        <v>22</v>
      </c>
    </row>
    <row r="4520" spans="1:11" ht="42" customHeight="1">
      <c r="A4520" s="4" t="s">
        <v>10403</v>
      </c>
      <c r="B4520" s="5" t="s">
        <v>10403</v>
      </c>
      <c r="C4520" s="5" t="s">
        <v>35</v>
      </c>
      <c r="D4520" s="5" t="s">
        <v>36</v>
      </c>
      <c r="E4520" s="5" t="s">
        <v>539</v>
      </c>
      <c r="F4520" s="9">
        <v>97</v>
      </c>
      <c r="G4520" s="9">
        <v>1040</v>
      </c>
      <c r="H4520" s="5" t="s">
        <v>20</v>
      </c>
      <c r="I4520" s="5" t="s">
        <v>10404</v>
      </c>
      <c r="J4520" s="12" t="str">
        <f>HYPERLINK("https://www.boe.es/gazeta/dias/1805/12/03/pdfs/GMD-1805-97.pdf#page=4","Abrir facsímil")</f>
        <v>Abrir facsímil</v>
      </c>
      <c r="K4520" s="15" t="s">
        <v>22</v>
      </c>
    </row>
    <row r="4521" spans="1:11" ht="42" customHeight="1">
      <c r="A4521" s="4" t="s">
        <v>10403</v>
      </c>
      <c r="B4521" s="5" t="s">
        <v>10403</v>
      </c>
      <c r="C4521" s="5" t="s">
        <v>80</v>
      </c>
      <c r="D4521" s="5" t="s">
        <v>81</v>
      </c>
      <c r="E4521" s="5" t="s">
        <v>539</v>
      </c>
      <c r="F4521" s="9">
        <v>97</v>
      </c>
      <c r="G4521" s="9">
        <v>1041</v>
      </c>
      <c r="H4521" s="5" t="s">
        <v>20</v>
      </c>
      <c r="I4521" s="5" t="s">
        <v>10405</v>
      </c>
      <c r="J4521" s="12" t="str">
        <f>HYPERLINK("https://www.boe.es/gazeta/dias/1805/12/03/pdfs/GMD-1805-97.pdf#page=5","Abrir facsímil")</f>
        <v>Abrir facsímil</v>
      </c>
      <c r="K4521" s="15" t="s">
        <v>22</v>
      </c>
    </row>
    <row r="4522" spans="1:11" ht="42" customHeight="1">
      <c r="A4522" s="4" t="s">
        <v>10406</v>
      </c>
      <c r="B4522" s="5" t="s">
        <v>10407</v>
      </c>
      <c r="C4522" s="5" t="s">
        <v>80</v>
      </c>
      <c r="D4522" s="5" t="s">
        <v>81</v>
      </c>
      <c r="E4522" s="5" t="s">
        <v>387</v>
      </c>
      <c r="F4522" s="9">
        <v>4</v>
      </c>
      <c r="G4522" s="9">
        <v>37</v>
      </c>
      <c r="H4522" s="5" t="s">
        <v>20</v>
      </c>
      <c r="I4522" s="5" t="s">
        <v>10408</v>
      </c>
      <c r="J4522" s="12" t="str">
        <f>HYPERLINK("https://www.boe.es/gazeta/dias/1805/01/11/pdfs/GMD-1805-4.pdf#page=5","Abrir facsímil")</f>
        <v>Abrir facsímil</v>
      </c>
      <c r="K4522" s="15" t="s">
        <v>22</v>
      </c>
    </row>
    <row r="4523" spans="1:11" ht="42" customHeight="1">
      <c r="A4523" s="4" t="s">
        <v>10406</v>
      </c>
      <c r="B4523" s="5" t="s">
        <v>10407</v>
      </c>
      <c r="C4523" s="5" t="s">
        <v>80</v>
      </c>
      <c r="D4523" s="5" t="s">
        <v>81</v>
      </c>
      <c r="E4523" s="5" t="s">
        <v>864</v>
      </c>
      <c r="F4523" s="9">
        <v>88</v>
      </c>
      <c r="G4523" s="9">
        <v>932</v>
      </c>
      <c r="H4523" s="5" t="s">
        <v>20</v>
      </c>
      <c r="I4523" s="5" t="s">
        <v>10409</v>
      </c>
      <c r="J4523" s="12" t="str">
        <f>HYPERLINK("https://www.boe.es/gazeta/dias/1805/11/01/pdfs/GMD-1805-88.pdf#page=4","Abrir facsímil")</f>
        <v>Abrir facsímil</v>
      </c>
      <c r="K4523" s="15" t="s">
        <v>22</v>
      </c>
    </row>
    <row r="4524" spans="1:11" ht="42" customHeight="1">
      <c r="A4524" s="4" t="s">
        <v>10406</v>
      </c>
      <c r="B4524" s="5" t="s">
        <v>10407</v>
      </c>
      <c r="C4524" s="5" t="s">
        <v>80</v>
      </c>
      <c r="D4524" s="5" t="s">
        <v>81</v>
      </c>
      <c r="E4524" s="5" t="s">
        <v>886</v>
      </c>
      <c r="F4524" s="9">
        <v>93</v>
      </c>
      <c r="G4524" s="9">
        <v>996</v>
      </c>
      <c r="H4524" s="5" t="s">
        <v>20</v>
      </c>
      <c r="I4524" s="5" t="s">
        <v>10410</v>
      </c>
      <c r="J4524" s="12" t="str">
        <f>HYPERLINK("https://www.boe.es/gazeta/dias/1805/11/19/pdfs/GMD-1805-93.pdf#page=8","Abrir facsímil")</f>
        <v>Abrir facsímil</v>
      </c>
      <c r="K4524" s="15" t="s">
        <v>22</v>
      </c>
    </row>
    <row r="4525" spans="1:11" ht="42" customHeight="1">
      <c r="A4525" s="4" t="s">
        <v>10411</v>
      </c>
      <c r="B4525" s="5" t="s">
        <v>10412</v>
      </c>
      <c r="C4525" s="5" t="s">
        <v>35</v>
      </c>
      <c r="D4525" s="5" t="s">
        <v>36</v>
      </c>
      <c r="E4525" s="5" t="s">
        <v>67</v>
      </c>
      <c r="F4525" s="9">
        <v>98</v>
      </c>
      <c r="G4525" s="9">
        <v>1059</v>
      </c>
      <c r="H4525" s="5" t="s">
        <v>20</v>
      </c>
      <c r="I4525" s="5" t="s">
        <v>10413</v>
      </c>
      <c r="J4525" s="12" t="str">
        <f>HYPERLINK("https://www.boe.es/gazeta/dias/1805/12/06/pdfs/GMD-1805-98.pdf#page=11","Abrir facsímil")</f>
        <v>Abrir facsímil</v>
      </c>
      <c r="K4525" s="15" t="s">
        <v>22</v>
      </c>
    </row>
    <row r="4526" spans="1:11" ht="42" customHeight="1">
      <c r="A4526" s="4" t="s">
        <v>10414</v>
      </c>
      <c r="B4526" s="5" t="s">
        <v>10415</v>
      </c>
      <c r="C4526" s="5" t="s">
        <v>35</v>
      </c>
      <c r="D4526" s="5" t="s">
        <v>36</v>
      </c>
      <c r="E4526" s="5" t="s">
        <v>54</v>
      </c>
      <c r="F4526" s="9">
        <v>99</v>
      </c>
      <c r="G4526" s="9">
        <v>1068</v>
      </c>
      <c r="H4526" s="5" t="s">
        <v>20</v>
      </c>
      <c r="I4526" s="5" t="s">
        <v>10416</v>
      </c>
      <c r="J4526" s="12" t="str">
        <f>HYPERLINK("https://www.boe.es/gazeta/dias/1805/12/10/pdfs/GMD-1805-99.pdf#page=8","Abrir facsímil")</f>
        <v>Abrir facsímil</v>
      </c>
      <c r="K4526" s="15" t="s">
        <v>22</v>
      </c>
    </row>
    <row r="4527" spans="1:11" ht="42" customHeight="1">
      <c r="A4527" s="4" t="s">
        <v>10417</v>
      </c>
      <c r="B4527" s="5" t="s">
        <v>10417</v>
      </c>
      <c r="C4527" s="5" t="s">
        <v>80</v>
      </c>
      <c r="D4527" s="5" t="s">
        <v>81</v>
      </c>
      <c r="E4527" s="5" t="s">
        <v>673</v>
      </c>
      <c r="F4527" s="9">
        <v>32</v>
      </c>
      <c r="G4527" s="9">
        <v>339</v>
      </c>
      <c r="H4527" s="5" t="s">
        <v>20</v>
      </c>
      <c r="I4527" s="5" t="s">
        <v>10418</v>
      </c>
      <c r="J4527" s="12" t="str">
        <f>HYPERLINK("https://www.boe.es/gazeta/dias/1805/04/19/pdfs/GMD-1805-32.pdf#page=3","Abrir facsímil")</f>
        <v>Abrir facsímil</v>
      </c>
      <c r="K4527" s="15" t="s">
        <v>22</v>
      </c>
    </row>
    <row r="4528" spans="1:11" ht="42" customHeight="1">
      <c r="A4528" s="4" t="s">
        <v>10419</v>
      </c>
      <c r="B4528" s="5" t="s">
        <v>10420</v>
      </c>
      <c r="C4528" s="5" t="s">
        <v>80</v>
      </c>
      <c r="D4528" s="5" t="s">
        <v>81</v>
      </c>
      <c r="E4528" s="5" t="s">
        <v>103</v>
      </c>
      <c r="F4528" s="9">
        <v>30</v>
      </c>
      <c r="G4528" s="9">
        <v>320</v>
      </c>
      <c r="H4528" s="5" t="s">
        <v>20</v>
      </c>
      <c r="I4528" s="5" t="s">
        <v>10421</v>
      </c>
      <c r="J4528" s="12" t="str">
        <f>HYPERLINK("https://www.boe.es/gazeta/dias/1805/04/12/pdfs/GMD-1805-30.pdf#page=4","Abrir facsímil")</f>
        <v>Abrir facsímil</v>
      </c>
      <c r="K4528" s="15" t="s">
        <v>22</v>
      </c>
    </row>
    <row r="4529" spans="1:11" ht="42" customHeight="1">
      <c r="A4529" s="4" t="s">
        <v>10419</v>
      </c>
      <c r="B4529" s="5" t="s">
        <v>10420</v>
      </c>
      <c r="C4529" s="5" t="s">
        <v>35</v>
      </c>
      <c r="D4529" s="5" t="s">
        <v>36</v>
      </c>
      <c r="E4529" s="5" t="s">
        <v>673</v>
      </c>
      <c r="F4529" s="9">
        <v>32</v>
      </c>
      <c r="G4529" s="9">
        <v>339</v>
      </c>
      <c r="H4529" s="5" t="s">
        <v>20</v>
      </c>
      <c r="I4529" s="5" t="s">
        <v>10422</v>
      </c>
      <c r="J4529" s="12" t="str">
        <f>HYPERLINK("https://www.boe.es/gazeta/dias/1805/04/19/pdfs/GMD-1805-32.pdf#page=3","Abrir facsímil")</f>
        <v>Abrir facsímil</v>
      </c>
      <c r="K4529" s="15" t="s">
        <v>22</v>
      </c>
    </row>
    <row r="4530" spans="1:11" ht="42" customHeight="1">
      <c r="A4530" s="4" t="s">
        <v>10419</v>
      </c>
      <c r="B4530" s="5" t="s">
        <v>10420</v>
      </c>
      <c r="C4530" s="5" t="s">
        <v>35</v>
      </c>
      <c r="D4530" s="5" t="s">
        <v>36</v>
      </c>
      <c r="E4530" s="5" t="s">
        <v>71</v>
      </c>
      <c r="F4530" s="9">
        <v>33</v>
      </c>
      <c r="G4530" s="9">
        <v>348</v>
      </c>
      <c r="H4530" s="5" t="s">
        <v>20</v>
      </c>
      <c r="I4530" s="5" t="s">
        <v>10423</v>
      </c>
      <c r="J4530" s="12" t="str">
        <f>HYPERLINK("https://www.boe.es/gazeta/dias/1805/04/23/pdfs/GMD-1805-33.pdf#page=4","Abrir facsímil")</f>
        <v>Abrir facsímil</v>
      </c>
      <c r="K4530" s="15" t="s">
        <v>22</v>
      </c>
    </row>
    <row r="4531" spans="1:11" ht="42" customHeight="1">
      <c r="A4531" s="4" t="s">
        <v>10419</v>
      </c>
      <c r="B4531" s="5" t="s">
        <v>10420</v>
      </c>
      <c r="C4531" s="5" t="s">
        <v>35</v>
      </c>
      <c r="D4531" s="5" t="s">
        <v>36</v>
      </c>
      <c r="E4531" s="5" t="s">
        <v>399</v>
      </c>
      <c r="F4531" s="9">
        <v>39</v>
      </c>
      <c r="G4531" s="9">
        <v>416</v>
      </c>
      <c r="H4531" s="5" t="s">
        <v>20</v>
      </c>
      <c r="I4531" s="5" t="s">
        <v>10424</v>
      </c>
      <c r="J4531" s="12" t="str">
        <f>HYPERLINK("https://www.boe.es/gazeta/dias/1805/05/14/pdfs/GMD-1805-39.pdf#page=4","Abrir facsímil")</f>
        <v>Abrir facsímil</v>
      </c>
      <c r="K4531" s="15" t="s">
        <v>22</v>
      </c>
    </row>
    <row r="4532" spans="1:11" ht="42" customHeight="1">
      <c r="A4532" s="4" t="s">
        <v>10419</v>
      </c>
      <c r="B4532" s="5" t="s">
        <v>10420</v>
      </c>
      <c r="C4532" s="5" t="s">
        <v>184</v>
      </c>
      <c r="D4532" s="5" t="s">
        <v>86</v>
      </c>
      <c r="E4532" s="5" t="s">
        <v>1292</v>
      </c>
      <c r="F4532" s="9">
        <v>43</v>
      </c>
      <c r="G4532" s="9">
        <v>459</v>
      </c>
      <c r="H4532" s="5" t="s">
        <v>20</v>
      </c>
      <c r="I4532" s="5" t="s">
        <v>10425</v>
      </c>
      <c r="J4532" s="12" t="str">
        <f>HYPERLINK("https://www.boe.es/gazeta/dias/1805/05/28/pdfs/GMD-1805-43.pdf#page=3","Abrir facsímil")</f>
        <v>Abrir facsímil</v>
      </c>
      <c r="K4532" s="15" t="s">
        <v>22</v>
      </c>
    </row>
    <row r="4533" spans="1:11" ht="42" customHeight="1">
      <c r="A4533" s="4" t="s">
        <v>10426</v>
      </c>
      <c r="B4533" s="5" t="s">
        <v>10427</v>
      </c>
      <c r="C4533" s="5" t="s">
        <v>80</v>
      </c>
      <c r="D4533" s="5" t="s">
        <v>81</v>
      </c>
      <c r="E4533" s="5" t="s">
        <v>192</v>
      </c>
      <c r="F4533" s="9">
        <v>105</v>
      </c>
      <c r="G4533" s="9">
        <v>1131</v>
      </c>
      <c r="H4533" s="5" t="s">
        <v>20</v>
      </c>
      <c r="I4533" s="5" t="s">
        <v>10428</v>
      </c>
      <c r="J4533" s="12" t="str">
        <f>HYPERLINK("https://www.boe.es/gazeta/dias/1805/12/31/pdfs/GMD-1805-105.pdf#page=3","Abrir facsímil")</f>
        <v>Abrir facsímil</v>
      </c>
      <c r="K4533" s="15" t="s">
        <v>22</v>
      </c>
    </row>
    <row r="4534" spans="1:11" ht="42" customHeight="1">
      <c r="A4534" s="4" t="s">
        <v>10429</v>
      </c>
      <c r="B4534" s="5" t="s">
        <v>10430</v>
      </c>
      <c r="C4534" s="5" t="s">
        <v>17</v>
      </c>
      <c r="D4534" s="5" t="s">
        <v>18</v>
      </c>
      <c r="E4534" s="5" t="s">
        <v>170</v>
      </c>
      <c r="F4534" s="9">
        <v>9</v>
      </c>
      <c r="G4534" s="9">
        <v>98</v>
      </c>
      <c r="H4534" s="5" t="s">
        <v>20</v>
      </c>
      <c r="I4534" s="5" t="s">
        <v>10431</v>
      </c>
      <c r="J4534" s="12" t="str">
        <f>HYPERLINK("https://www.boe.es/gazeta/dias/1805/01/29/pdfs/GMD-1805-9.pdf#page=6","Abrir facsímil")</f>
        <v>Abrir facsímil</v>
      </c>
      <c r="K4534" s="15" t="s">
        <v>22</v>
      </c>
    </row>
    <row r="4535" spans="1:11" ht="42" customHeight="1">
      <c r="A4535" s="4" t="s">
        <v>10432</v>
      </c>
      <c r="B4535" s="5" t="s">
        <v>10433</v>
      </c>
      <c r="C4535" s="5" t="s">
        <v>17</v>
      </c>
      <c r="D4535" s="5" t="s">
        <v>18</v>
      </c>
      <c r="E4535" s="5" t="s">
        <v>170</v>
      </c>
      <c r="F4535" s="9">
        <v>9</v>
      </c>
      <c r="G4535" s="9">
        <v>98</v>
      </c>
      <c r="H4535" s="5" t="s">
        <v>20</v>
      </c>
      <c r="I4535" s="5" t="s">
        <v>10434</v>
      </c>
      <c r="J4535" s="12" t="str">
        <f>HYPERLINK("https://www.boe.es/gazeta/dias/1805/01/29/pdfs/GMD-1805-9.pdf#page=6","Abrir facsímil")</f>
        <v>Abrir facsímil</v>
      </c>
      <c r="K4535" s="15" t="s">
        <v>22</v>
      </c>
    </row>
    <row r="4536" spans="1:11" ht="42" customHeight="1">
      <c r="A4536" s="4" t="s">
        <v>10435</v>
      </c>
      <c r="B4536" s="5" t="s">
        <v>10436</v>
      </c>
      <c r="C4536" s="5" t="s">
        <v>85</v>
      </c>
      <c r="D4536" s="5" t="s">
        <v>86</v>
      </c>
      <c r="E4536" s="5" t="s">
        <v>1445</v>
      </c>
      <c r="F4536" s="9">
        <v>6</v>
      </c>
      <c r="G4536" s="9">
        <v>66</v>
      </c>
      <c r="H4536" s="5" t="s">
        <v>20</v>
      </c>
      <c r="I4536" s="5" t="s">
        <v>10437</v>
      </c>
      <c r="J4536" s="12" t="str">
        <f>HYPERLINK("https://www.boe.es/gazeta/dias/1805/01/18/pdfs/GMD-1805-6.pdf#page=10","Abrir facsímil")</f>
        <v>Abrir facsímil</v>
      </c>
      <c r="K4536" s="15" t="s">
        <v>22</v>
      </c>
    </row>
    <row r="4537" spans="1:11" ht="42" customHeight="1">
      <c r="A4537" s="4" t="s">
        <v>10438</v>
      </c>
      <c r="B4537" s="5" t="s">
        <v>10439</v>
      </c>
      <c r="C4537" s="5" t="s">
        <v>80</v>
      </c>
      <c r="D4537" s="5" t="s">
        <v>81</v>
      </c>
      <c r="E4537" s="5" t="s">
        <v>552</v>
      </c>
      <c r="F4537" s="9">
        <v>94</v>
      </c>
      <c r="G4537" s="9">
        <v>1006</v>
      </c>
      <c r="H4537" s="5" t="s">
        <v>20</v>
      </c>
      <c r="I4537" s="5" t="s">
        <v>10440</v>
      </c>
      <c r="J4537" s="12" t="str">
        <f>HYPERLINK("https://www.boe.es/gazeta/dias/1805/11/22/pdfs/GMD-1805-94.pdf#page=6","Abrir facsímil")</f>
        <v>Abrir facsímil</v>
      </c>
      <c r="K4537" s="15" t="s">
        <v>22</v>
      </c>
    </row>
    <row r="4538" spans="1:11" ht="42" customHeight="1">
      <c r="A4538" s="4" t="s">
        <v>10441</v>
      </c>
      <c r="B4538" s="5" t="s">
        <v>10442</v>
      </c>
      <c r="C4538" s="5" t="s">
        <v>35</v>
      </c>
      <c r="D4538" s="5" t="s">
        <v>36</v>
      </c>
      <c r="E4538" s="5" t="s">
        <v>48</v>
      </c>
      <c r="F4538" s="9">
        <v>35</v>
      </c>
      <c r="G4538" s="9">
        <v>379</v>
      </c>
      <c r="H4538" s="5" t="s">
        <v>20</v>
      </c>
      <c r="I4538" s="5" t="s">
        <v>10443</v>
      </c>
      <c r="J4538" s="12" t="str">
        <f>HYPERLINK("https://www.boe.es/gazeta/dias/1805/04/30/pdfs/GMD-1805-35.pdf#page=11","Abrir facsímil")</f>
        <v>Abrir facsímil</v>
      </c>
      <c r="K4538" s="15" t="s">
        <v>22</v>
      </c>
    </row>
    <row r="4539" spans="1:11" ht="42" customHeight="1">
      <c r="A4539" s="4" t="s">
        <v>10444</v>
      </c>
      <c r="B4539" s="5" t="s">
        <v>10445</v>
      </c>
      <c r="C4539" s="5" t="s">
        <v>35</v>
      </c>
      <c r="D4539" s="5" t="s">
        <v>36</v>
      </c>
      <c r="E4539" s="5" t="s">
        <v>132</v>
      </c>
      <c r="F4539" s="9">
        <v>2</v>
      </c>
      <c r="G4539" s="9">
        <v>21</v>
      </c>
      <c r="H4539" s="5" t="s">
        <v>20</v>
      </c>
      <c r="I4539" s="5" t="s">
        <v>10446</v>
      </c>
      <c r="J4539" s="12" t="str">
        <f>HYPERLINK("https://www.boe.es/gazeta/dias/1805/01/04/pdfs/GMD-1805-2.pdf#page=9","Abrir facsímil")</f>
        <v>Abrir facsímil</v>
      </c>
      <c r="K4539" s="15" t="s">
        <v>22</v>
      </c>
    </row>
    <row r="4540" spans="1:11" ht="42" customHeight="1">
      <c r="A4540" s="4" t="s">
        <v>10447</v>
      </c>
      <c r="B4540" s="5" t="s">
        <v>10448</v>
      </c>
      <c r="C4540" s="5" t="s">
        <v>35</v>
      </c>
      <c r="D4540" s="5" t="s">
        <v>36</v>
      </c>
      <c r="E4540" s="5" t="s">
        <v>365</v>
      </c>
      <c r="F4540" s="9">
        <v>3</v>
      </c>
      <c r="G4540" s="9">
        <v>29</v>
      </c>
      <c r="H4540" s="5" t="s">
        <v>20</v>
      </c>
      <c r="I4540" s="5" t="s">
        <v>10449</v>
      </c>
      <c r="J4540" s="12" t="str">
        <f>HYPERLINK("https://www.boe.es/gazeta/dias/1805/01/08/pdfs/GMD-1805-3.pdf#page=5","Abrir facsímil")</f>
        <v>Abrir facsímil</v>
      </c>
      <c r="K4540" s="15" t="s">
        <v>22</v>
      </c>
    </row>
    <row r="4541" spans="1:11" ht="42" customHeight="1">
      <c r="A4541" s="4" t="s">
        <v>10450</v>
      </c>
      <c r="B4541" s="5" t="s">
        <v>10451</v>
      </c>
      <c r="C4541" s="5" t="s">
        <v>35</v>
      </c>
      <c r="D4541" s="5" t="s">
        <v>36</v>
      </c>
      <c r="E4541" s="5" t="s">
        <v>213</v>
      </c>
      <c r="F4541" s="9">
        <v>56</v>
      </c>
      <c r="G4541" s="9">
        <v>600</v>
      </c>
      <c r="H4541" s="5" t="s">
        <v>20</v>
      </c>
      <c r="I4541" s="5" t="s">
        <v>10452</v>
      </c>
      <c r="J4541" s="12" t="str">
        <f>HYPERLINK("https://www.boe.es/gazeta/dias/1805/07/12/pdfs/GMD-1805-56.pdf#page=8","Abrir facsímil")</f>
        <v>Abrir facsímil</v>
      </c>
      <c r="K4541" s="15" t="s">
        <v>22</v>
      </c>
    </row>
    <row r="4542" spans="1:11" ht="42" customHeight="1">
      <c r="A4542" s="4" t="s">
        <v>10453</v>
      </c>
      <c r="B4542" s="5" t="s">
        <v>10454</v>
      </c>
      <c r="C4542" s="5" t="s">
        <v>184</v>
      </c>
      <c r="D4542" s="5" t="s">
        <v>86</v>
      </c>
      <c r="E4542" s="5" t="s">
        <v>471</v>
      </c>
      <c r="F4542" s="9">
        <v>22</v>
      </c>
      <c r="G4542" s="9">
        <v>234</v>
      </c>
      <c r="H4542" s="5" t="s">
        <v>20</v>
      </c>
      <c r="I4542" s="5" t="s">
        <v>10455</v>
      </c>
      <c r="J4542" s="12" t="str">
        <f>HYPERLINK("https://www.boe.es/gazeta/dias/1805/03/15/pdfs/GMD-1805-22.pdf#page=10","Abrir facsímil")</f>
        <v>Abrir facsímil</v>
      </c>
      <c r="K4542" s="15" t="s">
        <v>22</v>
      </c>
    </row>
    <row r="4543" spans="1:11" ht="42" customHeight="1">
      <c r="A4543" s="4" t="s">
        <v>10456</v>
      </c>
      <c r="B4543" s="5" t="s">
        <v>10457</v>
      </c>
      <c r="C4543" s="5" t="s">
        <v>29</v>
      </c>
      <c r="D4543" s="5" t="s">
        <v>30</v>
      </c>
      <c r="E4543" s="5" t="s">
        <v>303</v>
      </c>
      <c r="F4543" s="9">
        <v>57</v>
      </c>
      <c r="G4543" s="9">
        <v>610</v>
      </c>
      <c r="H4543" s="5" t="s">
        <v>20</v>
      </c>
      <c r="I4543" s="5" t="s">
        <v>10458</v>
      </c>
      <c r="J4543" s="12" t="str">
        <f>HYPERLINK("https://www.boe.es/gazeta/dias/1805/07/16/pdfs/GMD-1805-57.pdf#page=6","Abrir facsímil")</f>
        <v>Abrir facsímil</v>
      </c>
      <c r="K4543" s="15" t="s">
        <v>22</v>
      </c>
    </row>
    <row r="4544" spans="1:11" ht="42" customHeight="1">
      <c r="A4544" s="4" t="s">
        <v>10459</v>
      </c>
      <c r="B4544" s="5" t="s">
        <v>10460</v>
      </c>
      <c r="C4544" s="5" t="s">
        <v>17</v>
      </c>
      <c r="D4544" s="5" t="s">
        <v>18</v>
      </c>
      <c r="E4544" s="5" t="s">
        <v>71</v>
      </c>
      <c r="F4544" s="9">
        <v>33</v>
      </c>
      <c r="G4544" s="9">
        <v>354</v>
      </c>
      <c r="H4544" s="5" t="s">
        <v>20</v>
      </c>
      <c r="I4544" s="5" t="s">
        <v>10461</v>
      </c>
      <c r="J4544" s="12" t="str">
        <f>HYPERLINK("https://www.boe.es/gazeta/dias/1805/04/23/pdfs/GMD-1805-33.pdf#page=10","Abrir facsímil")</f>
        <v>Abrir facsímil</v>
      </c>
      <c r="K4544" s="15" t="s">
        <v>22</v>
      </c>
    </row>
    <row r="4545" spans="1:11" ht="42" customHeight="1">
      <c r="A4545" s="4" t="s">
        <v>10462</v>
      </c>
      <c r="B4545" s="5" t="s">
        <v>10463</v>
      </c>
      <c r="C4545" s="5" t="s">
        <v>184</v>
      </c>
      <c r="D4545" s="5" t="s">
        <v>86</v>
      </c>
      <c r="E4545" s="5" t="s">
        <v>188</v>
      </c>
      <c r="F4545" s="9">
        <v>68</v>
      </c>
      <c r="G4545" s="9">
        <v>732</v>
      </c>
      <c r="H4545" s="5" t="s">
        <v>20</v>
      </c>
      <c r="I4545" s="5" t="s">
        <v>10464</v>
      </c>
      <c r="J4545" s="12" t="str">
        <f>HYPERLINK("https://www.boe.es/gazeta/dias/1805/08/23/pdfs/GMD-1805-68.pdf#page=12","Abrir facsímil")</f>
        <v>Abrir facsímil</v>
      </c>
      <c r="K4545" s="15" t="s">
        <v>22</v>
      </c>
    </row>
    <row r="4546" spans="1:11" ht="42" customHeight="1">
      <c r="A4546" s="4" t="s">
        <v>10465</v>
      </c>
      <c r="B4546" s="5" t="s">
        <v>10466</v>
      </c>
      <c r="C4546" s="5" t="s">
        <v>35</v>
      </c>
      <c r="D4546" s="5" t="s">
        <v>36</v>
      </c>
      <c r="E4546" s="5" t="s">
        <v>99</v>
      </c>
      <c r="F4546" s="9">
        <v>83</v>
      </c>
      <c r="G4546" s="9">
        <v>882</v>
      </c>
      <c r="H4546" s="5" t="s">
        <v>20</v>
      </c>
      <c r="I4546" s="5" t="s">
        <v>10467</v>
      </c>
      <c r="J4546" s="12" t="str">
        <f>HYPERLINK("https://www.boe.es/gazeta/dias/1805/10/15/pdfs/GMD-1805-83.pdf#page=10","Abrir facsímil")</f>
        <v>Abrir facsímil</v>
      </c>
      <c r="K4546" s="15" t="s">
        <v>22</v>
      </c>
    </row>
    <row r="4547" spans="1:11" ht="42" customHeight="1">
      <c r="A4547" s="4" t="s">
        <v>10465</v>
      </c>
      <c r="B4547" s="5" t="s">
        <v>10466</v>
      </c>
      <c r="C4547" s="5" t="s">
        <v>35</v>
      </c>
      <c r="D4547" s="5" t="s">
        <v>36</v>
      </c>
      <c r="E4547" s="5" t="s">
        <v>63</v>
      </c>
      <c r="F4547" s="9">
        <v>101</v>
      </c>
      <c r="G4547" s="9">
        <v>1091</v>
      </c>
      <c r="H4547" s="5" t="s">
        <v>20</v>
      </c>
      <c r="I4547" s="5" t="s">
        <v>10468</v>
      </c>
      <c r="J4547" s="12" t="str">
        <f>HYPERLINK("https://www.boe.es/gazeta/dias/1805/12/17/pdfs/GMD-1805-101.pdf#page=7","Abrir facsímil")</f>
        <v>Abrir facsímil</v>
      </c>
      <c r="K4547" s="15" t="s">
        <v>22</v>
      </c>
    </row>
    <row r="4548" spans="1:11" ht="42" customHeight="1">
      <c r="A4548" s="4" t="s">
        <v>10469</v>
      </c>
      <c r="B4548" s="5" t="s">
        <v>10470</v>
      </c>
      <c r="C4548" s="5" t="s">
        <v>17</v>
      </c>
      <c r="D4548" s="5" t="s">
        <v>18</v>
      </c>
      <c r="E4548" s="5" t="s">
        <v>138</v>
      </c>
      <c r="F4548" s="9">
        <v>102</v>
      </c>
      <c r="G4548" s="9">
        <v>1104</v>
      </c>
      <c r="H4548" s="5" t="s">
        <v>20</v>
      </c>
      <c r="I4548" s="5" t="s">
        <v>10471</v>
      </c>
      <c r="J4548" s="12" t="str">
        <f>HYPERLINK("https://www.boe.es/gazeta/dias/1805/12/20/pdfs/GMD-1805-102.pdf#page=8","Abrir facsímil")</f>
        <v>Abrir facsímil</v>
      </c>
      <c r="K4548" s="15" t="s">
        <v>22</v>
      </c>
    </row>
    <row r="4549" spans="1:11" ht="42" customHeight="1">
      <c r="A4549" s="4" t="s">
        <v>10472</v>
      </c>
      <c r="B4549" s="5" t="s">
        <v>10473</v>
      </c>
      <c r="C4549" s="5" t="s">
        <v>35</v>
      </c>
      <c r="D4549" s="5" t="s">
        <v>36</v>
      </c>
      <c r="E4549" s="5" t="s">
        <v>138</v>
      </c>
      <c r="F4549" s="9">
        <v>102</v>
      </c>
      <c r="G4549" s="9">
        <v>1104</v>
      </c>
      <c r="H4549" s="5" t="s">
        <v>20</v>
      </c>
      <c r="I4549" s="5" t="s">
        <v>10474</v>
      </c>
      <c r="J4549" s="12" t="str">
        <f>HYPERLINK("https://www.boe.es/gazeta/dias/1805/12/20/pdfs/GMD-1805-102.pdf#page=8","Abrir facsímil")</f>
        <v>Abrir facsímil</v>
      </c>
      <c r="K4549" s="15" t="s">
        <v>22</v>
      </c>
    </row>
    <row r="4550" spans="1:11" ht="42" customHeight="1">
      <c r="A4550" s="4" t="s">
        <v>10475</v>
      </c>
      <c r="B4550" s="5" t="s">
        <v>10476</v>
      </c>
      <c r="C4550" s="5" t="s">
        <v>17</v>
      </c>
      <c r="D4550" s="5" t="s">
        <v>18</v>
      </c>
      <c r="E4550" s="5" t="s">
        <v>649</v>
      </c>
      <c r="F4550" s="9">
        <v>7</v>
      </c>
      <c r="G4550" s="9">
        <v>74</v>
      </c>
      <c r="H4550" s="5" t="s">
        <v>20</v>
      </c>
      <c r="I4550" s="5" t="s">
        <v>10477</v>
      </c>
      <c r="J4550" s="12" t="str">
        <f>HYPERLINK("https://www.boe.es/gazeta/dias/1805/01/22/pdfs/GMD-1805-7.pdf#page=6","Abrir facsímil")</f>
        <v>Abrir facsímil</v>
      </c>
      <c r="K4550" s="15" t="s">
        <v>22</v>
      </c>
    </row>
    <row r="4551" spans="1:11" ht="42" customHeight="1">
      <c r="A4551" s="4" t="s">
        <v>10478</v>
      </c>
      <c r="B4551" s="5" t="s">
        <v>10479</v>
      </c>
      <c r="C4551" s="5" t="s">
        <v>17</v>
      </c>
      <c r="D4551" s="5" t="s">
        <v>18</v>
      </c>
      <c r="E4551" s="5" t="s">
        <v>649</v>
      </c>
      <c r="F4551" s="9">
        <v>7</v>
      </c>
      <c r="G4551" s="9">
        <v>75</v>
      </c>
      <c r="H4551" s="5" t="s">
        <v>20</v>
      </c>
      <c r="I4551" s="5" t="s">
        <v>10480</v>
      </c>
      <c r="J4551" s="12" t="str">
        <f>HYPERLINK("https://www.boe.es/gazeta/dias/1805/01/22/pdfs/GMD-1805-7.pdf#page=7","Abrir facsímil")</f>
        <v>Abrir facsímil</v>
      </c>
      <c r="K4551" s="15" t="s">
        <v>22</v>
      </c>
    </row>
    <row r="4552" spans="1:11" ht="42" customHeight="1">
      <c r="A4552" s="4" t="s">
        <v>10478</v>
      </c>
      <c r="B4552" s="5" t="s">
        <v>10479</v>
      </c>
      <c r="C4552" s="5" t="s">
        <v>35</v>
      </c>
      <c r="D4552" s="5" t="s">
        <v>36</v>
      </c>
      <c r="E4552" s="5" t="s">
        <v>649</v>
      </c>
      <c r="F4552" s="9">
        <v>7</v>
      </c>
      <c r="G4552" s="9">
        <v>76</v>
      </c>
      <c r="H4552" s="5" t="s">
        <v>20</v>
      </c>
      <c r="I4552" s="5" t="s">
        <v>10481</v>
      </c>
      <c r="J4552" s="12" t="str">
        <f>HYPERLINK("https://www.boe.es/gazeta/dias/1805/01/22/pdfs/GMD-1805-7.pdf#page=8","Abrir facsímil")</f>
        <v>Abrir facsímil</v>
      </c>
      <c r="K4552" s="15" t="s">
        <v>22</v>
      </c>
    </row>
    <row r="4553" spans="1:11" ht="42" customHeight="1">
      <c r="A4553" s="4" t="s">
        <v>10478</v>
      </c>
      <c r="B4553" s="5" t="s">
        <v>10479</v>
      </c>
      <c r="C4553" s="5" t="s">
        <v>17</v>
      </c>
      <c r="D4553" s="5" t="s">
        <v>18</v>
      </c>
      <c r="E4553" s="5" t="s">
        <v>649</v>
      </c>
      <c r="F4553" s="9">
        <v>7</v>
      </c>
      <c r="G4553" s="9">
        <v>77</v>
      </c>
      <c r="H4553" s="5" t="s">
        <v>20</v>
      </c>
      <c r="I4553" s="5" t="s">
        <v>10482</v>
      </c>
      <c r="J4553" s="12" t="str">
        <f>HYPERLINK("https://www.boe.es/gazeta/dias/1805/01/22/pdfs/GMD-1805-7.pdf#page=9","Abrir facsímil")</f>
        <v>Abrir facsímil</v>
      </c>
      <c r="K4553" s="15" t="s">
        <v>22</v>
      </c>
    </row>
    <row r="4554" spans="1:11" ht="42" customHeight="1">
      <c r="A4554" s="4" t="s">
        <v>10483</v>
      </c>
      <c r="B4554" s="5" t="s">
        <v>10484</v>
      </c>
      <c r="C4554" s="5" t="s">
        <v>35</v>
      </c>
      <c r="D4554" s="5" t="s">
        <v>36</v>
      </c>
      <c r="E4554" s="5" t="s">
        <v>495</v>
      </c>
      <c r="F4554" s="9">
        <v>103</v>
      </c>
      <c r="G4554" s="9">
        <v>1114</v>
      </c>
      <c r="H4554" s="5" t="s">
        <v>20</v>
      </c>
      <c r="I4554" s="5" t="s">
        <v>10485</v>
      </c>
      <c r="J4554" s="12" t="str">
        <f>HYPERLINK("https://www.boe.es/gazeta/dias/1805/12/24/pdfs/GMD-1805-103.pdf#page=6","Abrir facsímil")</f>
        <v>Abrir facsímil</v>
      </c>
      <c r="K4554" s="15" t="s">
        <v>22</v>
      </c>
    </row>
    <row r="4555" spans="1:11" ht="42" customHeight="1">
      <c r="A4555" s="4" t="s">
        <v>10486</v>
      </c>
      <c r="B4555" s="5" t="s">
        <v>10487</v>
      </c>
      <c r="C4555" s="5" t="s">
        <v>35</v>
      </c>
      <c r="D4555" s="5" t="s">
        <v>36</v>
      </c>
      <c r="E4555" s="5" t="s">
        <v>215</v>
      </c>
      <c r="F4555" s="9">
        <v>87</v>
      </c>
      <c r="G4555" s="9">
        <v>927</v>
      </c>
      <c r="H4555" s="5" t="s">
        <v>20</v>
      </c>
      <c r="I4555" s="5" t="s">
        <v>10488</v>
      </c>
      <c r="J4555" s="12" t="str">
        <f>HYPERLINK("https://www.boe.es/gazeta/dias/1805/10/29/pdfs/GMD-1805-87.pdf#page=11","Abrir facsímil")</f>
        <v>Abrir facsímil</v>
      </c>
      <c r="K4555" s="15" t="s">
        <v>22</v>
      </c>
    </row>
    <row r="4556" spans="1:11" ht="42" customHeight="1">
      <c r="A4556" s="4" t="s">
        <v>10489</v>
      </c>
      <c r="B4556" s="5" t="s">
        <v>10489</v>
      </c>
      <c r="C4556" s="5" t="s">
        <v>80</v>
      </c>
      <c r="D4556" s="5" t="s">
        <v>81</v>
      </c>
      <c r="E4556" s="5" t="s">
        <v>296</v>
      </c>
      <c r="F4556" s="9">
        <v>26</v>
      </c>
      <c r="G4556" s="9">
        <v>272</v>
      </c>
      <c r="H4556" s="5" t="s">
        <v>20</v>
      </c>
      <c r="I4556" s="5" t="s">
        <v>10490</v>
      </c>
      <c r="J4556" s="12" t="str">
        <f>HYPERLINK("https://www.boe.es/gazeta/dias/1805/03/29/pdfs/GMD-1805-26.pdf#page=4","Abrir facsímil")</f>
        <v>Abrir facsímil</v>
      </c>
      <c r="K4556" s="15" t="s">
        <v>22</v>
      </c>
    </row>
    <row r="4557" spans="1:11" ht="42" customHeight="1">
      <c r="A4557" s="4" t="s">
        <v>10491</v>
      </c>
      <c r="B4557" s="5" t="s">
        <v>10491</v>
      </c>
      <c r="C4557" s="5" t="s">
        <v>29</v>
      </c>
      <c r="D4557" s="5" t="s">
        <v>30</v>
      </c>
      <c r="E4557" s="5" t="s">
        <v>1432</v>
      </c>
      <c r="F4557" s="9">
        <v>53</v>
      </c>
      <c r="G4557" s="9">
        <v>571</v>
      </c>
      <c r="H4557" s="5" t="s">
        <v>20</v>
      </c>
      <c r="I4557" s="5" t="s">
        <v>10492</v>
      </c>
      <c r="J4557" s="12" t="str">
        <f>HYPERLINK("https://www.boe.es/gazeta/dias/1805/07/02/pdfs/GMD-1805-53.pdf#page=7","Abrir facsímil")</f>
        <v>Abrir facsímil</v>
      </c>
      <c r="K4557" s="15" t="s">
        <v>22</v>
      </c>
    </row>
    <row r="4558" spans="1:11" ht="42" customHeight="1">
      <c r="A4558" s="4" t="s">
        <v>10491</v>
      </c>
      <c r="B4558" s="5" t="s">
        <v>10491</v>
      </c>
      <c r="C4558" s="5" t="s">
        <v>35</v>
      </c>
      <c r="D4558" s="5" t="s">
        <v>36</v>
      </c>
      <c r="E4558" s="5" t="s">
        <v>40</v>
      </c>
      <c r="F4558" s="9">
        <v>59</v>
      </c>
      <c r="G4558" s="9">
        <v>629</v>
      </c>
      <c r="H4558" s="5" t="s">
        <v>20</v>
      </c>
      <c r="I4558" s="5" t="s">
        <v>10493</v>
      </c>
      <c r="J4558" s="12" t="str">
        <f>HYPERLINK("https://www.boe.es/gazeta/dias/1805/07/23/pdfs/GMD-1805-59.pdf#page=5","Abrir facsímil")</f>
        <v>Abrir facsímil</v>
      </c>
      <c r="K4558" s="15" t="s">
        <v>22</v>
      </c>
    </row>
    <row r="4559" spans="1:11" ht="42" customHeight="1">
      <c r="A4559" s="4" t="s">
        <v>10494</v>
      </c>
      <c r="B4559" s="5" t="s">
        <v>10495</v>
      </c>
      <c r="C4559" s="5" t="s">
        <v>35</v>
      </c>
      <c r="D4559" s="5" t="s">
        <v>36</v>
      </c>
      <c r="E4559" s="5" t="s">
        <v>200</v>
      </c>
      <c r="F4559" s="9">
        <v>91</v>
      </c>
      <c r="G4559" s="9">
        <v>977</v>
      </c>
      <c r="H4559" s="5" t="s">
        <v>20</v>
      </c>
      <c r="I4559" s="5" t="s">
        <v>10496</v>
      </c>
      <c r="J4559" s="12" t="str">
        <f>HYPERLINK("https://www.boe.es/gazeta/dias/1805/11/12/pdfs/GMD-1805-91.pdf#page=9","Abrir facsímil")</f>
        <v>Abrir facsímil</v>
      </c>
      <c r="K4559" s="15" t="s">
        <v>22</v>
      </c>
    </row>
    <row r="4560" spans="1:11" ht="42" customHeight="1">
      <c r="A4560" s="4" t="s">
        <v>10497</v>
      </c>
      <c r="B4560" s="5" t="s">
        <v>10498</v>
      </c>
      <c r="C4560" s="5" t="s">
        <v>29</v>
      </c>
      <c r="D4560" s="5" t="s">
        <v>30</v>
      </c>
      <c r="E4560" s="5" t="s">
        <v>399</v>
      </c>
      <c r="F4560" s="9">
        <v>39</v>
      </c>
      <c r="G4560" s="9">
        <v>417</v>
      </c>
      <c r="H4560" s="5" t="s">
        <v>20</v>
      </c>
      <c r="I4560" s="5" t="s">
        <v>10499</v>
      </c>
      <c r="J4560" s="12" t="str">
        <f>HYPERLINK("https://www.boe.es/gazeta/dias/1805/05/14/pdfs/GMD-1805-39.pdf#page=5","Abrir facsímil")</f>
        <v>Abrir facsímil</v>
      </c>
      <c r="K4560" s="15" t="s">
        <v>22</v>
      </c>
    </row>
    <row r="4561" spans="1:11" ht="42" customHeight="1">
      <c r="A4561" s="4" t="s">
        <v>10497</v>
      </c>
      <c r="B4561" s="5" t="s">
        <v>10498</v>
      </c>
      <c r="C4561" s="5" t="s">
        <v>80</v>
      </c>
      <c r="D4561" s="5" t="s">
        <v>81</v>
      </c>
      <c r="E4561" s="5" t="s">
        <v>669</v>
      </c>
      <c r="F4561" s="9">
        <v>84</v>
      </c>
      <c r="G4561" s="9">
        <v>889</v>
      </c>
      <c r="H4561" s="5" t="s">
        <v>20</v>
      </c>
      <c r="I4561" s="5" t="s">
        <v>10500</v>
      </c>
      <c r="J4561" s="12" t="str">
        <f>HYPERLINK("https://www.boe.es/gazeta/dias/1805/10/18/pdfs/GMD-1805-84.pdf#page=5","Abrir facsímil")</f>
        <v>Abrir facsímil</v>
      </c>
      <c r="K4561" s="15" t="s">
        <v>22</v>
      </c>
    </row>
    <row r="4562" spans="1:11" ht="42" customHeight="1">
      <c r="A4562" s="4" t="s">
        <v>10501</v>
      </c>
      <c r="B4562" s="5" t="s">
        <v>10502</v>
      </c>
      <c r="C4562" s="5" t="s">
        <v>35</v>
      </c>
      <c r="D4562" s="5" t="s">
        <v>36</v>
      </c>
      <c r="E4562" s="5" t="s">
        <v>87</v>
      </c>
      <c r="F4562" s="9">
        <v>14</v>
      </c>
      <c r="G4562" s="9">
        <v>146</v>
      </c>
      <c r="H4562" s="5" t="s">
        <v>20</v>
      </c>
      <c r="I4562" s="5" t="s">
        <v>10503</v>
      </c>
      <c r="J4562" s="12" t="str">
        <f>HYPERLINK("https://www.boe.es/gazeta/dias/1805/02/15/pdfs/GMD-1805-14.pdf#page=6","Abrir facsímil")</f>
        <v>Abrir facsímil</v>
      </c>
      <c r="K4562" s="15" t="s">
        <v>22</v>
      </c>
    </row>
    <row r="4563" spans="1:11" ht="42" customHeight="1">
      <c r="A4563" s="4" t="s">
        <v>10501</v>
      </c>
      <c r="B4563" s="5" t="s">
        <v>10502</v>
      </c>
      <c r="C4563" s="5" t="s">
        <v>35</v>
      </c>
      <c r="D4563" s="5" t="s">
        <v>36</v>
      </c>
      <c r="E4563" s="5" t="s">
        <v>539</v>
      </c>
      <c r="F4563" s="9">
        <v>97</v>
      </c>
      <c r="G4563" s="9">
        <v>1045</v>
      </c>
      <c r="H4563" s="5" t="s">
        <v>20</v>
      </c>
      <c r="I4563" s="5" t="s">
        <v>10504</v>
      </c>
      <c r="J4563" s="12" t="str">
        <f>HYPERLINK("https://www.boe.es/gazeta/dias/1805/12/03/pdfs/GMD-1805-97.pdf#page=9","Abrir facsímil")</f>
        <v>Abrir facsímil</v>
      </c>
      <c r="K4563" s="15" t="s">
        <v>22</v>
      </c>
    </row>
    <row r="4564" spans="1:11" ht="42" customHeight="1">
      <c r="A4564" s="4" t="s">
        <v>10505</v>
      </c>
      <c r="B4564" s="5" t="s">
        <v>10506</v>
      </c>
      <c r="C4564" s="5" t="s">
        <v>35</v>
      </c>
      <c r="D4564" s="5" t="s">
        <v>36</v>
      </c>
      <c r="E4564" s="5" t="s">
        <v>539</v>
      </c>
      <c r="F4564" s="9">
        <v>97</v>
      </c>
      <c r="G4564" s="9">
        <v>1045</v>
      </c>
      <c r="H4564" s="5" t="s">
        <v>20</v>
      </c>
      <c r="I4564" s="5" t="s">
        <v>10507</v>
      </c>
      <c r="J4564" s="12" t="str">
        <f>HYPERLINK("https://www.boe.es/gazeta/dias/1805/12/03/pdfs/GMD-1805-97.pdf#page=9","Abrir facsímil")</f>
        <v>Abrir facsímil</v>
      </c>
      <c r="K4564" s="15" t="s">
        <v>22</v>
      </c>
    </row>
    <row r="4565" spans="1:11" ht="42" customHeight="1">
      <c r="A4565" s="4" t="s">
        <v>10508</v>
      </c>
      <c r="B4565" s="5" t="s">
        <v>10509</v>
      </c>
      <c r="C4565" s="5" t="s">
        <v>17</v>
      </c>
      <c r="D4565" s="5" t="s">
        <v>18</v>
      </c>
      <c r="E4565" s="5" t="s">
        <v>1187</v>
      </c>
      <c r="F4565" s="9">
        <v>40</v>
      </c>
      <c r="G4565" s="9">
        <v>431</v>
      </c>
      <c r="H4565" s="5" t="s">
        <v>20</v>
      </c>
      <c r="I4565" s="5" t="s">
        <v>10510</v>
      </c>
      <c r="J4565" s="12" t="str">
        <f>HYPERLINK("https://www.boe.es/gazeta/dias/1805/05/17/pdfs/GMD-1805-40.pdf#page=7","Abrir facsímil")</f>
        <v>Abrir facsímil</v>
      </c>
      <c r="K4565" s="15" t="s">
        <v>22</v>
      </c>
    </row>
    <row r="4566" spans="1:11" ht="42" customHeight="1">
      <c r="A4566" s="4" t="s">
        <v>10511</v>
      </c>
      <c r="B4566" s="5" t="s">
        <v>10512</v>
      </c>
      <c r="C4566" s="5" t="s">
        <v>35</v>
      </c>
      <c r="D4566" s="5" t="s">
        <v>36</v>
      </c>
      <c r="E4566" s="5" t="s">
        <v>163</v>
      </c>
      <c r="F4566" s="9">
        <v>77</v>
      </c>
      <c r="G4566" s="9">
        <v>817</v>
      </c>
      <c r="H4566" s="5" t="s">
        <v>20</v>
      </c>
      <c r="I4566" s="5" t="s">
        <v>10513</v>
      </c>
      <c r="J4566" s="12" t="str">
        <f>HYPERLINK("https://www.boe.es/gazeta/dias/1805/09/24/pdfs/GMD-1805-77.pdf#page=9","Abrir facsímil")</f>
        <v>Abrir facsímil</v>
      </c>
      <c r="K4566" s="15" t="s">
        <v>22</v>
      </c>
    </row>
    <row r="4567" spans="1:11" ht="42" customHeight="1">
      <c r="A4567" s="4" t="s">
        <v>10514</v>
      </c>
      <c r="B4567" s="5" t="s">
        <v>10515</v>
      </c>
      <c r="C4567" s="5" t="s">
        <v>35</v>
      </c>
      <c r="D4567" s="5" t="s">
        <v>36</v>
      </c>
      <c r="E4567" s="5" t="s">
        <v>144</v>
      </c>
      <c r="F4567" s="9">
        <v>85</v>
      </c>
      <c r="G4567" s="9">
        <v>901</v>
      </c>
      <c r="H4567" s="5" t="s">
        <v>20</v>
      </c>
      <c r="I4567" s="5" t="s">
        <v>10516</v>
      </c>
      <c r="J4567" s="12" t="str">
        <f>HYPERLINK("https://www.boe.es/gazeta/dias/1805/10/22/pdfs/GMD-1805-85.pdf#page=9","Abrir facsímil")</f>
        <v>Abrir facsímil</v>
      </c>
      <c r="K4567" s="15" t="s">
        <v>22</v>
      </c>
    </row>
    <row r="4568" spans="1:11" ht="42" customHeight="1">
      <c r="A4568" s="4" t="s">
        <v>10517</v>
      </c>
      <c r="B4568" s="5" t="s">
        <v>10518</v>
      </c>
      <c r="C4568" s="5" t="s">
        <v>35</v>
      </c>
      <c r="D4568" s="5" t="s">
        <v>36</v>
      </c>
      <c r="E4568" s="5" t="s">
        <v>120</v>
      </c>
      <c r="F4568" s="9">
        <v>24</v>
      </c>
      <c r="G4568" s="9">
        <v>256</v>
      </c>
      <c r="H4568" s="5" t="s">
        <v>20</v>
      </c>
      <c r="I4568" s="5" t="s">
        <v>10519</v>
      </c>
      <c r="J4568" s="12" t="str">
        <f>HYPERLINK("https://www.boe.es/gazeta/dias/1805/03/22/pdfs/GMD-1805-24.pdf#page=8","Abrir facsímil")</f>
        <v>Abrir facsímil</v>
      </c>
      <c r="K4568" s="15" t="s">
        <v>22</v>
      </c>
    </row>
    <row r="4569" spans="1:11" ht="42" customHeight="1">
      <c r="A4569" s="4" t="s">
        <v>10520</v>
      </c>
      <c r="B4569" s="5" t="s">
        <v>10521</v>
      </c>
      <c r="C4569" s="5" t="s">
        <v>35</v>
      </c>
      <c r="D4569" s="5" t="s">
        <v>36</v>
      </c>
      <c r="E4569" s="5" t="s">
        <v>163</v>
      </c>
      <c r="F4569" s="9">
        <v>77</v>
      </c>
      <c r="G4569" s="9">
        <v>817</v>
      </c>
      <c r="H4569" s="5" t="s">
        <v>20</v>
      </c>
      <c r="I4569" s="5" t="s">
        <v>10522</v>
      </c>
      <c r="J4569" s="12" t="str">
        <f>HYPERLINK("https://www.boe.es/gazeta/dias/1805/09/24/pdfs/GMD-1805-77.pdf#page=9","Abrir facsímil")</f>
        <v>Abrir facsímil</v>
      </c>
      <c r="K4569" s="15" t="s">
        <v>22</v>
      </c>
    </row>
    <row r="4570" spans="1:11" ht="42" customHeight="1">
      <c r="A4570" s="4" t="s">
        <v>10523</v>
      </c>
      <c r="B4570" s="5" t="s">
        <v>10524</v>
      </c>
      <c r="C4570" s="5" t="s">
        <v>35</v>
      </c>
      <c r="D4570" s="5" t="s">
        <v>36</v>
      </c>
      <c r="E4570" s="5" t="s">
        <v>296</v>
      </c>
      <c r="F4570" s="9">
        <v>26</v>
      </c>
      <c r="G4570" s="9">
        <v>277</v>
      </c>
      <c r="H4570" s="5" t="s">
        <v>20</v>
      </c>
      <c r="I4570" s="5" t="s">
        <v>10525</v>
      </c>
      <c r="J4570" s="12" t="str">
        <f>HYPERLINK("https://www.boe.es/gazeta/dias/1805/03/29/pdfs/GMD-1805-26.pdf#page=9","Abrir facsímil")</f>
        <v>Abrir facsímil</v>
      </c>
      <c r="K4570" s="15" t="s">
        <v>22</v>
      </c>
    </row>
    <row r="4571" spans="1:11" ht="42" customHeight="1">
      <c r="A4571" s="4" t="s">
        <v>10526</v>
      </c>
      <c r="B4571" s="5" t="s">
        <v>10527</v>
      </c>
      <c r="C4571" s="5" t="s">
        <v>80</v>
      </c>
      <c r="D4571" s="5" t="s">
        <v>81</v>
      </c>
      <c r="E4571" s="5" t="s">
        <v>67</v>
      </c>
      <c r="F4571" s="9">
        <v>98</v>
      </c>
      <c r="G4571" s="9">
        <v>1051</v>
      </c>
      <c r="H4571" s="5" t="s">
        <v>20</v>
      </c>
      <c r="I4571" s="5" t="s">
        <v>10528</v>
      </c>
      <c r="J4571" s="12" t="str">
        <f>HYPERLINK("https://www.boe.es/gazeta/dias/1805/12/06/pdfs/GMD-1805-98.pdf#page=3","Abrir facsímil")</f>
        <v>Abrir facsímil</v>
      </c>
      <c r="K4571" s="15" t="s">
        <v>22</v>
      </c>
    </row>
    <row r="4572" spans="1:11" ht="42" customHeight="1">
      <c r="A4572" s="4" t="s">
        <v>10526</v>
      </c>
      <c r="B4572" s="5" t="s">
        <v>10527</v>
      </c>
      <c r="C4572" s="5" t="s">
        <v>80</v>
      </c>
      <c r="D4572" s="5" t="s">
        <v>81</v>
      </c>
      <c r="E4572" s="5" t="s">
        <v>67</v>
      </c>
      <c r="F4572" s="9">
        <v>98</v>
      </c>
      <c r="G4572" s="9">
        <v>1053</v>
      </c>
      <c r="H4572" s="5" t="s">
        <v>20</v>
      </c>
      <c r="I4572" s="5" t="s">
        <v>10529</v>
      </c>
      <c r="J4572" s="12" t="str">
        <f>HYPERLINK("https://www.boe.es/gazeta/dias/1805/12/06/pdfs/GMD-1805-98.pdf#page=5","Abrir facsímil")</f>
        <v>Abrir facsímil</v>
      </c>
      <c r="K4572" s="15" t="s">
        <v>22</v>
      </c>
    </row>
    <row r="4573" spans="1:11" ht="42" customHeight="1">
      <c r="A4573" s="4" t="s">
        <v>10530</v>
      </c>
      <c r="B4573" s="5" t="s">
        <v>10531</v>
      </c>
      <c r="C4573" s="5" t="s">
        <v>80</v>
      </c>
      <c r="D4573" s="5" t="s">
        <v>81</v>
      </c>
      <c r="E4573" s="5" t="s">
        <v>495</v>
      </c>
      <c r="F4573" s="9">
        <v>103</v>
      </c>
      <c r="G4573" s="9">
        <v>1109</v>
      </c>
      <c r="H4573" s="5" t="s">
        <v>20</v>
      </c>
      <c r="I4573" s="5" t="s">
        <v>10532</v>
      </c>
      <c r="J4573" s="12" t="str">
        <f>HYPERLINK("https://www.boe.es/gazeta/dias/1805/12/24/pdfs/GMD-1805-103.pdf#page=1","Abrir facsímil")</f>
        <v>Abrir facsímil</v>
      </c>
      <c r="K4573" s="15" t="s">
        <v>22</v>
      </c>
    </row>
    <row r="4574" spans="1:11" ht="42" customHeight="1">
      <c r="A4574" s="4" t="s">
        <v>10533</v>
      </c>
      <c r="B4574" s="5" t="s">
        <v>10533</v>
      </c>
      <c r="C4574" s="5" t="s">
        <v>80</v>
      </c>
      <c r="D4574" s="5" t="s">
        <v>81</v>
      </c>
      <c r="E4574" s="5" t="s">
        <v>733</v>
      </c>
      <c r="F4574" s="9">
        <v>45</v>
      </c>
      <c r="G4574" s="9">
        <v>482</v>
      </c>
      <c r="H4574" s="5" t="s">
        <v>20</v>
      </c>
      <c r="I4574" s="5" t="s">
        <v>10534</v>
      </c>
      <c r="J4574" s="12" t="str">
        <f>HYPERLINK("https://www.boe.es/gazeta/dias/1805/06/04/pdfs/GMD-1805-45.pdf#page=6","Abrir facsímil")</f>
        <v>Abrir facsímil</v>
      </c>
      <c r="K4574" s="15" t="s">
        <v>22</v>
      </c>
    </row>
    <row r="4575" spans="1:11" ht="42" customHeight="1">
      <c r="A4575" s="4" t="s">
        <v>10535</v>
      </c>
      <c r="B4575" s="5" t="s">
        <v>10536</v>
      </c>
      <c r="C4575" s="5" t="s">
        <v>35</v>
      </c>
      <c r="D4575" s="5" t="s">
        <v>36</v>
      </c>
      <c r="E4575" s="5" t="s">
        <v>67</v>
      </c>
      <c r="F4575" s="9">
        <v>98</v>
      </c>
      <c r="G4575" s="9">
        <v>1059</v>
      </c>
      <c r="H4575" s="5" t="s">
        <v>20</v>
      </c>
      <c r="I4575" s="5" t="s">
        <v>10537</v>
      </c>
      <c r="J4575" s="12" t="str">
        <f>HYPERLINK("https://www.boe.es/gazeta/dias/1805/12/06/pdfs/GMD-1805-98.pdf#page=11","Abrir facsímil")</f>
        <v>Abrir facsímil</v>
      </c>
      <c r="K4575" s="15" t="s">
        <v>22</v>
      </c>
    </row>
    <row r="4576" spans="1:11" ht="42" customHeight="1">
      <c r="A4576" s="4" t="s">
        <v>10538</v>
      </c>
      <c r="B4576" s="5" t="s">
        <v>10539</v>
      </c>
      <c r="C4576" s="5" t="s">
        <v>35</v>
      </c>
      <c r="D4576" s="5" t="s">
        <v>36</v>
      </c>
      <c r="E4576" s="5" t="s">
        <v>303</v>
      </c>
      <c r="F4576" s="9">
        <v>57</v>
      </c>
      <c r="G4576" s="9">
        <v>611</v>
      </c>
      <c r="H4576" s="5" t="s">
        <v>20</v>
      </c>
      <c r="I4576" s="5" t="s">
        <v>10540</v>
      </c>
      <c r="J4576" s="12" t="str">
        <f>HYPERLINK("https://www.boe.es/gazeta/dias/1805/07/16/pdfs/GMD-1805-57.pdf#page=7","Abrir facsímil")</f>
        <v>Abrir facsímil</v>
      </c>
      <c r="K4576" s="15" t="s">
        <v>22</v>
      </c>
    </row>
    <row r="4577" spans="1:11" ht="42" customHeight="1">
      <c r="A4577" s="4" t="s">
        <v>10541</v>
      </c>
      <c r="B4577" s="5" t="s">
        <v>10542</v>
      </c>
      <c r="C4577" s="5" t="s">
        <v>85</v>
      </c>
      <c r="D4577" s="5" t="s">
        <v>86</v>
      </c>
      <c r="E4577" s="5" t="s">
        <v>91</v>
      </c>
      <c r="F4577" s="9">
        <v>28</v>
      </c>
      <c r="G4577" s="9">
        <v>299</v>
      </c>
      <c r="H4577" s="5" t="s">
        <v>20</v>
      </c>
      <c r="I4577" s="5" t="s">
        <v>10543</v>
      </c>
      <c r="J4577" s="12" t="str">
        <f>HYPERLINK("https://www.boe.es/gazeta/dias/1805/04/05/pdfs/GMD-1805-28.pdf#page=7","Abrir facsímil")</f>
        <v>Abrir facsímil</v>
      </c>
      <c r="K4577" s="15" t="s">
        <v>22</v>
      </c>
    </row>
    <row r="4578" spans="1:11" ht="42" customHeight="1">
      <c r="A4578" s="4" t="s">
        <v>10544</v>
      </c>
      <c r="B4578" s="5" t="s">
        <v>10545</v>
      </c>
      <c r="C4578" s="5" t="s">
        <v>35</v>
      </c>
      <c r="D4578" s="5" t="s">
        <v>36</v>
      </c>
      <c r="E4578" s="5" t="s">
        <v>95</v>
      </c>
      <c r="F4578" s="9">
        <v>13</v>
      </c>
      <c r="G4578" s="9">
        <v>139</v>
      </c>
      <c r="H4578" s="5" t="s">
        <v>20</v>
      </c>
      <c r="I4578" s="5" t="s">
        <v>10546</v>
      </c>
      <c r="J4578" s="12" t="str">
        <f>HYPERLINK("https://www.boe.es/gazeta/dias/1805/02/12/pdfs/GMD-1805-13.pdf#page=7","Abrir facsímil")</f>
        <v>Abrir facsímil</v>
      </c>
      <c r="K4578" s="15" t="s">
        <v>22</v>
      </c>
    </row>
    <row r="4579" spans="1:11" ht="42" customHeight="1">
      <c r="A4579" s="4" t="s">
        <v>10547</v>
      </c>
      <c r="B4579" s="5" t="s">
        <v>10548</v>
      </c>
      <c r="C4579" s="5" t="s">
        <v>29</v>
      </c>
      <c r="D4579" s="5" t="s">
        <v>30</v>
      </c>
      <c r="E4579" s="5" t="s">
        <v>87</v>
      </c>
      <c r="F4579" s="9">
        <v>14</v>
      </c>
      <c r="G4579" s="9">
        <v>148</v>
      </c>
      <c r="H4579" s="5" t="s">
        <v>20</v>
      </c>
      <c r="I4579" s="5" t="s">
        <v>10549</v>
      </c>
      <c r="J4579" s="12" t="str">
        <f>HYPERLINK("https://www.boe.es/gazeta/dias/1805/02/15/pdfs/GMD-1805-14.pdf#page=8","Abrir facsímil")</f>
        <v>Abrir facsímil</v>
      </c>
      <c r="K4579" s="15" t="s">
        <v>22</v>
      </c>
    </row>
    <row r="4580" spans="1:11" ht="42" customHeight="1">
      <c r="A4580" s="4" t="s">
        <v>10550</v>
      </c>
      <c r="B4580" s="5" t="s">
        <v>10551</v>
      </c>
      <c r="C4580" s="5" t="s">
        <v>17</v>
      </c>
      <c r="D4580" s="5" t="s">
        <v>18</v>
      </c>
      <c r="E4580" s="5" t="s">
        <v>200</v>
      </c>
      <c r="F4580" s="9">
        <v>91</v>
      </c>
      <c r="G4580" s="9">
        <v>976</v>
      </c>
      <c r="H4580" s="5" t="s">
        <v>20</v>
      </c>
      <c r="I4580" s="5" t="s">
        <v>10552</v>
      </c>
      <c r="J4580" s="12" t="str">
        <f>HYPERLINK("https://www.boe.es/gazeta/dias/1805/11/12/pdfs/GMD-1805-91.pdf#page=8","Abrir facsímil")</f>
        <v>Abrir facsímil</v>
      </c>
      <c r="K4580" s="15" t="s">
        <v>22</v>
      </c>
    </row>
    <row r="4581" spans="1:11" ht="42" customHeight="1">
      <c r="A4581" s="4" t="s">
        <v>10553</v>
      </c>
      <c r="B4581" s="5" t="s">
        <v>10554</v>
      </c>
      <c r="C4581" s="5" t="s">
        <v>35</v>
      </c>
      <c r="D4581" s="5" t="s">
        <v>36</v>
      </c>
      <c r="E4581" s="5" t="s">
        <v>399</v>
      </c>
      <c r="F4581" s="9">
        <v>39</v>
      </c>
      <c r="G4581" s="9">
        <v>422</v>
      </c>
      <c r="H4581" s="5" t="s">
        <v>20</v>
      </c>
      <c r="I4581" s="5" t="s">
        <v>10555</v>
      </c>
      <c r="J4581" s="12" t="str">
        <f>HYPERLINK("https://www.boe.es/gazeta/dias/1805/05/14/pdfs/GMD-1805-39.pdf#page=10","Abrir facsímil")</f>
        <v>Abrir facsímil</v>
      </c>
      <c r="K4581" s="15" t="s">
        <v>22</v>
      </c>
    </row>
    <row r="4582" spans="1:11" ht="42" customHeight="1">
      <c r="A4582" s="4" t="s">
        <v>10556</v>
      </c>
      <c r="B4582" s="5" t="s">
        <v>10557</v>
      </c>
      <c r="C4582" s="5" t="s">
        <v>35</v>
      </c>
      <c r="D4582" s="5" t="s">
        <v>36</v>
      </c>
      <c r="E4582" s="5" t="s">
        <v>200</v>
      </c>
      <c r="F4582" s="9">
        <v>91</v>
      </c>
      <c r="G4582" s="9">
        <v>977</v>
      </c>
      <c r="H4582" s="5" t="s">
        <v>20</v>
      </c>
      <c r="I4582" s="5" t="s">
        <v>10558</v>
      </c>
      <c r="J4582" s="12" t="str">
        <f>HYPERLINK("https://www.boe.es/gazeta/dias/1805/11/12/pdfs/GMD-1805-91.pdf#page=9","Abrir facsímil")</f>
        <v>Abrir facsímil</v>
      </c>
      <c r="K4582" s="15" t="s">
        <v>22</v>
      </c>
    </row>
    <row r="4583" spans="1:11" ht="42" customHeight="1">
      <c r="A4583" s="4" t="s">
        <v>10559</v>
      </c>
      <c r="B4583" s="5" t="s">
        <v>10560</v>
      </c>
      <c r="C4583" s="5" t="s">
        <v>35</v>
      </c>
      <c r="D4583" s="5" t="s">
        <v>36</v>
      </c>
      <c r="E4583" s="5" t="s">
        <v>281</v>
      </c>
      <c r="F4583" s="9">
        <v>15</v>
      </c>
      <c r="G4583" s="9">
        <v>158</v>
      </c>
      <c r="H4583" s="5" t="s">
        <v>20</v>
      </c>
      <c r="I4583" s="5" t="s">
        <v>10561</v>
      </c>
      <c r="J4583" s="12" t="str">
        <f>HYPERLINK("https://www.boe.es/gazeta/dias/1805/02/19/pdfs/GMD-1805-15.pdf#page=10","Abrir facsímil")</f>
        <v>Abrir facsímil</v>
      </c>
      <c r="K4583" s="15" t="s">
        <v>22</v>
      </c>
    </row>
    <row r="4584" spans="1:11" ht="42" customHeight="1">
      <c r="A4584" s="4" t="s">
        <v>10562</v>
      </c>
      <c r="B4584" s="5" t="s">
        <v>10563</v>
      </c>
      <c r="C4584" s="5" t="s">
        <v>85</v>
      </c>
      <c r="D4584" s="5" t="s">
        <v>86</v>
      </c>
      <c r="E4584" s="5" t="s">
        <v>71</v>
      </c>
      <c r="F4584" s="9">
        <v>33</v>
      </c>
      <c r="G4584" s="9">
        <v>351</v>
      </c>
      <c r="H4584" s="5" t="s">
        <v>20</v>
      </c>
      <c r="I4584" s="5" t="s">
        <v>10564</v>
      </c>
      <c r="J4584" s="12" t="str">
        <f>HYPERLINK("https://www.boe.es/gazeta/dias/1805/04/23/pdfs/GMD-1805-33.pdf#page=7","Abrir facsímil")</f>
        <v>Abrir facsímil</v>
      </c>
      <c r="K4584" s="15" t="s">
        <v>22</v>
      </c>
    </row>
    <row r="4585" spans="1:11" ht="42" customHeight="1">
      <c r="A4585" s="4" t="s">
        <v>10565</v>
      </c>
      <c r="B4585" s="5" t="s">
        <v>10566</v>
      </c>
      <c r="C4585" s="5" t="s">
        <v>35</v>
      </c>
      <c r="D4585" s="5" t="s">
        <v>36</v>
      </c>
      <c r="E4585" s="5" t="s">
        <v>789</v>
      </c>
      <c r="F4585" s="9">
        <v>104</v>
      </c>
      <c r="G4585" s="9">
        <v>1128</v>
      </c>
      <c r="H4585" s="5" t="s">
        <v>20</v>
      </c>
      <c r="I4585" s="5" t="s">
        <v>10567</v>
      </c>
      <c r="J4585" s="12" t="str">
        <f>HYPERLINK("https://www.boe.es/gazeta/dias/1805/12/27/pdfs/GMD-1805-104.pdf#page=12","Abrir facsímil")</f>
        <v>Abrir facsímil</v>
      </c>
      <c r="K4585" s="15" t="s">
        <v>22</v>
      </c>
    </row>
    <row r="4586" spans="1:11" ht="42" customHeight="1">
      <c r="A4586" s="4" t="s">
        <v>10568</v>
      </c>
      <c r="B4586" s="5" t="s">
        <v>10569</v>
      </c>
      <c r="C4586" s="5" t="s">
        <v>17</v>
      </c>
      <c r="D4586" s="5" t="s">
        <v>18</v>
      </c>
      <c r="E4586" s="5" t="s">
        <v>107</v>
      </c>
      <c r="F4586" s="9">
        <v>19</v>
      </c>
      <c r="G4586" s="9">
        <v>197</v>
      </c>
      <c r="H4586" s="5" t="s">
        <v>20</v>
      </c>
      <c r="I4586" s="5" t="s">
        <v>10570</v>
      </c>
      <c r="J4586" s="12" t="str">
        <f>HYPERLINK("https://www.boe.es/gazeta/dias/1805/03/05/pdfs/GMD-1805-19.pdf#page=9","Abrir facsímil")</f>
        <v>Abrir facsímil</v>
      </c>
      <c r="K4586" s="15" t="s">
        <v>22</v>
      </c>
    </row>
    <row r="4587" spans="1:11" ht="42" customHeight="1">
      <c r="A4587" s="4" t="s">
        <v>10571</v>
      </c>
      <c r="B4587" s="5" t="s">
        <v>10572</v>
      </c>
      <c r="C4587" s="5" t="s">
        <v>35</v>
      </c>
      <c r="D4587" s="5" t="s">
        <v>36</v>
      </c>
      <c r="E4587" s="5" t="s">
        <v>207</v>
      </c>
      <c r="F4587" s="9">
        <v>76</v>
      </c>
      <c r="G4587" s="9">
        <v>807</v>
      </c>
      <c r="H4587" s="5" t="s">
        <v>20</v>
      </c>
      <c r="I4587" s="5" t="s">
        <v>10573</v>
      </c>
      <c r="J4587" s="12" t="str">
        <f>HYPERLINK("https://www.boe.es/gazeta/dias/1805/09/20/pdfs/GMD-1805-76.pdf#page=7","Abrir facsímil")</f>
        <v>Abrir facsímil</v>
      </c>
      <c r="K4587" s="15" t="s">
        <v>22</v>
      </c>
    </row>
    <row r="4588" spans="1:11" ht="42" customHeight="1">
      <c r="A4588" s="4" t="s">
        <v>10574</v>
      </c>
      <c r="B4588" s="5" t="s">
        <v>10575</v>
      </c>
      <c r="C4588" s="5" t="s">
        <v>35</v>
      </c>
      <c r="D4588" s="5" t="s">
        <v>36</v>
      </c>
      <c r="E4588" s="5" t="s">
        <v>495</v>
      </c>
      <c r="F4588" s="9">
        <v>103</v>
      </c>
      <c r="G4588" s="9">
        <v>1115</v>
      </c>
      <c r="H4588" s="5" t="s">
        <v>20</v>
      </c>
      <c r="I4588" s="5" t="s">
        <v>10576</v>
      </c>
      <c r="J4588" s="12" t="str">
        <f>HYPERLINK("https://www.boe.es/gazeta/dias/1805/12/24/pdfs/GMD-1805-103.pdf#page=7","Abrir facsímil")</f>
        <v>Abrir facsímil</v>
      </c>
      <c r="K4588" s="15" t="s">
        <v>22</v>
      </c>
    </row>
    <row r="4589" spans="1:11" ht="42" customHeight="1">
      <c r="A4589" s="4" t="s">
        <v>10577</v>
      </c>
      <c r="B4589" s="5" t="s">
        <v>10578</v>
      </c>
      <c r="C4589" s="5" t="s">
        <v>35</v>
      </c>
      <c r="D4589" s="5" t="s">
        <v>36</v>
      </c>
      <c r="E4589" s="5" t="s">
        <v>200</v>
      </c>
      <c r="F4589" s="9">
        <v>91</v>
      </c>
      <c r="G4589" s="9">
        <v>977</v>
      </c>
      <c r="H4589" s="5" t="s">
        <v>20</v>
      </c>
      <c r="I4589" s="5" t="s">
        <v>10579</v>
      </c>
      <c r="J4589" s="12" t="str">
        <f>HYPERLINK("https://www.boe.es/gazeta/dias/1805/11/12/pdfs/GMD-1805-91.pdf#page=9","Abrir facsímil")</f>
        <v>Abrir facsímil</v>
      </c>
      <c r="K4589" s="15" t="s">
        <v>22</v>
      </c>
    </row>
    <row r="4590" spans="1:11" ht="42" customHeight="1">
      <c r="A4590" s="4" t="s">
        <v>10580</v>
      </c>
      <c r="B4590" s="5" t="s">
        <v>10581</v>
      </c>
      <c r="C4590" s="5" t="s">
        <v>85</v>
      </c>
      <c r="D4590" s="5" t="s">
        <v>86</v>
      </c>
      <c r="E4590" s="5" t="s">
        <v>217</v>
      </c>
      <c r="F4590" s="9">
        <v>96</v>
      </c>
      <c r="G4590" s="9">
        <v>1030</v>
      </c>
      <c r="H4590" s="5" t="s">
        <v>20</v>
      </c>
      <c r="I4590" s="5" t="s">
        <v>10582</v>
      </c>
      <c r="J4590" s="12" t="str">
        <f>HYPERLINK("https://www.boe.es/gazeta/dias/1805/11/29/pdfs/GMD-1805-96.pdf#page=6","Abrir facsímil")</f>
        <v>Abrir facsímil</v>
      </c>
      <c r="K4590" s="15" t="s">
        <v>22</v>
      </c>
    </row>
    <row r="4591" spans="1:11" ht="42" customHeight="1">
      <c r="A4591" s="4" t="s">
        <v>10583</v>
      </c>
      <c r="B4591" s="5" t="s">
        <v>10584</v>
      </c>
      <c r="C4591" s="5" t="s">
        <v>17</v>
      </c>
      <c r="D4591" s="5" t="s">
        <v>18</v>
      </c>
      <c r="E4591" s="5" t="s">
        <v>585</v>
      </c>
      <c r="F4591" s="9">
        <v>64</v>
      </c>
      <c r="G4591" s="9">
        <v>687</v>
      </c>
      <c r="H4591" s="5" t="s">
        <v>20</v>
      </c>
      <c r="I4591" s="5" t="s">
        <v>10585</v>
      </c>
      <c r="J4591" s="12" t="str">
        <f>HYPERLINK("https://www.boe.es/gazeta/dias/1805/08/09/pdfs/GMD-1805-64.pdf#page=11","Abrir facsímil")</f>
        <v>Abrir facsímil</v>
      </c>
      <c r="K4591" s="15" t="s">
        <v>22</v>
      </c>
    </row>
    <row r="4592" spans="1:11" ht="42" customHeight="1">
      <c r="A4592" s="4" t="s">
        <v>10586</v>
      </c>
      <c r="B4592" s="5" t="s">
        <v>10587</v>
      </c>
      <c r="C4592" s="5" t="s">
        <v>80</v>
      </c>
      <c r="D4592" s="5" t="s">
        <v>81</v>
      </c>
      <c r="E4592" s="5" t="s">
        <v>831</v>
      </c>
      <c r="F4592" s="9">
        <v>62</v>
      </c>
      <c r="G4592" s="9">
        <v>659</v>
      </c>
      <c r="H4592" s="5" t="s">
        <v>20</v>
      </c>
      <c r="I4592" s="5" t="s">
        <v>10588</v>
      </c>
      <c r="J4592" s="12" t="str">
        <f>HYPERLINK("https://www.boe.es/gazeta/dias/1805/08/02/pdfs/GMD-1805-62.pdf#page=3","Abrir facsímil")</f>
        <v>Abrir facsímil</v>
      </c>
      <c r="K4592" s="15" t="s">
        <v>22</v>
      </c>
    </row>
    <row r="4593" spans="1:11" ht="42" customHeight="1">
      <c r="A4593" s="4" t="s">
        <v>10586</v>
      </c>
      <c r="B4593" s="5" t="s">
        <v>10587</v>
      </c>
      <c r="C4593" s="5" t="s">
        <v>80</v>
      </c>
      <c r="D4593" s="5" t="s">
        <v>81</v>
      </c>
      <c r="E4593" s="5" t="s">
        <v>31</v>
      </c>
      <c r="F4593" s="9">
        <v>65</v>
      </c>
      <c r="G4593" s="9">
        <v>692</v>
      </c>
      <c r="H4593" s="5" t="s">
        <v>20</v>
      </c>
      <c r="I4593" s="5" t="s">
        <v>10589</v>
      </c>
      <c r="J4593" s="12" t="str">
        <f>HYPERLINK("https://www.boe.es/gazeta/dias/1805/08/13/pdfs/GMD-1805-65.pdf#page=4","Abrir facsímil")</f>
        <v>Abrir facsímil</v>
      </c>
      <c r="K4593" s="15" t="s">
        <v>22</v>
      </c>
    </row>
    <row r="4594" spans="1:11" ht="42" customHeight="1">
      <c r="A4594" s="4" t="s">
        <v>10586</v>
      </c>
      <c r="B4594" s="5" t="s">
        <v>10587</v>
      </c>
      <c r="C4594" s="5" t="s">
        <v>184</v>
      </c>
      <c r="D4594" s="5" t="s">
        <v>86</v>
      </c>
      <c r="E4594" s="5" t="s">
        <v>31</v>
      </c>
      <c r="F4594" s="9">
        <v>65</v>
      </c>
      <c r="G4594" s="9">
        <v>693</v>
      </c>
      <c r="H4594" s="5" t="s">
        <v>20</v>
      </c>
      <c r="I4594" s="5" t="s">
        <v>10590</v>
      </c>
      <c r="J4594" s="12" t="str">
        <f>HYPERLINK("https://www.boe.es/gazeta/dias/1805/08/13/pdfs/GMD-1805-65.pdf#page=5","Abrir facsímil")</f>
        <v>Abrir facsímil</v>
      </c>
      <c r="K4594" s="15" t="s">
        <v>22</v>
      </c>
    </row>
    <row r="4595" spans="1:11" ht="42" customHeight="1">
      <c r="A4595" s="4" t="s">
        <v>10591</v>
      </c>
      <c r="B4595" s="5" t="s">
        <v>10592</v>
      </c>
      <c r="C4595" s="5" t="s">
        <v>80</v>
      </c>
      <c r="D4595" s="5" t="s">
        <v>81</v>
      </c>
      <c r="E4595" s="5" t="s">
        <v>495</v>
      </c>
      <c r="F4595" s="9">
        <v>103</v>
      </c>
      <c r="G4595" s="9">
        <v>1112</v>
      </c>
      <c r="H4595" s="5" t="s">
        <v>20</v>
      </c>
      <c r="I4595" s="5" t="s">
        <v>10593</v>
      </c>
      <c r="J4595" s="12" t="str">
        <f>HYPERLINK("https://www.boe.es/gazeta/dias/1805/12/24/pdfs/GMD-1805-103.pdf#page=4","Abrir facsímil")</f>
        <v>Abrir facsímil</v>
      </c>
      <c r="K4595" s="15" t="s">
        <v>22</v>
      </c>
    </row>
    <row r="4596" spans="1:11" ht="42" customHeight="1">
      <c r="A4596" s="4" t="s">
        <v>10594</v>
      </c>
      <c r="B4596" s="5" t="s">
        <v>10595</v>
      </c>
      <c r="C4596" s="5" t="s">
        <v>80</v>
      </c>
      <c r="D4596" s="5" t="s">
        <v>81</v>
      </c>
      <c r="E4596" s="5" t="s">
        <v>495</v>
      </c>
      <c r="F4596" s="9">
        <v>103</v>
      </c>
      <c r="G4596" s="9">
        <v>1112</v>
      </c>
      <c r="H4596" s="5" t="s">
        <v>20</v>
      </c>
      <c r="I4596" s="5" t="s">
        <v>10596</v>
      </c>
      <c r="J4596" s="12" t="str">
        <f>HYPERLINK("https://www.boe.es/gazeta/dias/1805/12/24/pdfs/GMD-1805-103.pdf#page=4","Abrir facsímil")</f>
        <v>Abrir facsímil</v>
      </c>
      <c r="K4596" s="15" t="s">
        <v>22</v>
      </c>
    </row>
    <row r="4597" spans="1:11" ht="42" customHeight="1">
      <c r="A4597" s="4" t="s">
        <v>10597</v>
      </c>
      <c r="B4597" s="5" t="s">
        <v>10598</v>
      </c>
      <c r="C4597" s="5" t="s">
        <v>35</v>
      </c>
      <c r="D4597" s="5" t="s">
        <v>36</v>
      </c>
      <c r="E4597" s="5" t="s">
        <v>456</v>
      </c>
      <c r="F4597" s="9">
        <v>70</v>
      </c>
      <c r="G4597" s="9">
        <v>741</v>
      </c>
      <c r="H4597" s="5" t="s">
        <v>20</v>
      </c>
      <c r="I4597" s="5" t="s">
        <v>10599</v>
      </c>
      <c r="J4597" s="12" t="str">
        <f>HYPERLINK("https://www.boe.es/gazeta/dias/1805/08/30/pdfs/GMD-1805-70.pdf#page=1","Abrir facsímil")</f>
        <v>Abrir facsímil</v>
      </c>
      <c r="K4597" s="15" t="s">
        <v>22</v>
      </c>
    </row>
    <row r="4598" spans="1:11" ht="42" customHeight="1">
      <c r="A4598" s="4" t="s">
        <v>10600</v>
      </c>
      <c r="B4598" s="5" t="s">
        <v>10601</v>
      </c>
      <c r="C4598" s="5" t="s">
        <v>35</v>
      </c>
      <c r="D4598" s="5" t="s">
        <v>36</v>
      </c>
      <c r="E4598" s="5" t="s">
        <v>290</v>
      </c>
      <c r="F4598" s="9">
        <v>36</v>
      </c>
      <c r="G4598" s="9">
        <v>389</v>
      </c>
      <c r="H4598" s="5" t="s">
        <v>20</v>
      </c>
      <c r="I4598" s="5" t="s">
        <v>10602</v>
      </c>
      <c r="J4598" s="12" t="str">
        <f>HYPERLINK("https://www.boe.es/gazeta/dias/1805/05/03/pdfs/GMD-1805-36.pdf#page=9","Abrir facsímil")</f>
        <v>Abrir facsímil</v>
      </c>
      <c r="K4598" s="15" t="s">
        <v>22</v>
      </c>
    </row>
    <row r="4599" spans="1:11" ht="42" customHeight="1">
      <c r="A4599" s="4" t="s">
        <v>10603</v>
      </c>
      <c r="B4599" s="5" t="s">
        <v>10604</v>
      </c>
      <c r="C4599" s="5" t="s">
        <v>184</v>
      </c>
      <c r="D4599" s="5" t="s">
        <v>86</v>
      </c>
      <c r="E4599" s="5" t="s">
        <v>293</v>
      </c>
      <c r="F4599" s="9">
        <v>5</v>
      </c>
      <c r="G4599" s="9">
        <v>55</v>
      </c>
      <c r="H4599" s="5" t="s">
        <v>20</v>
      </c>
      <c r="I4599" s="5" t="s">
        <v>10605</v>
      </c>
      <c r="J4599" s="12" t="str">
        <f>HYPERLINK("https://www.boe.es/gazeta/dias/1805/01/15/pdfs/GMD-1805-5.pdf#page=11","Abrir facsímil")</f>
        <v>Abrir facsímil</v>
      </c>
      <c r="K4599" s="15" t="s">
        <v>22</v>
      </c>
    </row>
    <row r="4600" spans="1:11" ht="42" customHeight="1">
      <c r="A4600" s="4" t="s">
        <v>10606</v>
      </c>
      <c r="B4600" s="5" t="s">
        <v>10607</v>
      </c>
      <c r="C4600" s="5" t="s">
        <v>184</v>
      </c>
      <c r="D4600" s="5" t="s">
        <v>86</v>
      </c>
      <c r="E4600" s="5" t="s">
        <v>63</v>
      </c>
      <c r="F4600" s="9">
        <v>101</v>
      </c>
      <c r="G4600" s="9">
        <v>1094</v>
      </c>
      <c r="H4600" s="5" t="s">
        <v>20</v>
      </c>
      <c r="I4600" s="5" t="s">
        <v>10608</v>
      </c>
      <c r="J4600" s="12" t="str">
        <f>HYPERLINK("https://www.boe.es/gazeta/dias/1805/12/17/pdfs/GMD-1805-101.pdf#page=10","Abrir facsímil")</f>
        <v>Abrir facsímil</v>
      </c>
      <c r="K4600" s="15" t="s">
        <v>22</v>
      </c>
    </row>
    <row r="4601" spans="1:11" ht="42" customHeight="1">
      <c r="A4601" s="4" t="s">
        <v>10609</v>
      </c>
      <c r="B4601" s="5" t="s">
        <v>10610</v>
      </c>
      <c r="C4601" s="5" t="s">
        <v>184</v>
      </c>
      <c r="D4601" s="5" t="s">
        <v>86</v>
      </c>
      <c r="E4601" s="5" t="s">
        <v>276</v>
      </c>
      <c r="F4601" s="9">
        <v>51</v>
      </c>
      <c r="G4601" s="9">
        <v>552</v>
      </c>
      <c r="H4601" s="5" t="s">
        <v>20</v>
      </c>
      <c r="I4601" s="5" t="s">
        <v>10611</v>
      </c>
      <c r="J4601" s="12" t="str">
        <f>HYPERLINK("https://www.boe.es/gazeta/dias/1805/06/25/pdfs/GMD-1805-51.pdf#page=8","Abrir facsímil")</f>
        <v>Abrir facsímil</v>
      </c>
      <c r="K4601" s="15" t="s">
        <v>22</v>
      </c>
    </row>
    <row r="4602" spans="1:11" ht="42" customHeight="1">
      <c r="A4602" s="4" t="s">
        <v>10609</v>
      </c>
      <c r="B4602" s="5" t="s">
        <v>10610</v>
      </c>
      <c r="C4602" s="5" t="s">
        <v>184</v>
      </c>
      <c r="D4602" s="5" t="s">
        <v>86</v>
      </c>
      <c r="E4602" s="5" t="s">
        <v>226</v>
      </c>
      <c r="F4602" s="9">
        <v>73</v>
      </c>
      <c r="G4602" s="9">
        <v>775</v>
      </c>
      <c r="H4602" s="5" t="s">
        <v>20</v>
      </c>
      <c r="I4602" s="5" t="s">
        <v>10612</v>
      </c>
      <c r="J4602" s="12" t="str">
        <f>HYPERLINK("https://www.boe.es/gazeta/dias/1805/09/10/pdfs/GMD-1805-73.pdf#page=7","Abrir facsímil")</f>
        <v>Abrir facsímil</v>
      </c>
      <c r="K4602" s="15" t="s">
        <v>22</v>
      </c>
    </row>
    <row r="4603" spans="1:11" ht="42" customHeight="1">
      <c r="A4603" s="4" t="s">
        <v>10609</v>
      </c>
      <c r="B4603" s="5" t="s">
        <v>10610</v>
      </c>
      <c r="C4603" s="5" t="s">
        <v>184</v>
      </c>
      <c r="D4603" s="5" t="s">
        <v>86</v>
      </c>
      <c r="E4603" s="5" t="s">
        <v>181</v>
      </c>
      <c r="F4603" s="9">
        <v>90</v>
      </c>
      <c r="G4603" s="9">
        <v>966</v>
      </c>
      <c r="H4603" s="5" t="s">
        <v>20</v>
      </c>
      <c r="I4603" s="5" t="s">
        <v>10613</v>
      </c>
      <c r="J4603" s="12" t="str">
        <f>HYPERLINK("https://www.boe.es/gazeta/dias/1805/11/08/pdfs/GMD-1805-90.pdf#page=10","Abrir facsímil")</f>
        <v>Abrir facsímil</v>
      </c>
      <c r="K4603" s="15" t="s">
        <v>22</v>
      </c>
    </row>
    <row r="4604" spans="1:11" ht="42" customHeight="1">
      <c r="A4604" s="4" t="s">
        <v>10609</v>
      </c>
      <c r="B4604" s="5" t="s">
        <v>10610</v>
      </c>
      <c r="C4604" s="5" t="s">
        <v>184</v>
      </c>
      <c r="D4604" s="5" t="s">
        <v>86</v>
      </c>
      <c r="E4604" s="5" t="s">
        <v>552</v>
      </c>
      <c r="F4604" s="9">
        <v>94</v>
      </c>
      <c r="G4604" s="9">
        <v>1011</v>
      </c>
      <c r="H4604" s="5" t="s">
        <v>20</v>
      </c>
      <c r="I4604" s="5" t="s">
        <v>10614</v>
      </c>
      <c r="J4604" s="12" t="str">
        <f>HYPERLINK("https://www.boe.es/gazeta/dias/1805/11/22/pdfs/GMD-1805-94.pdf#page=11","Abrir facsímil")</f>
        <v>Abrir facsímil</v>
      </c>
      <c r="K4604" s="15" t="s">
        <v>22</v>
      </c>
    </row>
    <row r="4605" spans="1:11" ht="42" customHeight="1">
      <c r="A4605" s="4" t="s">
        <v>10609</v>
      </c>
      <c r="B4605" s="5" t="s">
        <v>10610</v>
      </c>
      <c r="C4605" s="5" t="s">
        <v>184</v>
      </c>
      <c r="D4605" s="5" t="s">
        <v>86</v>
      </c>
      <c r="E4605" s="5" t="s">
        <v>512</v>
      </c>
      <c r="F4605" s="9">
        <v>100</v>
      </c>
      <c r="G4605" s="9">
        <v>1082</v>
      </c>
      <c r="H4605" s="5" t="s">
        <v>20</v>
      </c>
      <c r="I4605" s="5" t="s">
        <v>10615</v>
      </c>
      <c r="J4605" s="12" t="str">
        <f>HYPERLINK("https://www.boe.es/gazeta/dias/1805/12/13/pdfs/GMD-1805-100.pdf#page=10","Abrir facsímil")</f>
        <v>Abrir facsímil</v>
      </c>
      <c r="K4605" s="15" t="s">
        <v>22</v>
      </c>
    </row>
    <row r="4606" spans="1:11" ht="42" customHeight="1">
      <c r="A4606" s="4" t="s">
        <v>10609</v>
      </c>
      <c r="B4606" s="5" t="s">
        <v>10610</v>
      </c>
      <c r="C4606" s="5" t="s">
        <v>35</v>
      </c>
      <c r="D4606" s="5" t="s">
        <v>36</v>
      </c>
      <c r="E4606" s="5" t="s">
        <v>495</v>
      </c>
      <c r="F4606" s="9">
        <v>103</v>
      </c>
      <c r="G4606" s="9">
        <v>1113</v>
      </c>
      <c r="H4606" s="5" t="s">
        <v>20</v>
      </c>
      <c r="I4606" s="5" t="s">
        <v>10616</v>
      </c>
      <c r="J4606" s="12" t="str">
        <f>HYPERLINK("https://www.boe.es/gazeta/dias/1805/12/24/pdfs/GMD-1805-103.pdf#page=5","Abrir facsímil")</f>
        <v>Abrir facsímil</v>
      </c>
      <c r="K4606" s="15" t="s">
        <v>22</v>
      </c>
    </row>
    <row r="4607" spans="1:11" ht="42" customHeight="1">
      <c r="A4607" s="4" t="s">
        <v>10617</v>
      </c>
      <c r="B4607" s="5" t="s">
        <v>10618</v>
      </c>
      <c r="C4607" s="5" t="s">
        <v>17</v>
      </c>
      <c r="D4607" s="5" t="s">
        <v>18</v>
      </c>
      <c r="E4607" s="5" t="s">
        <v>200</v>
      </c>
      <c r="F4607" s="9">
        <v>91</v>
      </c>
      <c r="G4607" s="9">
        <v>977</v>
      </c>
      <c r="H4607" s="5" t="s">
        <v>20</v>
      </c>
      <c r="I4607" s="5" t="s">
        <v>10619</v>
      </c>
      <c r="J4607" s="12" t="str">
        <f>HYPERLINK("https://www.boe.es/gazeta/dias/1805/11/12/pdfs/GMD-1805-91.pdf#page=9","Abrir facsímil")</f>
        <v>Abrir facsímil</v>
      </c>
      <c r="K4607" s="15" t="s">
        <v>22</v>
      </c>
    </row>
    <row r="4608" spans="1:11" ht="42" customHeight="1">
      <c r="A4608" s="4" t="s">
        <v>10620</v>
      </c>
      <c r="B4608" s="5" t="s">
        <v>10621</v>
      </c>
      <c r="C4608" s="5" t="s">
        <v>52</v>
      </c>
      <c r="D4608" s="5" t="s">
        <v>53</v>
      </c>
      <c r="E4608" s="5" t="s">
        <v>144</v>
      </c>
      <c r="F4608" s="9">
        <v>85</v>
      </c>
      <c r="G4608" s="9" t="s">
        <v>159</v>
      </c>
      <c r="H4608" s="5" t="s">
        <v>20</v>
      </c>
      <c r="I4608" s="5" t="s">
        <v>10622</v>
      </c>
      <c r="J4608" s="12" t="str">
        <f>HYPERLINK("https://www.boe.es/gazeta/dias/1805/10/22/pdfs/GMD-C-1805-85.pdf#page=3","Abrir facsímil")</f>
        <v>Abrir facsímil</v>
      </c>
      <c r="K4608" s="15" t="s">
        <v>22</v>
      </c>
    </row>
    <row r="4609" spans="1:11" ht="42" customHeight="1">
      <c r="A4609" s="4" t="s">
        <v>10623</v>
      </c>
      <c r="B4609" s="5" t="s">
        <v>10624</v>
      </c>
      <c r="C4609" s="5" t="s">
        <v>35</v>
      </c>
      <c r="D4609" s="5" t="s">
        <v>36</v>
      </c>
      <c r="E4609" s="5" t="s">
        <v>261</v>
      </c>
      <c r="F4609" s="9">
        <v>18</v>
      </c>
      <c r="G4609" s="9">
        <v>185</v>
      </c>
      <c r="H4609" s="5" t="s">
        <v>20</v>
      </c>
      <c r="I4609" s="5" t="s">
        <v>10625</v>
      </c>
      <c r="J4609" s="12" t="str">
        <f>HYPERLINK("https://www.boe.es/gazeta/dias/1805/03/01/pdfs/GMD-1805-18.pdf#page=5","Abrir facsímil")</f>
        <v>Abrir facsímil</v>
      </c>
      <c r="K4609" s="15" t="s">
        <v>22</v>
      </c>
    </row>
    <row r="4610" spans="1:11" ht="42" customHeight="1">
      <c r="A4610" s="4" t="s">
        <v>10623</v>
      </c>
      <c r="B4610" s="5" t="s">
        <v>10624</v>
      </c>
      <c r="C4610" s="5" t="s">
        <v>184</v>
      </c>
      <c r="D4610" s="5" t="s">
        <v>86</v>
      </c>
      <c r="E4610" s="5" t="s">
        <v>48</v>
      </c>
      <c r="F4610" s="9">
        <v>35</v>
      </c>
      <c r="G4610" s="9">
        <v>371</v>
      </c>
      <c r="H4610" s="5" t="s">
        <v>20</v>
      </c>
      <c r="I4610" s="5" t="s">
        <v>10626</v>
      </c>
      <c r="J4610" s="12" t="str">
        <f>HYPERLINK("https://www.boe.es/gazeta/dias/1805/04/30/pdfs/GMD-1805-35.pdf#page=3","Abrir facsímil")</f>
        <v>Abrir facsímil</v>
      </c>
      <c r="K4610" s="15" t="s">
        <v>22</v>
      </c>
    </row>
    <row r="4611" spans="1:11" ht="42" customHeight="1">
      <c r="A4611" s="4" t="s">
        <v>10627</v>
      </c>
      <c r="B4611" s="5" t="s">
        <v>10628</v>
      </c>
      <c r="C4611" s="5" t="s">
        <v>80</v>
      </c>
      <c r="D4611" s="5" t="s">
        <v>81</v>
      </c>
      <c r="E4611" s="5" t="s">
        <v>286</v>
      </c>
      <c r="F4611" s="9">
        <v>48</v>
      </c>
      <c r="G4611" s="9">
        <v>516</v>
      </c>
      <c r="H4611" s="5" t="s">
        <v>20</v>
      </c>
      <c r="I4611" s="5" t="s">
        <v>10629</v>
      </c>
      <c r="J4611" s="12" t="str">
        <f>HYPERLINK("https://www.boe.es/gazeta/dias/1805/06/14/pdfs/GMD-1805-48.pdf#page=4","Abrir facsímil")</f>
        <v>Abrir facsímil</v>
      </c>
      <c r="K4611" s="15" t="s">
        <v>22</v>
      </c>
    </row>
    <row r="4612" spans="1:11" ht="42" customHeight="1">
      <c r="A4612" s="4" t="s">
        <v>10630</v>
      </c>
      <c r="B4612" s="5" t="s">
        <v>10631</v>
      </c>
      <c r="C4612" s="5" t="s">
        <v>80</v>
      </c>
      <c r="D4612" s="5" t="s">
        <v>81</v>
      </c>
      <c r="E4612" s="5" t="s">
        <v>886</v>
      </c>
      <c r="F4612" s="9">
        <v>93</v>
      </c>
      <c r="G4612" s="9">
        <v>991</v>
      </c>
      <c r="H4612" s="5" t="s">
        <v>20</v>
      </c>
      <c r="I4612" s="5" t="s">
        <v>10632</v>
      </c>
      <c r="J4612" s="12" t="str">
        <f>HYPERLINK("https://www.boe.es/gazeta/dias/1805/11/19/pdfs/GMD-1805-93.pdf#page=3","Abrir facsímil")</f>
        <v>Abrir facsímil</v>
      </c>
      <c r="K4612" s="15" t="s">
        <v>22</v>
      </c>
    </row>
    <row r="4613" spans="1:11" ht="42" customHeight="1">
      <c r="A4613" s="4" t="s">
        <v>10633</v>
      </c>
      <c r="B4613" s="5" t="s">
        <v>10633</v>
      </c>
      <c r="C4613" s="5" t="s">
        <v>80</v>
      </c>
      <c r="D4613" s="5" t="s">
        <v>81</v>
      </c>
      <c r="E4613" s="5" t="s">
        <v>63</v>
      </c>
      <c r="F4613" s="9">
        <v>101</v>
      </c>
      <c r="G4613" s="9">
        <v>1088</v>
      </c>
      <c r="H4613" s="5" t="s">
        <v>20</v>
      </c>
      <c r="I4613" s="5" t="s">
        <v>10634</v>
      </c>
      <c r="J4613" s="12" t="str">
        <f>HYPERLINK("https://www.boe.es/gazeta/dias/1805/12/17/pdfs/GMD-1805-101.pdf#page=4","Abrir facsímil")</f>
        <v>Abrir facsímil</v>
      </c>
      <c r="K4613" s="15" t="s">
        <v>22</v>
      </c>
    </row>
    <row r="4614" spans="1:11" ht="42" customHeight="1">
      <c r="A4614" s="4" t="s">
        <v>10635</v>
      </c>
      <c r="B4614" s="5" t="s">
        <v>10636</v>
      </c>
      <c r="C4614" s="5" t="s">
        <v>80</v>
      </c>
      <c r="D4614" s="5" t="s">
        <v>81</v>
      </c>
      <c r="E4614" s="5" t="s">
        <v>114</v>
      </c>
      <c r="F4614" s="9">
        <v>17</v>
      </c>
      <c r="G4614" s="9">
        <v>170</v>
      </c>
      <c r="H4614" s="5" t="s">
        <v>20</v>
      </c>
      <c r="I4614" s="5" t="s">
        <v>10637</v>
      </c>
      <c r="J4614" s="12" t="str">
        <f>HYPERLINK("https://www.boe.es/gazeta/dias/1805/02/26/pdfs/GMD-1805-17.pdf#page=2","Abrir facsímil")</f>
        <v>Abrir facsímil</v>
      </c>
      <c r="K4614" s="15" t="s">
        <v>22</v>
      </c>
    </row>
    <row r="4615" spans="1:11" ht="42" customHeight="1">
      <c r="A4615" s="4" t="s">
        <v>10635</v>
      </c>
      <c r="B4615" s="5" t="s">
        <v>10636</v>
      </c>
      <c r="C4615" s="5" t="s">
        <v>35</v>
      </c>
      <c r="D4615" s="5" t="s">
        <v>36</v>
      </c>
      <c r="E4615" s="5" t="s">
        <v>261</v>
      </c>
      <c r="F4615" s="9">
        <v>18</v>
      </c>
      <c r="G4615" s="9">
        <v>185</v>
      </c>
      <c r="H4615" s="5" t="s">
        <v>20</v>
      </c>
      <c r="I4615" s="5" t="s">
        <v>10638</v>
      </c>
      <c r="J4615" s="12" t="str">
        <f>HYPERLINK("https://www.boe.es/gazeta/dias/1805/03/01/pdfs/GMD-1805-18.pdf#page=5","Abrir facsímil")</f>
        <v>Abrir facsímil</v>
      </c>
      <c r="K4615" s="15" t="s">
        <v>22</v>
      </c>
    </row>
    <row r="4616" spans="1:11" ht="42" customHeight="1">
      <c r="A4616" s="4" t="s">
        <v>10635</v>
      </c>
      <c r="B4616" s="5" t="s">
        <v>10636</v>
      </c>
      <c r="C4616" s="5" t="s">
        <v>17</v>
      </c>
      <c r="D4616" s="5" t="s">
        <v>18</v>
      </c>
      <c r="E4616" s="5" t="s">
        <v>120</v>
      </c>
      <c r="F4616" s="9">
        <v>24</v>
      </c>
      <c r="G4616" s="9">
        <v>250</v>
      </c>
      <c r="H4616" s="5" t="s">
        <v>20</v>
      </c>
      <c r="I4616" s="5" t="s">
        <v>10639</v>
      </c>
      <c r="J4616" s="12" t="str">
        <f>HYPERLINK("https://www.boe.es/gazeta/dias/1805/03/22/pdfs/GMD-1805-24.pdf#page=2","Abrir facsímil")</f>
        <v>Abrir facsímil</v>
      </c>
      <c r="K4616" s="15" t="s">
        <v>22</v>
      </c>
    </row>
    <row r="4617" spans="1:11" ht="42" customHeight="1">
      <c r="A4617" s="4" t="s">
        <v>10635</v>
      </c>
      <c r="B4617" s="5" t="s">
        <v>10636</v>
      </c>
      <c r="C4617" s="5" t="s">
        <v>17</v>
      </c>
      <c r="D4617" s="5" t="s">
        <v>18</v>
      </c>
      <c r="E4617" s="5" t="s">
        <v>120</v>
      </c>
      <c r="F4617" s="9">
        <v>24</v>
      </c>
      <c r="G4617" s="9">
        <v>251</v>
      </c>
      <c r="H4617" s="5" t="s">
        <v>20</v>
      </c>
      <c r="I4617" s="5" t="s">
        <v>10640</v>
      </c>
      <c r="J4617" s="12" t="str">
        <f>HYPERLINK("https://www.boe.es/gazeta/dias/1805/03/22/pdfs/GMD-1805-24.pdf#page=3","Abrir facsímil")</f>
        <v>Abrir facsímil</v>
      </c>
      <c r="K4617" s="15" t="s">
        <v>22</v>
      </c>
    </row>
    <row r="4618" spans="1:11" ht="42" customHeight="1">
      <c r="A4618" s="4" t="s">
        <v>10635</v>
      </c>
      <c r="B4618" s="5" t="s">
        <v>10636</v>
      </c>
      <c r="C4618" s="5" t="s">
        <v>17</v>
      </c>
      <c r="D4618" s="5" t="s">
        <v>18</v>
      </c>
      <c r="E4618" s="5" t="s">
        <v>44</v>
      </c>
      <c r="F4618" s="9">
        <v>29</v>
      </c>
      <c r="G4618" s="9">
        <v>313</v>
      </c>
      <c r="H4618" s="5" t="s">
        <v>20</v>
      </c>
      <c r="I4618" s="5" t="s">
        <v>10641</v>
      </c>
      <c r="J4618" s="12" t="str">
        <f>HYPERLINK("https://www.boe.es/gazeta/dias/1805/04/09/pdfs/GMD-1805-29.pdf#page=9","Abrir facsímil")</f>
        <v>Abrir facsímil</v>
      </c>
      <c r="K4618" s="15" t="s">
        <v>22</v>
      </c>
    </row>
    <row r="4619" spans="1:11" ht="42" customHeight="1">
      <c r="A4619" s="4" t="s">
        <v>10635</v>
      </c>
      <c r="B4619" s="5" t="s">
        <v>10636</v>
      </c>
      <c r="C4619" s="5" t="s">
        <v>80</v>
      </c>
      <c r="D4619" s="5" t="s">
        <v>81</v>
      </c>
      <c r="E4619" s="5" t="s">
        <v>122</v>
      </c>
      <c r="F4619" s="9">
        <v>38</v>
      </c>
      <c r="G4619" s="9">
        <v>408</v>
      </c>
      <c r="H4619" s="5" t="s">
        <v>20</v>
      </c>
      <c r="I4619" s="5" t="s">
        <v>10642</v>
      </c>
      <c r="J4619" s="12" t="str">
        <f>HYPERLINK("https://www.boe.es/gazeta/dias/1805/05/10/pdfs/GMD-1805-38.pdf#page=4","Abrir facsímil")</f>
        <v>Abrir facsímil</v>
      </c>
      <c r="K4619" s="15" t="s">
        <v>22</v>
      </c>
    </row>
    <row r="4620" spans="1:11" ht="42" customHeight="1">
      <c r="A4620" s="4" t="s">
        <v>10635</v>
      </c>
      <c r="B4620" s="5" t="s">
        <v>10636</v>
      </c>
      <c r="C4620" s="5" t="s">
        <v>80</v>
      </c>
      <c r="D4620" s="5" t="s">
        <v>81</v>
      </c>
      <c r="E4620" s="5" t="s">
        <v>512</v>
      </c>
      <c r="F4620" s="9">
        <v>100</v>
      </c>
      <c r="G4620" s="9">
        <v>1076</v>
      </c>
      <c r="H4620" s="5" t="s">
        <v>20</v>
      </c>
      <c r="I4620" s="5" t="s">
        <v>10643</v>
      </c>
      <c r="J4620" s="12" t="str">
        <f>HYPERLINK("https://www.boe.es/gazeta/dias/1805/12/13/pdfs/GMD-1805-100.pdf#page=4","Abrir facsímil")</f>
        <v>Abrir facsímil</v>
      </c>
      <c r="K4620" s="15" t="s">
        <v>22</v>
      </c>
    </row>
    <row r="4621" spans="1:11" ht="42" customHeight="1">
      <c r="A4621" s="4" t="s">
        <v>10635</v>
      </c>
      <c r="B4621" s="5" t="s">
        <v>10636</v>
      </c>
      <c r="C4621" s="5" t="s">
        <v>80</v>
      </c>
      <c r="D4621" s="5" t="s">
        <v>81</v>
      </c>
      <c r="E4621" s="5" t="s">
        <v>63</v>
      </c>
      <c r="F4621" s="9">
        <v>101</v>
      </c>
      <c r="G4621" s="9">
        <v>1088</v>
      </c>
      <c r="H4621" s="5" t="s">
        <v>20</v>
      </c>
      <c r="I4621" s="5" t="s">
        <v>10644</v>
      </c>
      <c r="J4621" s="12" t="str">
        <f>HYPERLINK("https://www.boe.es/gazeta/dias/1805/12/17/pdfs/GMD-1805-101.pdf#page=4","Abrir facsímil")</f>
        <v>Abrir facsímil</v>
      </c>
      <c r="K4621" s="15" t="s">
        <v>22</v>
      </c>
    </row>
    <row r="4622" spans="1:11" ht="42" customHeight="1">
      <c r="A4622" s="4" t="s">
        <v>10645</v>
      </c>
      <c r="B4622" s="5" t="s">
        <v>10645</v>
      </c>
      <c r="C4622" s="5" t="s">
        <v>80</v>
      </c>
      <c r="D4622" s="5" t="s">
        <v>81</v>
      </c>
      <c r="E4622" s="5" t="s">
        <v>426</v>
      </c>
      <c r="F4622" s="9">
        <v>75</v>
      </c>
      <c r="G4622" s="9">
        <v>792</v>
      </c>
      <c r="H4622" s="5" t="s">
        <v>20</v>
      </c>
      <c r="I4622" s="5" t="s">
        <v>10646</v>
      </c>
      <c r="J4622" s="12" t="str">
        <f>HYPERLINK("https://www.boe.es/gazeta/dias/1805/09/17/pdfs/GMD-1805-75.pdf#page=4","Abrir facsímil")</f>
        <v>Abrir facsímil</v>
      </c>
      <c r="K4622" s="15" t="s">
        <v>22</v>
      </c>
    </row>
    <row r="4623" spans="1:11" ht="42" customHeight="1">
      <c r="A4623" s="4" t="s">
        <v>10647</v>
      </c>
      <c r="B4623" s="5" t="s">
        <v>10647</v>
      </c>
      <c r="C4623" s="5" t="s">
        <v>35</v>
      </c>
      <c r="D4623" s="5" t="s">
        <v>36</v>
      </c>
      <c r="E4623" s="5" t="s">
        <v>19</v>
      </c>
      <c r="F4623" s="9">
        <v>86</v>
      </c>
      <c r="G4623" s="9">
        <v>910</v>
      </c>
      <c r="H4623" s="5" t="s">
        <v>20</v>
      </c>
      <c r="I4623" s="5" t="s">
        <v>10648</v>
      </c>
      <c r="J4623" s="12" t="str">
        <f>HYPERLINK("https://www.boe.es/gazeta/dias/1805/10/25/pdfs/GMD-1805-86.pdf#page=6","Abrir facsímil")</f>
        <v>Abrir facsímil</v>
      </c>
      <c r="K4623" s="15" t="s">
        <v>22</v>
      </c>
    </row>
    <row r="4624" spans="1:11" ht="42" customHeight="1">
      <c r="A4624" s="4" t="s">
        <v>10649</v>
      </c>
      <c r="B4624" s="5" t="s">
        <v>10650</v>
      </c>
      <c r="C4624" s="5" t="s">
        <v>35</v>
      </c>
      <c r="D4624" s="5" t="s">
        <v>36</v>
      </c>
      <c r="E4624" s="5" t="s">
        <v>290</v>
      </c>
      <c r="F4624" s="9">
        <v>36</v>
      </c>
      <c r="G4624" s="9">
        <v>389</v>
      </c>
      <c r="H4624" s="5" t="s">
        <v>20</v>
      </c>
      <c r="I4624" s="5" t="s">
        <v>10651</v>
      </c>
      <c r="J4624" s="12" t="str">
        <f>HYPERLINK("https://www.boe.es/gazeta/dias/1805/05/03/pdfs/GMD-1805-36.pdf#page=9","Abrir facsímil")</f>
        <v>Abrir facsímil</v>
      </c>
      <c r="K4624" s="15" t="s">
        <v>22</v>
      </c>
    </row>
    <row r="4625" spans="1:11" ht="42" customHeight="1">
      <c r="A4625" s="4" t="s">
        <v>10652</v>
      </c>
      <c r="B4625" s="5" t="s">
        <v>10652</v>
      </c>
      <c r="C4625" s="5" t="s">
        <v>17</v>
      </c>
      <c r="D4625" s="5" t="s">
        <v>18</v>
      </c>
      <c r="E4625" s="5" t="s">
        <v>71</v>
      </c>
      <c r="F4625" s="9">
        <v>33</v>
      </c>
      <c r="G4625" s="9">
        <v>349</v>
      </c>
      <c r="H4625" s="5" t="s">
        <v>20</v>
      </c>
      <c r="I4625" s="5" t="s">
        <v>10653</v>
      </c>
      <c r="J4625" s="12" t="str">
        <f>HYPERLINK("https://www.boe.es/gazeta/dias/1805/04/23/pdfs/GMD-1805-33.pdf#page=5","Abrir facsímil")</f>
        <v>Abrir facsímil</v>
      </c>
      <c r="K4625" s="15" t="s">
        <v>22</v>
      </c>
    </row>
    <row r="4626" spans="1:11" ht="42" customHeight="1">
      <c r="A4626" s="4" t="s">
        <v>10654</v>
      </c>
      <c r="B4626" s="5" t="s">
        <v>10654</v>
      </c>
      <c r="C4626" s="5" t="s">
        <v>29</v>
      </c>
      <c r="D4626" s="5" t="s">
        <v>30</v>
      </c>
      <c r="E4626" s="5" t="s">
        <v>393</v>
      </c>
      <c r="F4626" s="9">
        <v>44</v>
      </c>
      <c r="G4626" s="9">
        <v>467</v>
      </c>
      <c r="H4626" s="5" t="s">
        <v>20</v>
      </c>
      <c r="I4626" s="5" t="s">
        <v>10655</v>
      </c>
      <c r="J4626" s="12" t="str">
        <f>HYPERLINK("https://www.boe.es/gazeta/dias/1805/05/31/pdfs/GMD-1805-44.pdf#page=3","Abrir facsímil")</f>
        <v>Abrir facsímil</v>
      </c>
      <c r="K4626" s="15" t="s">
        <v>22</v>
      </c>
    </row>
    <row r="4627" spans="1:11" ht="42" customHeight="1">
      <c r="A4627" s="4" t="s">
        <v>10656</v>
      </c>
      <c r="B4627" s="5" t="s">
        <v>10657</v>
      </c>
      <c r="C4627" s="5" t="s">
        <v>35</v>
      </c>
      <c r="D4627" s="5" t="s">
        <v>36</v>
      </c>
      <c r="E4627" s="5" t="s">
        <v>456</v>
      </c>
      <c r="F4627" s="9">
        <v>70</v>
      </c>
      <c r="G4627" s="9">
        <v>747</v>
      </c>
      <c r="H4627" s="5" t="s">
        <v>20</v>
      </c>
      <c r="I4627" s="5" t="s">
        <v>10658</v>
      </c>
      <c r="J4627" s="12" t="str">
        <f>HYPERLINK("https://www.boe.es/gazeta/dias/1805/08/30/pdfs/GMD-1805-70.pdf#page=7","Abrir facsímil")</f>
        <v>Abrir facsímil</v>
      </c>
      <c r="K4627" s="15" t="s">
        <v>22</v>
      </c>
    </row>
    <row r="4628" spans="1:11" ht="42" customHeight="1">
      <c r="A4628" s="4" t="s">
        <v>10659</v>
      </c>
      <c r="B4628" s="5" t="s">
        <v>10660</v>
      </c>
      <c r="C4628" s="5" t="s">
        <v>35</v>
      </c>
      <c r="D4628" s="5" t="s">
        <v>36</v>
      </c>
      <c r="E4628" s="5" t="s">
        <v>399</v>
      </c>
      <c r="F4628" s="9">
        <v>39</v>
      </c>
      <c r="G4628" s="9">
        <v>422</v>
      </c>
      <c r="H4628" s="5" t="s">
        <v>20</v>
      </c>
      <c r="I4628" s="5" t="s">
        <v>10661</v>
      </c>
      <c r="J4628" s="12" t="str">
        <f>HYPERLINK("https://www.boe.es/gazeta/dias/1805/05/14/pdfs/GMD-1805-39.pdf#page=10","Abrir facsímil")</f>
        <v>Abrir facsímil</v>
      </c>
      <c r="K4628" s="15" t="s">
        <v>22</v>
      </c>
    </row>
    <row r="4629" spans="1:11" ht="42" customHeight="1">
      <c r="A4629" s="4" t="s">
        <v>10662</v>
      </c>
      <c r="B4629" s="5" t="s">
        <v>10663</v>
      </c>
      <c r="C4629" s="5" t="s">
        <v>35</v>
      </c>
      <c r="D4629" s="5" t="s">
        <v>36</v>
      </c>
      <c r="E4629" s="5" t="s">
        <v>63</v>
      </c>
      <c r="F4629" s="9">
        <v>101</v>
      </c>
      <c r="G4629" s="9">
        <v>1093</v>
      </c>
      <c r="H4629" s="5" t="s">
        <v>20</v>
      </c>
      <c r="I4629" s="5" t="s">
        <v>10664</v>
      </c>
      <c r="J4629" s="12" t="str">
        <f>HYPERLINK("https://www.boe.es/gazeta/dias/1805/12/17/pdfs/GMD-1805-101.pdf#page=9","Abrir facsímil")</f>
        <v>Abrir facsímil</v>
      </c>
      <c r="K4629" s="15" t="s">
        <v>22</v>
      </c>
    </row>
    <row r="4630" spans="1:11" ht="42" customHeight="1">
      <c r="A4630" s="4" t="s">
        <v>10665</v>
      </c>
      <c r="B4630" s="5" t="s">
        <v>10666</v>
      </c>
      <c r="C4630" s="5" t="s">
        <v>17</v>
      </c>
      <c r="D4630" s="5" t="s">
        <v>18</v>
      </c>
      <c r="E4630" s="5" t="s">
        <v>787</v>
      </c>
      <c r="F4630" s="9">
        <v>95</v>
      </c>
      <c r="G4630" s="9">
        <v>1024</v>
      </c>
      <c r="H4630" s="5" t="s">
        <v>20</v>
      </c>
      <c r="I4630" s="5" t="s">
        <v>10667</v>
      </c>
      <c r="J4630" s="12" t="str">
        <f>HYPERLINK("https://www.boe.es/gazeta/dias/1805/11/26/pdfs/GMD-1805-95.pdf#page=12","Abrir facsímil")</f>
        <v>Abrir facsímil</v>
      </c>
      <c r="K4630" s="15" t="s">
        <v>22</v>
      </c>
    </row>
    <row r="4631" spans="1:11" ht="42" customHeight="1">
      <c r="A4631" s="4" t="s">
        <v>10668</v>
      </c>
      <c r="B4631" s="5" t="s">
        <v>10669</v>
      </c>
      <c r="C4631" s="5" t="s">
        <v>184</v>
      </c>
      <c r="D4631" s="5" t="s">
        <v>86</v>
      </c>
      <c r="E4631" s="5" t="s">
        <v>645</v>
      </c>
      <c r="F4631" s="9">
        <v>55</v>
      </c>
      <c r="G4631" s="9">
        <v>592</v>
      </c>
      <c r="H4631" s="5" t="s">
        <v>20</v>
      </c>
      <c r="I4631" s="5" t="s">
        <v>10670</v>
      </c>
      <c r="J4631" s="12" t="str">
        <f>HYPERLINK("https://www.boe.es/gazeta/dias/1805/07/09/pdfs/GMD-C-1805-55.pdf#page=4","Abrir facsímil")</f>
        <v>Abrir facsímil</v>
      </c>
      <c r="K4631" s="15" t="s">
        <v>22</v>
      </c>
    </row>
    <row r="4632" spans="1:11" ht="42" customHeight="1">
      <c r="A4632" s="4" t="s">
        <v>10671</v>
      </c>
      <c r="B4632" s="5" t="s">
        <v>10672</v>
      </c>
      <c r="C4632" s="5" t="s">
        <v>29</v>
      </c>
      <c r="D4632" s="5" t="s">
        <v>30</v>
      </c>
      <c r="E4632" s="5" t="s">
        <v>91</v>
      </c>
      <c r="F4632" s="9">
        <v>28</v>
      </c>
      <c r="G4632" s="9">
        <v>304</v>
      </c>
      <c r="H4632" s="5" t="s">
        <v>20</v>
      </c>
      <c r="I4632" s="5" t="s">
        <v>10673</v>
      </c>
      <c r="J4632" s="12" t="str">
        <f>HYPERLINK("https://www.boe.es/gazeta/dias/1805/04/05/pdfs/GMD-1805-28.pdf#page=12","Abrir facsímil")</f>
        <v>Abrir facsímil</v>
      </c>
      <c r="K4632" s="15" t="s">
        <v>22</v>
      </c>
    </row>
    <row r="4633" spans="1:11" ht="42" customHeight="1">
      <c r="A4633" s="4" t="s">
        <v>10671</v>
      </c>
      <c r="B4633" s="5" t="s">
        <v>10672</v>
      </c>
      <c r="C4633" s="5" t="s">
        <v>17</v>
      </c>
      <c r="D4633" s="5" t="s">
        <v>18</v>
      </c>
      <c r="E4633" s="5" t="s">
        <v>103</v>
      </c>
      <c r="F4633" s="9">
        <v>30</v>
      </c>
      <c r="G4633" s="9">
        <v>324</v>
      </c>
      <c r="H4633" s="5" t="s">
        <v>20</v>
      </c>
      <c r="I4633" s="5" t="s">
        <v>10674</v>
      </c>
      <c r="J4633" s="12" t="str">
        <f>HYPERLINK("https://www.boe.es/gazeta/dias/1805/04/12/pdfs/GMD-1805-30.pdf#page=8","Abrir facsímil")</f>
        <v>Abrir facsímil</v>
      </c>
      <c r="K4633" s="15" t="s">
        <v>22</v>
      </c>
    </row>
    <row r="4634" spans="1:11" ht="42" customHeight="1">
      <c r="A4634" s="4" t="s">
        <v>10671</v>
      </c>
      <c r="B4634" s="5" t="s">
        <v>10672</v>
      </c>
      <c r="C4634" s="5" t="s">
        <v>29</v>
      </c>
      <c r="D4634" s="5" t="s">
        <v>30</v>
      </c>
      <c r="E4634" s="5" t="s">
        <v>711</v>
      </c>
      <c r="F4634" s="9">
        <v>63</v>
      </c>
      <c r="G4634" s="9">
        <v>676</v>
      </c>
      <c r="H4634" s="5" t="s">
        <v>20</v>
      </c>
      <c r="I4634" s="5" t="s">
        <v>10675</v>
      </c>
      <c r="J4634" s="12" t="str">
        <f>HYPERLINK("https://www.boe.es/gazeta/dias/1805/08/06/pdfs/GMD-1805-63.pdf#page=12","Abrir facsímil")</f>
        <v>Abrir facsímil</v>
      </c>
      <c r="K4634" s="15" t="s">
        <v>22</v>
      </c>
    </row>
    <row r="4635" spans="1:11" ht="42" customHeight="1">
      <c r="A4635" s="4" t="s">
        <v>10676</v>
      </c>
      <c r="B4635" s="5" t="s">
        <v>10677</v>
      </c>
      <c r="C4635" s="5" t="s">
        <v>35</v>
      </c>
      <c r="D4635" s="5" t="s">
        <v>36</v>
      </c>
      <c r="E4635" s="5" t="s">
        <v>645</v>
      </c>
      <c r="F4635" s="9">
        <v>55</v>
      </c>
      <c r="G4635" s="9">
        <v>592</v>
      </c>
      <c r="H4635" s="5" t="s">
        <v>20</v>
      </c>
      <c r="I4635" s="5" t="s">
        <v>10678</v>
      </c>
      <c r="J4635" s="12" t="str">
        <f>HYPERLINK("https://www.boe.es/gazeta/dias/1805/07/09/pdfs/GMD-C-1805-55.pdf#page=4","Abrir facsímil")</f>
        <v>Abrir facsímil</v>
      </c>
      <c r="K4635" s="15" t="s">
        <v>22</v>
      </c>
    </row>
    <row r="4636" spans="1:11" ht="42" customHeight="1">
      <c r="A4636" s="4" t="s">
        <v>10679</v>
      </c>
      <c r="B4636" s="5" t="s">
        <v>10680</v>
      </c>
      <c r="C4636" s="5" t="s">
        <v>35</v>
      </c>
      <c r="D4636" s="5" t="s">
        <v>36</v>
      </c>
      <c r="E4636" s="5" t="s">
        <v>585</v>
      </c>
      <c r="F4636" s="9">
        <v>64</v>
      </c>
      <c r="G4636" s="9">
        <v>686</v>
      </c>
      <c r="H4636" s="5" t="s">
        <v>20</v>
      </c>
      <c r="I4636" s="5" t="s">
        <v>10681</v>
      </c>
      <c r="J4636" s="12" t="str">
        <f>HYPERLINK("https://www.boe.es/gazeta/dias/1805/08/09/pdfs/GMD-1805-64.pdf#page=10","Abrir facsímil")</f>
        <v>Abrir facsímil</v>
      </c>
      <c r="K4636" s="15" t="s">
        <v>22</v>
      </c>
    </row>
    <row r="4637" spans="1:11" ht="42" customHeight="1">
      <c r="A4637" s="4" t="s">
        <v>10682</v>
      </c>
      <c r="B4637" s="5" t="s">
        <v>10683</v>
      </c>
      <c r="C4637" s="5" t="s">
        <v>35</v>
      </c>
      <c r="D4637" s="5" t="s">
        <v>36</v>
      </c>
      <c r="E4637" s="5" t="s">
        <v>163</v>
      </c>
      <c r="F4637" s="9">
        <v>77</v>
      </c>
      <c r="G4637" s="9">
        <v>817</v>
      </c>
      <c r="H4637" s="5" t="s">
        <v>20</v>
      </c>
      <c r="I4637" s="5" t="s">
        <v>10684</v>
      </c>
      <c r="J4637" s="12" t="str">
        <f>HYPERLINK("https://www.boe.es/gazeta/dias/1805/09/24/pdfs/GMD-1805-77.pdf#page=9","Abrir facsímil")</f>
        <v>Abrir facsímil</v>
      </c>
      <c r="K4637" s="15" t="s">
        <v>22</v>
      </c>
    </row>
    <row r="4638" spans="1:11" ht="42" customHeight="1">
      <c r="A4638" s="4" t="s">
        <v>10685</v>
      </c>
      <c r="B4638" s="5" t="s">
        <v>10686</v>
      </c>
      <c r="C4638" s="5" t="s">
        <v>17</v>
      </c>
      <c r="D4638" s="5" t="s">
        <v>18</v>
      </c>
      <c r="E4638" s="5" t="s">
        <v>303</v>
      </c>
      <c r="F4638" s="9">
        <v>57</v>
      </c>
      <c r="G4638" s="9">
        <v>610</v>
      </c>
      <c r="H4638" s="5" t="s">
        <v>20</v>
      </c>
      <c r="I4638" s="5" t="s">
        <v>10687</v>
      </c>
      <c r="J4638" s="12" t="str">
        <f>HYPERLINK("https://www.boe.es/gazeta/dias/1805/07/16/pdfs/GMD-1805-57.pdf#page=6","Abrir facsímil")</f>
        <v>Abrir facsímil</v>
      </c>
      <c r="K4638" s="15" t="s">
        <v>22</v>
      </c>
    </row>
    <row r="4639" spans="1:11" ht="42" customHeight="1">
      <c r="A4639" s="4" t="s">
        <v>10685</v>
      </c>
      <c r="B4639" s="5" t="s">
        <v>10686</v>
      </c>
      <c r="C4639" s="5" t="s">
        <v>17</v>
      </c>
      <c r="D4639" s="5" t="s">
        <v>18</v>
      </c>
      <c r="E4639" s="5" t="s">
        <v>1132</v>
      </c>
      <c r="F4639" s="9">
        <v>72</v>
      </c>
      <c r="G4639" s="9">
        <v>768</v>
      </c>
      <c r="H4639" s="5" t="s">
        <v>20</v>
      </c>
      <c r="I4639" s="5" t="s">
        <v>10688</v>
      </c>
      <c r="J4639" s="12" t="str">
        <f>HYPERLINK("https://www.boe.es/gazeta/dias/1805/09/06/pdfs/GMD-1805-72.pdf#page=8","Abrir facsímil")</f>
        <v>Abrir facsímil</v>
      </c>
      <c r="K4639" s="15" t="s">
        <v>22</v>
      </c>
    </row>
    <row r="4640" spans="1:11" ht="42" customHeight="1">
      <c r="A4640" s="4" t="s">
        <v>10685</v>
      </c>
      <c r="B4640" s="5" t="s">
        <v>10686</v>
      </c>
      <c r="C4640" s="5" t="s">
        <v>52</v>
      </c>
      <c r="D4640" s="5" t="s">
        <v>53</v>
      </c>
      <c r="E4640" s="5" t="s">
        <v>54</v>
      </c>
      <c r="F4640" s="9">
        <v>99</v>
      </c>
      <c r="G4640" s="9" t="s">
        <v>159</v>
      </c>
      <c r="H4640" s="5" t="s">
        <v>20</v>
      </c>
      <c r="I4640" s="5" t="s">
        <v>10689</v>
      </c>
      <c r="J4640" s="12" t="str">
        <f>HYPERLINK("https://www.boe.es/gazeta/dias/1805/12/10/pdfs/GMD-C-1805-99.pdf#page=3","Abrir facsímil")</f>
        <v>Abrir facsímil</v>
      </c>
      <c r="K4640" s="15" t="s">
        <v>22</v>
      </c>
    </row>
    <row r="4641" spans="1:11" ht="42" customHeight="1">
      <c r="A4641" s="4" t="s">
        <v>10690</v>
      </c>
      <c r="B4641" s="5" t="s">
        <v>10691</v>
      </c>
      <c r="C4641" s="5" t="s">
        <v>35</v>
      </c>
      <c r="D4641" s="5" t="s">
        <v>36</v>
      </c>
      <c r="E4641" s="5" t="s">
        <v>138</v>
      </c>
      <c r="F4641" s="9">
        <v>102</v>
      </c>
      <c r="G4641" s="9">
        <v>1104</v>
      </c>
      <c r="H4641" s="5" t="s">
        <v>20</v>
      </c>
      <c r="I4641" s="5" t="s">
        <v>10692</v>
      </c>
      <c r="J4641" s="12" t="str">
        <f>HYPERLINK("https://www.boe.es/gazeta/dias/1805/12/20/pdfs/GMD-1805-102.pdf#page=8","Abrir facsímil")</f>
        <v>Abrir facsímil</v>
      </c>
      <c r="K4641" s="15" t="s">
        <v>22</v>
      </c>
    </row>
    <row r="4642" spans="1:11" ht="42" customHeight="1">
      <c r="A4642" s="4" t="s">
        <v>10693</v>
      </c>
      <c r="B4642" s="5" t="s">
        <v>10694</v>
      </c>
      <c r="C4642" s="5" t="s">
        <v>35</v>
      </c>
      <c r="D4642" s="5" t="s">
        <v>36</v>
      </c>
      <c r="E4642" s="5" t="s">
        <v>399</v>
      </c>
      <c r="F4642" s="9">
        <v>39</v>
      </c>
      <c r="G4642" s="9">
        <v>422</v>
      </c>
      <c r="H4642" s="5" t="s">
        <v>20</v>
      </c>
      <c r="I4642" s="5" t="s">
        <v>10695</v>
      </c>
      <c r="J4642" s="12" t="str">
        <f>HYPERLINK("https://www.boe.es/gazeta/dias/1805/05/14/pdfs/GMD-1805-39.pdf#page=10","Abrir facsímil")</f>
        <v>Abrir facsímil</v>
      </c>
      <c r="K4642" s="15" t="s">
        <v>22</v>
      </c>
    </row>
    <row r="4643" spans="1:11" ht="42" customHeight="1">
      <c r="A4643" s="4" t="s">
        <v>10696</v>
      </c>
      <c r="B4643" s="5" t="s">
        <v>10697</v>
      </c>
      <c r="C4643" s="5" t="s">
        <v>80</v>
      </c>
      <c r="D4643" s="5" t="s">
        <v>81</v>
      </c>
      <c r="E4643" s="5" t="s">
        <v>669</v>
      </c>
      <c r="F4643" s="9">
        <v>84</v>
      </c>
      <c r="G4643" s="9">
        <v>889</v>
      </c>
      <c r="H4643" s="5" t="s">
        <v>20</v>
      </c>
      <c r="I4643" s="5" t="s">
        <v>10698</v>
      </c>
      <c r="J4643" s="12" t="str">
        <f>HYPERLINK("https://www.boe.es/gazeta/dias/1805/10/18/pdfs/GMD-1805-84.pdf#page=5","Abrir facsímil")</f>
        <v>Abrir facsímil</v>
      </c>
      <c r="K4643" s="15" t="s">
        <v>22</v>
      </c>
    </row>
    <row r="4644" spans="1:11" ht="42" customHeight="1">
      <c r="A4644" s="4" t="s">
        <v>10696</v>
      </c>
      <c r="B4644" s="5" t="s">
        <v>10697</v>
      </c>
      <c r="C4644" s="5" t="s">
        <v>17</v>
      </c>
      <c r="D4644" s="5" t="s">
        <v>18</v>
      </c>
      <c r="E4644" s="5" t="s">
        <v>817</v>
      </c>
      <c r="F4644" s="9">
        <v>92</v>
      </c>
      <c r="G4644" s="9">
        <v>987</v>
      </c>
      <c r="H4644" s="5" t="s">
        <v>20</v>
      </c>
      <c r="I4644" s="5" t="s">
        <v>10699</v>
      </c>
      <c r="J4644" s="12" t="str">
        <f>HYPERLINK("https://www.boe.es/gazeta/dias/1805/11/15/pdfs/GMD-1805-92.pdf#page=7","Abrir facsímil")</f>
        <v>Abrir facsímil</v>
      </c>
      <c r="K4644" s="15" t="s">
        <v>22</v>
      </c>
    </row>
    <row r="4645" spans="1:11" ht="42" customHeight="1">
      <c r="A4645" s="4" t="s">
        <v>10696</v>
      </c>
      <c r="B4645" s="5" t="s">
        <v>10697</v>
      </c>
      <c r="C4645" s="5" t="s">
        <v>184</v>
      </c>
      <c r="D4645" s="5" t="s">
        <v>86</v>
      </c>
      <c r="E4645" s="5" t="s">
        <v>217</v>
      </c>
      <c r="F4645" s="9">
        <v>96</v>
      </c>
      <c r="G4645" s="9">
        <v>1027</v>
      </c>
      <c r="H4645" s="5" t="s">
        <v>20</v>
      </c>
      <c r="I4645" s="5" t="s">
        <v>10700</v>
      </c>
      <c r="J4645" s="12" t="str">
        <f>HYPERLINK("https://www.boe.es/gazeta/dias/1805/11/29/pdfs/GMD-1805-96.pdf#page=3","Abrir facsímil")</f>
        <v>Abrir facsímil</v>
      </c>
      <c r="K4645" s="15" t="s">
        <v>22</v>
      </c>
    </row>
    <row r="4646" spans="1:11" ht="42" customHeight="1">
      <c r="A4646" s="4" t="s">
        <v>10701</v>
      </c>
      <c r="B4646" s="5" t="s">
        <v>10702</v>
      </c>
      <c r="C4646" s="5" t="s">
        <v>80</v>
      </c>
      <c r="D4646" s="5" t="s">
        <v>81</v>
      </c>
      <c r="E4646" s="5" t="s">
        <v>67</v>
      </c>
      <c r="F4646" s="9">
        <v>98</v>
      </c>
      <c r="G4646" s="9">
        <v>1055</v>
      </c>
      <c r="H4646" s="5" t="s">
        <v>20</v>
      </c>
      <c r="I4646" s="5" t="s">
        <v>10703</v>
      </c>
      <c r="J4646" s="12" t="str">
        <f>HYPERLINK("https://www.boe.es/gazeta/dias/1805/12/06/pdfs/GMD-1805-98.pdf#page=7","Abrir facsímil")</f>
        <v>Abrir facsímil</v>
      </c>
      <c r="K4646" s="15" t="s">
        <v>22</v>
      </c>
    </row>
    <row r="4647" spans="1:11" ht="42" customHeight="1">
      <c r="A4647" s="4" t="s">
        <v>10704</v>
      </c>
      <c r="B4647" s="5" t="s">
        <v>10705</v>
      </c>
      <c r="C4647" s="5" t="s">
        <v>80</v>
      </c>
      <c r="D4647" s="5" t="s">
        <v>81</v>
      </c>
      <c r="E4647" s="5" t="s">
        <v>387</v>
      </c>
      <c r="F4647" s="9">
        <v>4</v>
      </c>
      <c r="G4647" s="9">
        <v>40</v>
      </c>
      <c r="H4647" s="5" t="s">
        <v>20</v>
      </c>
      <c r="I4647" s="5" t="s">
        <v>10706</v>
      </c>
      <c r="J4647" s="12" t="str">
        <f>HYPERLINK("https://www.boe.es/gazeta/dias/1805/01/11/pdfs/GMD-1805-4.pdf#page=8","Abrir facsímil")</f>
        <v>Abrir facsímil</v>
      </c>
      <c r="K4647" s="15" t="s">
        <v>22</v>
      </c>
    </row>
    <row r="4648" spans="1:11" ht="42" customHeight="1">
      <c r="A4648" s="4" t="s">
        <v>10704</v>
      </c>
      <c r="B4648" s="5" t="s">
        <v>10705</v>
      </c>
      <c r="C4648" s="5" t="s">
        <v>35</v>
      </c>
      <c r="D4648" s="5" t="s">
        <v>36</v>
      </c>
      <c r="E4648" s="5" t="s">
        <v>114</v>
      </c>
      <c r="F4648" s="9">
        <v>17</v>
      </c>
      <c r="G4648" s="9">
        <v>175</v>
      </c>
      <c r="H4648" s="5" t="s">
        <v>20</v>
      </c>
      <c r="I4648" s="5" t="s">
        <v>10707</v>
      </c>
      <c r="J4648" s="12" t="str">
        <f>HYPERLINK("https://www.boe.es/gazeta/dias/1805/02/26/pdfs/GMD-1805-17.pdf#page=7","Abrir facsímil")</f>
        <v>Abrir facsímil</v>
      </c>
      <c r="K4648" s="15" t="s">
        <v>22</v>
      </c>
    </row>
    <row r="4649" spans="1:11" ht="42" customHeight="1">
      <c r="A4649" s="4" t="s">
        <v>10704</v>
      </c>
      <c r="B4649" s="5" t="s">
        <v>10705</v>
      </c>
      <c r="C4649" s="5" t="s">
        <v>17</v>
      </c>
      <c r="D4649" s="5" t="s">
        <v>18</v>
      </c>
      <c r="E4649" s="5" t="s">
        <v>296</v>
      </c>
      <c r="F4649" s="9">
        <v>26</v>
      </c>
      <c r="G4649" s="9">
        <v>275</v>
      </c>
      <c r="H4649" s="5" t="s">
        <v>20</v>
      </c>
      <c r="I4649" s="5" t="s">
        <v>10708</v>
      </c>
      <c r="J4649" s="12" t="str">
        <f>HYPERLINK("https://www.boe.es/gazeta/dias/1805/03/29/pdfs/GMD-1805-26.pdf#page=7","Abrir facsímil")</f>
        <v>Abrir facsímil</v>
      </c>
      <c r="K4649" s="15" t="s">
        <v>22</v>
      </c>
    </row>
    <row r="4650" spans="1:11" ht="42" customHeight="1">
      <c r="A4650" s="4" t="s">
        <v>10709</v>
      </c>
      <c r="B4650" s="5" t="s">
        <v>10710</v>
      </c>
      <c r="C4650" s="5" t="s">
        <v>17</v>
      </c>
      <c r="D4650" s="5" t="s">
        <v>18</v>
      </c>
      <c r="E4650" s="5" t="s">
        <v>296</v>
      </c>
      <c r="F4650" s="9">
        <v>26</v>
      </c>
      <c r="G4650" s="9">
        <v>275</v>
      </c>
      <c r="H4650" s="5" t="s">
        <v>20</v>
      </c>
      <c r="I4650" s="5" t="s">
        <v>10711</v>
      </c>
      <c r="J4650" s="12" t="str">
        <f>HYPERLINK("https://www.boe.es/gazeta/dias/1805/03/29/pdfs/GMD-1805-26.pdf#page=7","Abrir facsímil")</f>
        <v>Abrir facsímil</v>
      </c>
      <c r="K4650" s="15" t="s">
        <v>22</v>
      </c>
    </row>
    <row r="4651" spans="1:11" ht="42" customHeight="1">
      <c r="A4651" s="4" t="s">
        <v>10709</v>
      </c>
      <c r="B4651" s="5" t="s">
        <v>10710</v>
      </c>
      <c r="C4651" s="5" t="s">
        <v>29</v>
      </c>
      <c r="D4651" s="5" t="s">
        <v>30</v>
      </c>
      <c r="E4651" s="5" t="s">
        <v>399</v>
      </c>
      <c r="F4651" s="9">
        <v>39</v>
      </c>
      <c r="G4651" s="9">
        <v>413</v>
      </c>
      <c r="H4651" s="5" t="s">
        <v>20</v>
      </c>
      <c r="I4651" s="5" t="s">
        <v>10712</v>
      </c>
      <c r="J4651" s="12" t="str">
        <f>HYPERLINK("https://www.boe.es/gazeta/dias/1805/05/14/pdfs/GMD-1805-39.pdf#page=1","Abrir facsímil")</f>
        <v>Abrir facsímil</v>
      </c>
      <c r="K4651" s="15" t="s">
        <v>22</v>
      </c>
    </row>
    <row r="4652" spans="1:11" ht="42" customHeight="1">
      <c r="A4652" s="4" t="s">
        <v>10709</v>
      </c>
      <c r="B4652" s="5" t="s">
        <v>10710</v>
      </c>
      <c r="C4652" s="5" t="s">
        <v>35</v>
      </c>
      <c r="D4652" s="5" t="s">
        <v>36</v>
      </c>
      <c r="E4652" s="5" t="s">
        <v>286</v>
      </c>
      <c r="F4652" s="9">
        <v>48</v>
      </c>
      <c r="G4652" s="9">
        <v>520</v>
      </c>
      <c r="H4652" s="5" t="s">
        <v>20</v>
      </c>
      <c r="I4652" s="5" t="s">
        <v>10713</v>
      </c>
      <c r="J4652" s="12" t="str">
        <f>HYPERLINK("https://www.boe.es/gazeta/dias/1805/06/14/pdfs/GMD-1805-48.pdf#page=8","Abrir facsímil")</f>
        <v>Abrir facsímil</v>
      </c>
      <c r="K4652" s="15" t="s">
        <v>22</v>
      </c>
    </row>
    <row r="4653" spans="1:11" ht="42" customHeight="1">
      <c r="A4653" s="4" t="s">
        <v>10709</v>
      </c>
      <c r="B4653" s="5" t="s">
        <v>10710</v>
      </c>
      <c r="C4653" s="5" t="s">
        <v>80</v>
      </c>
      <c r="D4653" s="5" t="s">
        <v>81</v>
      </c>
      <c r="E4653" s="5" t="s">
        <v>422</v>
      </c>
      <c r="F4653" s="9">
        <v>74</v>
      </c>
      <c r="G4653" s="9">
        <v>784</v>
      </c>
      <c r="H4653" s="5" t="s">
        <v>20</v>
      </c>
      <c r="I4653" s="5" t="s">
        <v>10714</v>
      </c>
      <c r="J4653" s="12" t="str">
        <f>HYPERLINK("https://www.boe.es/gazeta/dias/1805/09/13/pdfs/GMD-1805-74.pdf#page=8","Abrir facsímil")</f>
        <v>Abrir facsímil</v>
      </c>
      <c r="K4653" s="15" t="s">
        <v>22</v>
      </c>
    </row>
    <row r="4654" spans="1:11" ht="42" customHeight="1">
      <c r="A4654" s="4" t="s">
        <v>10709</v>
      </c>
      <c r="B4654" s="5" t="s">
        <v>10710</v>
      </c>
      <c r="C4654" s="5" t="s">
        <v>80</v>
      </c>
      <c r="D4654" s="5" t="s">
        <v>81</v>
      </c>
      <c r="E4654" s="5" t="s">
        <v>19</v>
      </c>
      <c r="F4654" s="9">
        <v>86</v>
      </c>
      <c r="G4654" s="9">
        <v>911</v>
      </c>
      <c r="H4654" s="5" t="s">
        <v>20</v>
      </c>
      <c r="I4654" s="5" t="s">
        <v>10715</v>
      </c>
      <c r="J4654" s="12" t="str">
        <f>HYPERLINK("https://www.boe.es/gazeta/dias/1805/10/25/pdfs/GMD-1805-86.pdf#page=7","Abrir facsímil")</f>
        <v>Abrir facsímil</v>
      </c>
      <c r="K4654" s="15" t="s">
        <v>22</v>
      </c>
    </row>
    <row r="4655" spans="1:11" ht="42" customHeight="1">
      <c r="A4655" s="4" t="s">
        <v>10709</v>
      </c>
      <c r="B4655" s="5" t="s">
        <v>10710</v>
      </c>
      <c r="C4655" s="5" t="s">
        <v>80</v>
      </c>
      <c r="D4655" s="5" t="s">
        <v>81</v>
      </c>
      <c r="E4655" s="5" t="s">
        <v>215</v>
      </c>
      <c r="F4655" s="9">
        <v>87</v>
      </c>
      <c r="G4655" s="9">
        <v>923</v>
      </c>
      <c r="H4655" s="5" t="s">
        <v>20</v>
      </c>
      <c r="I4655" s="5" t="s">
        <v>10716</v>
      </c>
      <c r="J4655" s="12" t="str">
        <f>HYPERLINK("https://www.boe.es/gazeta/dias/1805/10/29/pdfs/GMD-1805-87.pdf#page=7","Abrir facsímil")</f>
        <v>Abrir facsímil</v>
      </c>
      <c r="K4655" s="15" t="s">
        <v>22</v>
      </c>
    </row>
    <row r="4656" spans="1:11" ht="42" customHeight="1">
      <c r="A4656" s="4" t="s">
        <v>10709</v>
      </c>
      <c r="B4656" s="5" t="s">
        <v>10710</v>
      </c>
      <c r="C4656" s="5" t="s">
        <v>80</v>
      </c>
      <c r="D4656" s="5" t="s">
        <v>81</v>
      </c>
      <c r="E4656" s="5" t="s">
        <v>215</v>
      </c>
      <c r="F4656" s="9">
        <v>87</v>
      </c>
      <c r="G4656" s="9">
        <v>924</v>
      </c>
      <c r="H4656" s="5" t="s">
        <v>20</v>
      </c>
      <c r="I4656" s="5" t="s">
        <v>10717</v>
      </c>
      <c r="J4656" s="12" t="str">
        <f>HYPERLINK("https://www.boe.es/gazeta/dias/1805/10/29/pdfs/GMD-1805-87.pdf#page=8","Abrir facsímil")</f>
        <v>Abrir facsímil</v>
      </c>
      <c r="K4656" s="15" t="s">
        <v>22</v>
      </c>
    </row>
    <row r="4657" spans="1:11" ht="42" customHeight="1">
      <c r="A4657" s="4" t="s">
        <v>10709</v>
      </c>
      <c r="B4657" s="5" t="s">
        <v>10710</v>
      </c>
      <c r="C4657" s="5" t="s">
        <v>80</v>
      </c>
      <c r="D4657" s="5" t="s">
        <v>81</v>
      </c>
      <c r="E4657" s="5" t="s">
        <v>215</v>
      </c>
      <c r="F4657" s="9">
        <v>87</v>
      </c>
      <c r="G4657" s="9">
        <v>925</v>
      </c>
      <c r="H4657" s="5" t="s">
        <v>20</v>
      </c>
      <c r="I4657" s="5" t="s">
        <v>10718</v>
      </c>
      <c r="J4657" s="12" t="str">
        <f>HYPERLINK("https://www.boe.es/gazeta/dias/1805/10/29/pdfs/GMD-1805-87.pdf#page=9","Abrir facsímil")</f>
        <v>Abrir facsímil</v>
      </c>
      <c r="K4657" s="15" t="s">
        <v>22</v>
      </c>
    </row>
    <row r="4658" spans="1:11" ht="42" customHeight="1">
      <c r="A4658" s="4" t="s">
        <v>10709</v>
      </c>
      <c r="B4658" s="5" t="s">
        <v>10710</v>
      </c>
      <c r="C4658" s="5" t="s">
        <v>80</v>
      </c>
      <c r="D4658" s="5" t="s">
        <v>81</v>
      </c>
      <c r="E4658" s="5" t="s">
        <v>215</v>
      </c>
      <c r="F4658" s="9">
        <v>87</v>
      </c>
      <c r="G4658" s="9">
        <v>926</v>
      </c>
      <c r="H4658" s="5" t="s">
        <v>20</v>
      </c>
      <c r="I4658" s="5" t="s">
        <v>10719</v>
      </c>
      <c r="J4658" s="12" t="str">
        <f>HYPERLINK("https://www.boe.es/gazeta/dias/1805/10/29/pdfs/GMD-1805-87.pdf#page=10","Abrir facsímil")</f>
        <v>Abrir facsímil</v>
      </c>
      <c r="K4658" s="15" t="s">
        <v>22</v>
      </c>
    </row>
    <row r="4659" spans="1:11" ht="42" customHeight="1">
      <c r="A4659" s="4" t="s">
        <v>10709</v>
      </c>
      <c r="B4659" s="5" t="s">
        <v>10710</v>
      </c>
      <c r="C4659" s="5" t="s">
        <v>184</v>
      </c>
      <c r="D4659" s="5" t="s">
        <v>86</v>
      </c>
      <c r="E4659" s="5" t="s">
        <v>215</v>
      </c>
      <c r="F4659" s="9">
        <v>87</v>
      </c>
      <c r="G4659" s="9">
        <v>927</v>
      </c>
      <c r="H4659" s="5" t="s">
        <v>20</v>
      </c>
      <c r="I4659" s="5" t="s">
        <v>10720</v>
      </c>
      <c r="J4659" s="12" t="str">
        <f>HYPERLINK("https://www.boe.es/gazeta/dias/1805/10/29/pdfs/GMD-1805-87.pdf#page=11","Abrir facsímil")</f>
        <v>Abrir facsímil</v>
      </c>
      <c r="K4659" s="15" t="s">
        <v>22</v>
      </c>
    </row>
    <row r="4660" spans="1:11" ht="42" customHeight="1">
      <c r="A4660" s="4" t="s">
        <v>10709</v>
      </c>
      <c r="B4660" s="5" t="s">
        <v>10710</v>
      </c>
      <c r="C4660" s="5" t="s">
        <v>80</v>
      </c>
      <c r="D4660" s="5" t="s">
        <v>81</v>
      </c>
      <c r="E4660" s="5" t="s">
        <v>864</v>
      </c>
      <c r="F4660" s="9">
        <v>88</v>
      </c>
      <c r="G4660" s="9">
        <v>933</v>
      </c>
      <c r="H4660" s="5" t="s">
        <v>20</v>
      </c>
      <c r="I4660" s="5" t="s">
        <v>10721</v>
      </c>
      <c r="J4660" s="12" t="str">
        <f>HYPERLINK("https://www.boe.es/gazeta/dias/1805/11/01/pdfs/GMD-1805-88.pdf#page=5","Abrir facsímil")</f>
        <v>Abrir facsímil</v>
      </c>
      <c r="K4660" s="15" t="s">
        <v>22</v>
      </c>
    </row>
    <row r="4661" spans="1:11" ht="42" customHeight="1">
      <c r="A4661" s="4" t="s">
        <v>10709</v>
      </c>
      <c r="B4661" s="5" t="s">
        <v>10710</v>
      </c>
      <c r="C4661" s="5" t="s">
        <v>80</v>
      </c>
      <c r="D4661" s="5" t="s">
        <v>81</v>
      </c>
      <c r="E4661" s="5" t="s">
        <v>864</v>
      </c>
      <c r="F4661" s="9">
        <v>88</v>
      </c>
      <c r="G4661" s="9">
        <v>934</v>
      </c>
      <c r="H4661" s="5" t="s">
        <v>20</v>
      </c>
      <c r="I4661" s="5" t="s">
        <v>10722</v>
      </c>
      <c r="J4661" s="12" t="str">
        <f>HYPERLINK("https://www.boe.es/gazeta/dias/1805/11/01/pdfs/GMD-1805-88.pdf#page=6","Abrir facsímil")</f>
        <v>Abrir facsímil</v>
      </c>
      <c r="K4661" s="15" t="s">
        <v>22</v>
      </c>
    </row>
    <row r="4662" spans="1:11" ht="42" customHeight="1">
      <c r="A4662" s="4" t="s">
        <v>10709</v>
      </c>
      <c r="B4662" s="5" t="s">
        <v>10710</v>
      </c>
      <c r="C4662" s="5" t="s">
        <v>29</v>
      </c>
      <c r="D4662" s="5" t="s">
        <v>30</v>
      </c>
      <c r="E4662" s="5" t="s">
        <v>209</v>
      </c>
      <c r="F4662" s="9">
        <v>89</v>
      </c>
      <c r="G4662" s="9">
        <v>945</v>
      </c>
      <c r="H4662" s="5" t="s">
        <v>20</v>
      </c>
      <c r="I4662" s="5" t="s">
        <v>10723</v>
      </c>
      <c r="J4662" s="12" t="str">
        <f>HYPERLINK("https://www.boe.es/gazeta/dias/1805/11/05/pdfs/GMD-1805-89.pdf#page=5","Abrir facsímil")</f>
        <v>Abrir facsímil</v>
      </c>
      <c r="K4662" s="15" t="s">
        <v>22</v>
      </c>
    </row>
    <row r="4663" spans="1:11" ht="42" customHeight="1">
      <c r="A4663" s="4" t="s">
        <v>10709</v>
      </c>
      <c r="B4663" s="5" t="s">
        <v>10710</v>
      </c>
      <c r="C4663" s="5" t="s">
        <v>80</v>
      </c>
      <c r="D4663" s="5" t="s">
        <v>81</v>
      </c>
      <c r="E4663" s="5" t="s">
        <v>209</v>
      </c>
      <c r="F4663" s="9">
        <v>89</v>
      </c>
      <c r="G4663" s="9">
        <v>946</v>
      </c>
      <c r="H4663" s="5" t="s">
        <v>20</v>
      </c>
      <c r="I4663" s="5" t="s">
        <v>10724</v>
      </c>
      <c r="J4663" s="12" t="str">
        <f>HYPERLINK("https://www.boe.es/gazeta/dias/1805/11/05/pdfs/GMD-1805-89.pdf#page=6","Abrir facsímil")</f>
        <v>Abrir facsímil</v>
      </c>
      <c r="K4663" s="15" t="s">
        <v>22</v>
      </c>
    </row>
    <row r="4664" spans="1:11" ht="42" customHeight="1">
      <c r="A4664" s="4" t="s">
        <v>10709</v>
      </c>
      <c r="B4664" s="5" t="s">
        <v>10710</v>
      </c>
      <c r="C4664" s="5" t="s">
        <v>80</v>
      </c>
      <c r="D4664" s="5" t="s">
        <v>81</v>
      </c>
      <c r="E4664" s="5" t="s">
        <v>209</v>
      </c>
      <c r="F4664" s="9">
        <v>89</v>
      </c>
      <c r="G4664" s="9">
        <v>947</v>
      </c>
      <c r="H4664" s="5" t="s">
        <v>20</v>
      </c>
      <c r="I4664" s="5" t="s">
        <v>10725</v>
      </c>
      <c r="J4664" s="12" t="str">
        <f>HYPERLINK("https://www.boe.es/gazeta/dias/1805/11/05/pdfs/GMD-1805-89.pdf#page=7","Abrir facsímil")</f>
        <v>Abrir facsímil</v>
      </c>
      <c r="K4664" s="15" t="s">
        <v>22</v>
      </c>
    </row>
    <row r="4665" spans="1:11" ht="42" customHeight="1">
      <c r="A4665" s="4" t="s">
        <v>10709</v>
      </c>
      <c r="B4665" s="5" t="s">
        <v>10710</v>
      </c>
      <c r="C4665" s="5" t="s">
        <v>29</v>
      </c>
      <c r="D4665" s="5" t="s">
        <v>30</v>
      </c>
      <c r="E4665" s="5" t="s">
        <v>209</v>
      </c>
      <c r="F4665" s="9">
        <v>89</v>
      </c>
      <c r="G4665" s="9">
        <v>950</v>
      </c>
      <c r="H4665" s="5" t="s">
        <v>20</v>
      </c>
      <c r="I4665" s="5" t="s">
        <v>10726</v>
      </c>
      <c r="J4665" s="12" t="str">
        <f>HYPERLINK("https://www.boe.es/gazeta/dias/1805/11/05/pdfs/GMD-1805-89.pdf#page=10","Abrir facsímil")</f>
        <v>Abrir facsímil</v>
      </c>
      <c r="K4665" s="15" t="s">
        <v>22</v>
      </c>
    </row>
    <row r="4666" spans="1:11" ht="42" customHeight="1">
      <c r="A4666" s="4" t="s">
        <v>10709</v>
      </c>
      <c r="B4666" s="5" t="s">
        <v>10710</v>
      </c>
      <c r="C4666" s="5" t="s">
        <v>35</v>
      </c>
      <c r="D4666" s="5" t="s">
        <v>36</v>
      </c>
      <c r="E4666" s="5" t="s">
        <v>209</v>
      </c>
      <c r="F4666" s="9">
        <v>89</v>
      </c>
      <c r="G4666" s="9">
        <v>951</v>
      </c>
      <c r="H4666" s="5" t="s">
        <v>20</v>
      </c>
      <c r="I4666" s="5" t="s">
        <v>10727</v>
      </c>
      <c r="J4666" s="12" t="str">
        <f>HYPERLINK("https://www.boe.es/gazeta/dias/1805/11/05/pdfs/GMD-1805-89.pdf#page=11","Abrir facsímil")</f>
        <v>Abrir facsímil</v>
      </c>
      <c r="K4666" s="15" t="s">
        <v>22</v>
      </c>
    </row>
    <row r="4667" spans="1:11" ht="42" customHeight="1">
      <c r="A4667" s="4" t="s">
        <v>10709</v>
      </c>
      <c r="B4667" s="5" t="s">
        <v>10710</v>
      </c>
      <c r="C4667" s="5" t="s">
        <v>80</v>
      </c>
      <c r="D4667" s="5" t="s">
        <v>81</v>
      </c>
      <c r="E4667" s="5" t="s">
        <v>200</v>
      </c>
      <c r="F4667" s="9">
        <v>91</v>
      </c>
      <c r="G4667" s="9">
        <v>970</v>
      </c>
      <c r="H4667" s="5" t="s">
        <v>20</v>
      </c>
      <c r="I4667" s="5" t="s">
        <v>10728</v>
      </c>
      <c r="J4667" s="12" t="str">
        <f>HYPERLINK("https://www.boe.es/gazeta/dias/1805/11/12/pdfs/GMD-1805-91.pdf#page=2","Abrir facsímil")</f>
        <v>Abrir facsímil</v>
      </c>
      <c r="K4667" s="15" t="s">
        <v>22</v>
      </c>
    </row>
    <row r="4668" spans="1:11" ht="42" customHeight="1">
      <c r="A4668" s="4" t="s">
        <v>10709</v>
      </c>
      <c r="B4668" s="5" t="s">
        <v>10710</v>
      </c>
      <c r="C4668" s="5" t="s">
        <v>35</v>
      </c>
      <c r="D4668" s="5" t="s">
        <v>36</v>
      </c>
      <c r="E4668" s="5" t="s">
        <v>200</v>
      </c>
      <c r="F4668" s="9">
        <v>91</v>
      </c>
      <c r="G4668" s="9">
        <v>971</v>
      </c>
      <c r="H4668" s="5" t="s">
        <v>20</v>
      </c>
      <c r="I4668" s="5" t="s">
        <v>10729</v>
      </c>
      <c r="J4668" s="12" t="str">
        <f>HYPERLINK("https://www.boe.es/gazeta/dias/1805/11/12/pdfs/GMD-1805-91.pdf#page=3","Abrir facsímil")</f>
        <v>Abrir facsímil</v>
      </c>
      <c r="K4668" s="15" t="s">
        <v>22</v>
      </c>
    </row>
    <row r="4669" spans="1:11" ht="42" customHeight="1">
      <c r="A4669" s="4" t="s">
        <v>10709</v>
      </c>
      <c r="B4669" s="5" t="s">
        <v>10710</v>
      </c>
      <c r="C4669" s="5" t="s">
        <v>80</v>
      </c>
      <c r="D4669" s="5" t="s">
        <v>81</v>
      </c>
      <c r="E4669" s="5" t="s">
        <v>200</v>
      </c>
      <c r="F4669" s="9">
        <v>91</v>
      </c>
      <c r="G4669" s="9">
        <v>974</v>
      </c>
      <c r="H4669" s="5" t="s">
        <v>20</v>
      </c>
      <c r="I4669" s="5" t="s">
        <v>10730</v>
      </c>
      <c r="J4669" s="12" t="str">
        <f>HYPERLINK("https://www.boe.es/gazeta/dias/1805/11/12/pdfs/GMD-1805-91.pdf#page=6","Abrir facsímil")</f>
        <v>Abrir facsímil</v>
      </c>
      <c r="K4669" s="15" t="s">
        <v>22</v>
      </c>
    </row>
    <row r="4670" spans="1:11" ht="42" customHeight="1">
      <c r="A4670" s="4" t="s">
        <v>10709</v>
      </c>
      <c r="B4670" s="5" t="s">
        <v>10710</v>
      </c>
      <c r="C4670" s="5" t="s">
        <v>80</v>
      </c>
      <c r="D4670" s="5" t="s">
        <v>81</v>
      </c>
      <c r="E4670" s="5" t="s">
        <v>200</v>
      </c>
      <c r="F4670" s="9">
        <v>91</v>
      </c>
      <c r="G4670" s="9">
        <v>975</v>
      </c>
      <c r="H4670" s="5" t="s">
        <v>20</v>
      </c>
      <c r="I4670" s="5" t="s">
        <v>10731</v>
      </c>
      <c r="J4670" s="12" t="str">
        <f>HYPERLINK("https://www.boe.es/gazeta/dias/1805/11/12/pdfs/GMD-1805-91.pdf#page=7","Abrir facsímil")</f>
        <v>Abrir facsímil</v>
      </c>
      <c r="K4670" s="15" t="s">
        <v>22</v>
      </c>
    </row>
    <row r="4671" spans="1:11" ht="42" customHeight="1">
      <c r="A4671" s="4" t="s">
        <v>10709</v>
      </c>
      <c r="B4671" s="5" t="s">
        <v>10710</v>
      </c>
      <c r="C4671" s="5" t="s">
        <v>80</v>
      </c>
      <c r="D4671" s="5" t="s">
        <v>81</v>
      </c>
      <c r="E4671" s="5" t="s">
        <v>886</v>
      </c>
      <c r="F4671" s="9">
        <v>93</v>
      </c>
      <c r="G4671" s="9">
        <v>995</v>
      </c>
      <c r="H4671" s="5" t="s">
        <v>20</v>
      </c>
      <c r="I4671" s="5" t="s">
        <v>10732</v>
      </c>
      <c r="J4671" s="12" t="str">
        <f>HYPERLINK("https://www.boe.es/gazeta/dias/1805/11/19/pdfs/GMD-1805-93.pdf#page=7","Abrir facsímil")</f>
        <v>Abrir facsímil</v>
      </c>
      <c r="K4671" s="15" t="s">
        <v>22</v>
      </c>
    </row>
    <row r="4672" spans="1:11" ht="42" customHeight="1">
      <c r="A4672" s="4" t="s">
        <v>10709</v>
      </c>
      <c r="B4672" s="5" t="s">
        <v>10710</v>
      </c>
      <c r="C4672" s="5" t="s">
        <v>80</v>
      </c>
      <c r="D4672" s="5" t="s">
        <v>81</v>
      </c>
      <c r="E4672" s="5" t="s">
        <v>552</v>
      </c>
      <c r="F4672" s="9">
        <v>94</v>
      </c>
      <c r="G4672" s="9">
        <v>1005</v>
      </c>
      <c r="H4672" s="5" t="s">
        <v>20</v>
      </c>
      <c r="I4672" s="5" t="s">
        <v>10733</v>
      </c>
      <c r="J4672" s="12" t="str">
        <f>HYPERLINK("https://www.boe.es/gazeta/dias/1805/11/22/pdfs/GMD-1805-94.pdf#page=5","Abrir facsímil")</f>
        <v>Abrir facsímil</v>
      </c>
      <c r="K4672" s="15" t="s">
        <v>22</v>
      </c>
    </row>
    <row r="4673" spans="1:11" ht="42" customHeight="1">
      <c r="A4673" s="4" t="s">
        <v>10709</v>
      </c>
      <c r="B4673" s="5" t="s">
        <v>10710</v>
      </c>
      <c r="C4673" s="5" t="s">
        <v>80</v>
      </c>
      <c r="D4673" s="5" t="s">
        <v>81</v>
      </c>
      <c r="E4673" s="5" t="s">
        <v>552</v>
      </c>
      <c r="F4673" s="9">
        <v>94</v>
      </c>
      <c r="G4673" s="9">
        <v>1006</v>
      </c>
      <c r="H4673" s="5" t="s">
        <v>20</v>
      </c>
      <c r="I4673" s="5" t="s">
        <v>10734</v>
      </c>
      <c r="J4673" s="12" t="str">
        <f>HYPERLINK("https://www.boe.es/gazeta/dias/1805/11/22/pdfs/GMD-1805-94.pdf#page=6","Abrir facsímil")</f>
        <v>Abrir facsímil</v>
      </c>
      <c r="K4673" s="15" t="s">
        <v>22</v>
      </c>
    </row>
    <row r="4674" spans="1:11" ht="42" customHeight="1">
      <c r="A4674" s="4" t="s">
        <v>10709</v>
      </c>
      <c r="B4674" s="5" t="s">
        <v>10710</v>
      </c>
      <c r="C4674" s="5" t="s">
        <v>17</v>
      </c>
      <c r="D4674" s="5" t="s">
        <v>18</v>
      </c>
      <c r="E4674" s="5" t="s">
        <v>787</v>
      </c>
      <c r="F4674" s="9">
        <v>95</v>
      </c>
      <c r="G4674" s="9">
        <v>1018</v>
      </c>
      <c r="H4674" s="5" t="s">
        <v>20</v>
      </c>
      <c r="I4674" s="5" t="s">
        <v>10735</v>
      </c>
      <c r="J4674" s="12" t="str">
        <f>HYPERLINK("https://www.boe.es/gazeta/dias/1805/11/26/pdfs/GMD-1805-95.pdf#page=6","Abrir facsímil")</f>
        <v>Abrir facsímil</v>
      </c>
      <c r="K4674" s="15" t="s">
        <v>22</v>
      </c>
    </row>
    <row r="4675" spans="1:11" ht="42" customHeight="1">
      <c r="A4675" s="4" t="s">
        <v>10709</v>
      </c>
      <c r="B4675" s="5" t="s">
        <v>10710</v>
      </c>
      <c r="C4675" s="5" t="s">
        <v>17</v>
      </c>
      <c r="D4675" s="5" t="s">
        <v>18</v>
      </c>
      <c r="E4675" s="5" t="s">
        <v>787</v>
      </c>
      <c r="F4675" s="9">
        <v>95</v>
      </c>
      <c r="G4675" s="9">
        <v>1019</v>
      </c>
      <c r="H4675" s="5" t="s">
        <v>20</v>
      </c>
      <c r="I4675" s="5" t="s">
        <v>10736</v>
      </c>
      <c r="J4675" s="12" t="str">
        <f>HYPERLINK("https://www.boe.es/gazeta/dias/1805/11/26/pdfs/GMD-1805-95.pdf#page=7","Abrir facsímil")</f>
        <v>Abrir facsímil</v>
      </c>
      <c r="K4675" s="15" t="s">
        <v>22</v>
      </c>
    </row>
    <row r="4676" spans="1:11" ht="42" customHeight="1">
      <c r="A4676" s="4" t="s">
        <v>10709</v>
      </c>
      <c r="B4676" s="5" t="s">
        <v>10710</v>
      </c>
      <c r="C4676" s="5" t="s">
        <v>80</v>
      </c>
      <c r="D4676" s="5" t="s">
        <v>81</v>
      </c>
      <c r="E4676" s="5" t="s">
        <v>217</v>
      </c>
      <c r="F4676" s="9">
        <v>96</v>
      </c>
      <c r="G4676" s="9">
        <v>1027</v>
      </c>
      <c r="H4676" s="5" t="s">
        <v>20</v>
      </c>
      <c r="I4676" s="5" t="s">
        <v>10737</v>
      </c>
      <c r="J4676" s="12" t="str">
        <f>HYPERLINK("https://www.boe.es/gazeta/dias/1805/11/29/pdfs/GMD-1805-96.pdf#page=3","Abrir facsímil")</f>
        <v>Abrir facsímil</v>
      </c>
      <c r="K4676" s="15" t="s">
        <v>22</v>
      </c>
    </row>
    <row r="4677" spans="1:11" ht="42" customHeight="1">
      <c r="A4677" s="4" t="s">
        <v>10738</v>
      </c>
      <c r="B4677" s="5" t="s">
        <v>10739</v>
      </c>
      <c r="C4677" s="5" t="s">
        <v>80</v>
      </c>
      <c r="D4677" s="5" t="s">
        <v>81</v>
      </c>
      <c r="E4677" s="5" t="s">
        <v>217</v>
      </c>
      <c r="F4677" s="9">
        <v>96</v>
      </c>
      <c r="G4677" s="9">
        <v>1028</v>
      </c>
      <c r="H4677" s="5" t="s">
        <v>20</v>
      </c>
      <c r="I4677" s="5" t="s">
        <v>10740</v>
      </c>
      <c r="J4677" s="12" t="str">
        <f>HYPERLINK("https://www.boe.es/gazeta/dias/1805/11/29/pdfs/GMD-1805-96.pdf#page=4","Abrir facsímil")</f>
        <v>Abrir facsímil</v>
      </c>
      <c r="K4677" s="15" t="s">
        <v>22</v>
      </c>
    </row>
    <row r="4678" spans="1:11" ht="42" customHeight="1">
      <c r="A4678" s="4" t="s">
        <v>10709</v>
      </c>
      <c r="B4678" s="5" t="s">
        <v>10710</v>
      </c>
      <c r="C4678" s="5" t="s">
        <v>184</v>
      </c>
      <c r="D4678" s="5" t="s">
        <v>86</v>
      </c>
      <c r="E4678" s="5" t="s">
        <v>539</v>
      </c>
      <c r="F4678" s="9">
        <v>97</v>
      </c>
      <c r="G4678" s="9">
        <v>1040</v>
      </c>
      <c r="H4678" s="5" t="s">
        <v>20</v>
      </c>
      <c r="I4678" s="5" t="s">
        <v>10741</v>
      </c>
      <c r="J4678" s="12" t="str">
        <f>HYPERLINK("https://www.boe.es/gazeta/dias/1805/12/03/pdfs/GMD-1805-97.pdf#page=4","Abrir facsímil")</f>
        <v>Abrir facsímil</v>
      </c>
      <c r="K4678" s="15" t="s">
        <v>22</v>
      </c>
    </row>
    <row r="4679" spans="1:11" ht="42" customHeight="1">
      <c r="A4679" s="4" t="s">
        <v>10709</v>
      </c>
      <c r="B4679" s="5" t="s">
        <v>10710</v>
      </c>
      <c r="C4679" s="5" t="s">
        <v>80</v>
      </c>
      <c r="D4679" s="5" t="s">
        <v>81</v>
      </c>
      <c r="E4679" s="5" t="s">
        <v>539</v>
      </c>
      <c r="F4679" s="9">
        <v>97</v>
      </c>
      <c r="G4679" s="9">
        <v>1041</v>
      </c>
      <c r="H4679" s="5" t="s">
        <v>20</v>
      </c>
      <c r="I4679" s="5" t="s">
        <v>10742</v>
      </c>
      <c r="J4679" s="12" t="str">
        <f>HYPERLINK("https://www.boe.es/gazeta/dias/1805/12/03/pdfs/GMD-1805-97.pdf#page=5","Abrir facsímil")</f>
        <v>Abrir facsímil</v>
      </c>
      <c r="K4679" s="15" t="s">
        <v>22</v>
      </c>
    </row>
    <row r="4680" spans="1:11" ht="42" customHeight="1">
      <c r="A4680" s="4" t="s">
        <v>10709</v>
      </c>
      <c r="B4680" s="5" t="s">
        <v>10710</v>
      </c>
      <c r="C4680" s="5" t="s">
        <v>35</v>
      </c>
      <c r="D4680" s="5" t="s">
        <v>36</v>
      </c>
      <c r="E4680" s="5" t="s">
        <v>67</v>
      </c>
      <c r="F4680" s="9">
        <v>98</v>
      </c>
      <c r="G4680" s="9">
        <v>1053</v>
      </c>
      <c r="H4680" s="5" t="s">
        <v>20</v>
      </c>
      <c r="I4680" s="5" t="s">
        <v>10743</v>
      </c>
      <c r="J4680" s="12" t="str">
        <f>HYPERLINK("https://www.boe.es/gazeta/dias/1805/12/06/pdfs/GMD-1805-98.pdf#page=5","Abrir facsímil")</f>
        <v>Abrir facsímil</v>
      </c>
      <c r="K4680" s="15" t="s">
        <v>22</v>
      </c>
    </row>
    <row r="4681" spans="1:11" ht="42" customHeight="1">
      <c r="A4681" s="4" t="s">
        <v>10709</v>
      </c>
      <c r="B4681" s="5" t="s">
        <v>10710</v>
      </c>
      <c r="C4681" s="5" t="s">
        <v>80</v>
      </c>
      <c r="D4681" s="5" t="s">
        <v>81</v>
      </c>
      <c r="E4681" s="5" t="s">
        <v>67</v>
      </c>
      <c r="F4681" s="9">
        <v>98</v>
      </c>
      <c r="G4681" s="9">
        <v>1055</v>
      </c>
      <c r="H4681" s="5" t="s">
        <v>20</v>
      </c>
      <c r="I4681" s="5" t="s">
        <v>10744</v>
      </c>
      <c r="J4681" s="12" t="str">
        <f>HYPERLINK("https://www.boe.es/gazeta/dias/1805/12/06/pdfs/GMD-1805-98.pdf#page=7","Abrir facsímil")</f>
        <v>Abrir facsímil</v>
      </c>
      <c r="K4681" s="15" t="s">
        <v>22</v>
      </c>
    </row>
    <row r="4682" spans="1:11" ht="42" customHeight="1">
      <c r="A4682" s="4" t="s">
        <v>10709</v>
      </c>
      <c r="B4682" s="5" t="s">
        <v>10710</v>
      </c>
      <c r="C4682" s="5" t="s">
        <v>80</v>
      </c>
      <c r="D4682" s="5" t="s">
        <v>81</v>
      </c>
      <c r="E4682" s="5" t="s">
        <v>54</v>
      </c>
      <c r="F4682" s="9">
        <v>99</v>
      </c>
      <c r="G4682" s="9">
        <v>1062</v>
      </c>
      <c r="H4682" s="5" t="s">
        <v>20</v>
      </c>
      <c r="I4682" s="5" t="s">
        <v>10745</v>
      </c>
      <c r="J4682" s="12" t="str">
        <f>HYPERLINK("https://www.boe.es/gazeta/dias/1805/12/10/pdfs/GMD-1805-99.pdf#page=2","Abrir facsímil")</f>
        <v>Abrir facsímil</v>
      </c>
      <c r="K4682" s="15" t="s">
        <v>22</v>
      </c>
    </row>
    <row r="4683" spans="1:11" ht="42" customHeight="1">
      <c r="A4683" s="4" t="s">
        <v>10709</v>
      </c>
      <c r="B4683" s="5" t="s">
        <v>10710</v>
      </c>
      <c r="C4683" s="5" t="s">
        <v>80</v>
      </c>
      <c r="D4683" s="5" t="s">
        <v>81</v>
      </c>
      <c r="E4683" s="5" t="s">
        <v>54</v>
      </c>
      <c r="F4683" s="9">
        <v>99</v>
      </c>
      <c r="G4683" s="9">
        <v>1063</v>
      </c>
      <c r="H4683" s="5" t="s">
        <v>20</v>
      </c>
      <c r="I4683" s="5" t="s">
        <v>10746</v>
      </c>
      <c r="J4683" s="12" t="str">
        <f>HYPERLINK("https://www.boe.es/gazeta/dias/1805/12/10/pdfs/GMD-1805-99.pdf#page=3","Abrir facsímil")</f>
        <v>Abrir facsímil</v>
      </c>
      <c r="K4683" s="15" t="s">
        <v>22</v>
      </c>
    </row>
    <row r="4684" spans="1:11" ht="42" customHeight="1">
      <c r="A4684" s="4" t="s">
        <v>10709</v>
      </c>
      <c r="B4684" s="5" t="s">
        <v>10710</v>
      </c>
      <c r="C4684" s="5" t="s">
        <v>35</v>
      </c>
      <c r="D4684" s="5" t="s">
        <v>36</v>
      </c>
      <c r="E4684" s="5" t="s">
        <v>512</v>
      </c>
      <c r="F4684" s="9">
        <v>100</v>
      </c>
      <c r="G4684" s="9">
        <v>1077</v>
      </c>
      <c r="H4684" s="5" t="s">
        <v>20</v>
      </c>
      <c r="I4684" s="5" t="s">
        <v>10747</v>
      </c>
      <c r="J4684" s="12" t="str">
        <f>HYPERLINK("https://www.boe.es/gazeta/dias/1805/12/13/pdfs/GMD-1805-100.pdf#page=5","Abrir facsímil")</f>
        <v>Abrir facsímil</v>
      </c>
      <c r="K4684" s="15" t="s">
        <v>22</v>
      </c>
    </row>
    <row r="4685" spans="1:11" ht="42" customHeight="1">
      <c r="A4685" s="4" t="s">
        <v>10709</v>
      </c>
      <c r="B4685" s="5" t="s">
        <v>10710</v>
      </c>
      <c r="C4685" s="5" t="s">
        <v>80</v>
      </c>
      <c r="D4685" s="5" t="s">
        <v>81</v>
      </c>
      <c r="E4685" s="5" t="s">
        <v>512</v>
      </c>
      <c r="F4685" s="9">
        <v>100</v>
      </c>
      <c r="G4685" s="9">
        <v>1079</v>
      </c>
      <c r="H4685" s="5" t="s">
        <v>20</v>
      </c>
      <c r="I4685" s="5" t="s">
        <v>10748</v>
      </c>
      <c r="J4685" s="12" t="str">
        <f>HYPERLINK("https://www.boe.es/gazeta/dias/1805/12/13/pdfs/GMD-1805-100.pdf#page=7","Abrir facsímil")</f>
        <v>Abrir facsímil</v>
      </c>
      <c r="K4685" s="15" t="s">
        <v>22</v>
      </c>
    </row>
    <row r="4686" spans="1:11" ht="42" customHeight="1">
      <c r="A4686" s="4" t="s">
        <v>10709</v>
      </c>
      <c r="B4686" s="5" t="s">
        <v>10710</v>
      </c>
      <c r="C4686" s="5" t="s">
        <v>80</v>
      </c>
      <c r="D4686" s="5" t="s">
        <v>81</v>
      </c>
      <c r="E4686" s="5" t="s">
        <v>789</v>
      </c>
      <c r="F4686" s="9">
        <v>104</v>
      </c>
      <c r="G4686" s="9">
        <v>1120</v>
      </c>
      <c r="H4686" s="5" t="s">
        <v>20</v>
      </c>
      <c r="I4686" s="5" t="s">
        <v>10749</v>
      </c>
      <c r="J4686" s="12" t="str">
        <f>HYPERLINK("https://www.boe.es/gazeta/dias/1805/12/27/pdfs/GMD-1805-104.pdf#page=4","Abrir facsímil")</f>
        <v>Abrir facsímil</v>
      </c>
      <c r="K4686" s="15" t="s">
        <v>22</v>
      </c>
    </row>
    <row r="4687" spans="1:11" ht="42" customHeight="1">
      <c r="A4687" s="4" t="s">
        <v>10709</v>
      </c>
      <c r="B4687" s="5" t="s">
        <v>10710</v>
      </c>
      <c r="C4687" s="5" t="s">
        <v>184</v>
      </c>
      <c r="D4687" s="5" t="s">
        <v>86</v>
      </c>
      <c r="E4687" s="5" t="s">
        <v>789</v>
      </c>
      <c r="F4687" s="9">
        <v>104</v>
      </c>
      <c r="G4687" s="9">
        <v>1121</v>
      </c>
      <c r="H4687" s="5" t="s">
        <v>20</v>
      </c>
      <c r="I4687" s="5" t="s">
        <v>10750</v>
      </c>
      <c r="J4687" s="12" t="str">
        <f>HYPERLINK("https://www.boe.es/gazeta/dias/1805/12/27/pdfs/GMD-1805-104.pdf#page=5","Abrir facsímil")</f>
        <v>Abrir facsímil</v>
      </c>
      <c r="K4687" s="15" t="s">
        <v>22</v>
      </c>
    </row>
    <row r="4688" spans="1:11" ht="42" customHeight="1">
      <c r="A4688" s="4" t="s">
        <v>10751</v>
      </c>
      <c r="B4688" s="5" t="s">
        <v>10752</v>
      </c>
      <c r="C4688" s="5" t="s">
        <v>80</v>
      </c>
      <c r="D4688" s="5" t="s">
        <v>81</v>
      </c>
      <c r="E4688" s="5" t="s">
        <v>103</v>
      </c>
      <c r="F4688" s="9">
        <v>30</v>
      </c>
      <c r="G4688" s="9">
        <v>320</v>
      </c>
      <c r="H4688" s="5" t="s">
        <v>20</v>
      </c>
      <c r="I4688" s="5" t="s">
        <v>10753</v>
      </c>
      <c r="J4688" s="12" t="str">
        <f>HYPERLINK("https://www.boe.es/gazeta/dias/1805/04/12/pdfs/GMD-1805-30.pdf#page=4","Abrir facsímil")</f>
        <v>Abrir facsímil</v>
      </c>
      <c r="K4688" s="15" t="s">
        <v>22</v>
      </c>
    </row>
    <row r="4689" spans="1:11" ht="42" customHeight="1">
      <c r="A4689" s="4" t="s">
        <v>10751</v>
      </c>
      <c r="B4689" s="5" t="s">
        <v>10752</v>
      </c>
      <c r="C4689" s="5" t="s">
        <v>80</v>
      </c>
      <c r="D4689" s="5" t="s">
        <v>81</v>
      </c>
      <c r="E4689" s="5" t="s">
        <v>673</v>
      </c>
      <c r="F4689" s="9">
        <v>32</v>
      </c>
      <c r="G4689" s="9">
        <v>339</v>
      </c>
      <c r="H4689" s="5" t="s">
        <v>20</v>
      </c>
      <c r="I4689" s="5" t="s">
        <v>10754</v>
      </c>
      <c r="J4689" s="12" t="str">
        <f>HYPERLINK("https://www.boe.es/gazeta/dias/1805/04/19/pdfs/GMD-1805-32.pdf#page=3","Abrir facsímil")</f>
        <v>Abrir facsímil</v>
      </c>
      <c r="K4689" s="15" t="s">
        <v>22</v>
      </c>
    </row>
    <row r="4690" spans="1:11" ht="42" customHeight="1">
      <c r="A4690" s="4" t="s">
        <v>10751</v>
      </c>
      <c r="B4690" s="5" t="s">
        <v>10752</v>
      </c>
      <c r="C4690" s="5" t="s">
        <v>35</v>
      </c>
      <c r="D4690" s="5" t="s">
        <v>36</v>
      </c>
      <c r="E4690" s="5" t="s">
        <v>71</v>
      </c>
      <c r="F4690" s="9">
        <v>33</v>
      </c>
      <c r="G4690" s="9">
        <v>348</v>
      </c>
      <c r="H4690" s="5" t="s">
        <v>20</v>
      </c>
      <c r="I4690" s="5" t="s">
        <v>10755</v>
      </c>
      <c r="J4690" s="12" t="str">
        <f>HYPERLINK("https://www.boe.es/gazeta/dias/1805/04/23/pdfs/GMD-1805-33.pdf#page=4","Abrir facsímil")</f>
        <v>Abrir facsímil</v>
      </c>
      <c r="K4690" s="15" t="s">
        <v>22</v>
      </c>
    </row>
    <row r="4691" spans="1:11" ht="42" customHeight="1">
      <c r="A4691" s="4" t="s">
        <v>10756</v>
      </c>
      <c r="B4691" s="5" t="s">
        <v>10757</v>
      </c>
      <c r="C4691" s="5" t="s">
        <v>35</v>
      </c>
      <c r="D4691" s="5" t="s">
        <v>36</v>
      </c>
      <c r="E4691" s="5" t="s">
        <v>387</v>
      </c>
      <c r="F4691" s="9">
        <v>4</v>
      </c>
      <c r="G4691" s="9">
        <v>42</v>
      </c>
      <c r="H4691" s="5" t="s">
        <v>20</v>
      </c>
      <c r="I4691" s="5" t="s">
        <v>10758</v>
      </c>
      <c r="J4691" s="12" t="str">
        <f>HYPERLINK("https://www.boe.es/gazeta/dias/1805/01/11/pdfs/GMD-1805-4.pdf#page=10","Abrir facsímil")</f>
        <v>Abrir facsímil</v>
      </c>
      <c r="K4691" s="15" t="s">
        <v>22</v>
      </c>
    </row>
    <row r="4692" spans="1:11" ht="42" customHeight="1">
      <c r="A4692" s="4" t="s">
        <v>10759</v>
      </c>
      <c r="B4692" s="5" t="s">
        <v>10760</v>
      </c>
      <c r="C4692" s="5" t="s">
        <v>35</v>
      </c>
      <c r="D4692" s="5" t="s">
        <v>36</v>
      </c>
      <c r="E4692" s="5" t="s">
        <v>293</v>
      </c>
      <c r="F4692" s="9">
        <v>5</v>
      </c>
      <c r="G4692" s="9">
        <v>56</v>
      </c>
      <c r="H4692" s="5" t="s">
        <v>20</v>
      </c>
      <c r="I4692" s="5" t="s">
        <v>10761</v>
      </c>
      <c r="J4692" s="12" t="str">
        <f>HYPERLINK("https://www.boe.es/gazeta/dias/1805/01/15/pdfs/GMD-1805-5.pdf#page=12","Abrir facsímil")</f>
        <v>Abrir facsímil</v>
      </c>
      <c r="K4692" s="15" t="s">
        <v>22</v>
      </c>
    </row>
    <row r="4693" spans="1:11" ht="42" customHeight="1">
      <c r="A4693" s="4" t="s">
        <v>10762</v>
      </c>
      <c r="B4693" s="5" t="s">
        <v>10763</v>
      </c>
      <c r="C4693" s="5" t="s">
        <v>17</v>
      </c>
      <c r="D4693" s="5" t="s">
        <v>18</v>
      </c>
      <c r="E4693" s="5" t="s">
        <v>352</v>
      </c>
      <c r="F4693" s="9">
        <v>60</v>
      </c>
      <c r="G4693" s="9">
        <v>646</v>
      </c>
      <c r="H4693" s="5" t="s">
        <v>20</v>
      </c>
      <c r="I4693" s="5" t="s">
        <v>10764</v>
      </c>
      <c r="J4693" s="12" t="str">
        <f>HYPERLINK("https://www.boe.es/gazeta/dias/1805/07/26/pdfs/GMD-1805-60.pdf#page=10","Abrir facsímil")</f>
        <v>Abrir facsímil</v>
      </c>
      <c r="K4693" s="15" t="s">
        <v>22</v>
      </c>
    </row>
    <row r="4694" spans="1:11" ht="42" customHeight="1">
      <c r="A4694" s="4" t="s">
        <v>10765</v>
      </c>
      <c r="B4694" s="5" t="s">
        <v>10766</v>
      </c>
      <c r="C4694" s="5" t="s">
        <v>80</v>
      </c>
      <c r="D4694" s="5" t="s">
        <v>81</v>
      </c>
      <c r="E4694" s="5" t="s">
        <v>215</v>
      </c>
      <c r="F4694" s="9">
        <v>87</v>
      </c>
      <c r="G4694" s="9">
        <v>925</v>
      </c>
      <c r="H4694" s="5" t="s">
        <v>20</v>
      </c>
      <c r="I4694" s="5" t="s">
        <v>10767</v>
      </c>
      <c r="J4694" s="12" t="str">
        <f>HYPERLINK("https://www.boe.es/gazeta/dias/1805/10/29/pdfs/GMD-1805-87.pdf#page=9","Abrir facsímil")</f>
        <v>Abrir facsímil</v>
      </c>
      <c r="K4694" s="15" t="s">
        <v>22</v>
      </c>
    </row>
    <row r="4695" spans="1:11" ht="42" customHeight="1">
      <c r="A4695" s="4" t="s">
        <v>10765</v>
      </c>
      <c r="B4695" s="5" t="s">
        <v>10766</v>
      </c>
      <c r="C4695" s="5" t="s">
        <v>80</v>
      </c>
      <c r="D4695" s="5" t="s">
        <v>81</v>
      </c>
      <c r="E4695" s="5" t="s">
        <v>215</v>
      </c>
      <c r="F4695" s="9">
        <v>87</v>
      </c>
      <c r="G4695" s="9">
        <v>926</v>
      </c>
      <c r="H4695" s="5" t="s">
        <v>20</v>
      </c>
      <c r="I4695" s="5" t="s">
        <v>10768</v>
      </c>
      <c r="J4695" s="12" t="str">
        <f>HYPERLINK("https://www.boe.es/gazeta/dias/1805/10/29/pdfs/GMD-1805-87.pdf#page=10","Abrir facsímil")</f>
        <v>Abrir facsímil</v>
      </c>
      <c r="K4695" s="15" t="s">
        <v>22</v>
      </c>
    </row>
    <row r="4696" spans="1:11" ht="42" customHeight="1">
      <c r="A4696" s="4" t="s">
        <v>10769</v>
      </c>
      <c r="B4696" s="5" t="s">
        <v>10770</v>
      </c>
      <c r="C4696" s="5" t="s">
        <v>52</v>
      </c>
      <c r="D4696" s="5" t="s">
        <v>53</v>
      </c>
      <c r="E4696" s="5" t="s">
        <v>54</v>
      </c>
      <c r="F4696" s="9">
        <v>99</v>
      </c>
      <c r="G4696" s="9" t="s">
        <v>222</v>
      </c>
      <c r="H4696" s="5" t="s">
        <v>20</v>
      </c>
      <c r="I4696" s="5" t="s">
        <v>10771</v>
      </c>
      <c r="J4696" s="12" t="str">
        <f>HYPERLINK("https://www.boe.es/gazeta/dias/1805/12/10/pdfs/GMD-C-1805-99.pdf#page=1","Abrir facsímil")</f>
        <v>Abrir facsímil</v>
      </c>
      <c r="K4696" s="15" t="s">
        <v>22</v>
      </c>
    </row>
    <row r="4697" spans="1:11" ht="42" customHeight="1">
      <c r="A4697" s="4" t="s">
        <v>10772</v>
      </c>
      <c r="B4697" s="5" t="s">
        <v>10773</v>
      </c>
      <c r="C4697" s="5" t="s">
        <v>35</v>
      </c>
      <c r="D4697" s="5" t="s">
        <v>36</v>
      </c>
      <c r="E4697" s="5" t="s">
        <v>103</v>
      </c>
      <c r="F4697" s="9">
        <v>30</v>
      </c>
      <c r="G4697" s="9">
        <v>323</v>
      </c>
      <c r="H4697" s="5" t="s">
        <v>20</v>
      </c>
      <c r="I4697" s="5" t="s">
        <v>10774</v>
      </c>
      <c r="J4697" s="12" t="str">
        <f>HYPERLINK("https://www.boe.es/gazeta/dias/1805/04/12/pdfs/GMD-1805-30.pdf#page=7","Abrir facsímil")</f>
        <v>Abrir facsímil</v>
      </c>
      <c r="K4697" s="15" t="s">
        <v>22</v>
      </c>
    </row>
    <row r="4698" spans="1:11" ht="42" customHeight="1">
      <c r="A4698" s="4" t="s">
        <v>10772</v>
      </c>
      <c r="B4698" s="5" t="s">
        <v>10773</v>
      </c>
      <c r="C4698" s="5" t="s">
        <v>80</v>
      </c>
      <c r="D4698" s="5" t="s">
        <v>81</v>
      </c>
      <c r="E4698" s="5" t="s">
        <v>1494</v>
      </c>
      <c r="F4698" s="9">
        <v>31</v>
      </c>
      <c r="G4698" s="9">
        <v>332</v>
      </c>
      <c r="H4698" s="5" t="s">
        <v>20</v>
      </c>
      <c r="I4698" s="5" t="s">
        <v>10775</v>
      </c>
      <c r="J4698" s="12" t="str">
        <f>HYPERLINK("https://www.boe.es/gazeta/dias/1805/04/16/pdfs/GMD-1805-31.pdf#page=8","Abrir facsímil")</f>
        <v>Abrir facsímil</v>
      </c>
      <c r="K4698" s="15" t="s">
        <v>22</v>
      </c>
    </row>
    <row r="4699" spans="1:11" ht="42" customHeight="1">
      <c r="A4699" s="4" t="s">
        <v>10776</v>
      </c>
      <c r="B4699" s="5" t="s">
        <v>10777</v>
      </c>
      <c r="C4699" s="5" t="s">
        <v>80</v>
      </c>
      <c r="D4699" s="5" t="s">
        <v>81</v>
      </c>
      <c r="E4699" s="5" t="s">
        <v>422</v>
      </c>
      <c r="F4699" s="9">
        <v>74</v>
      </c>
      <c r="G4699" s="9">
        <v>784</v>
      </c>
      <c r="H4699" s="5" t="s">
        <v>20</v>
      </c>
      <c r="I4699" s="5" t="s">
        <v>10778</v>
      </c>
      <c r="J4699" s="12" t="str">
        <f>HYPERLINK("https://www.boe.es/gazeta/dias/1805/09/13/pdfs/GMD-1805-74.pdf#page=8","Abrir facsímil")</f>
        <v>Abrir facsímil</v>
      </c>
      <c r="K4699" s="15" t="s">
        <v>22</v>
      </c>
    </row>
    <row r="4700" spans="1:11" ht="42" customHeight="1">
      <c r="A4700" s="4" t="s">
        <v>10779</v>
      </c>
      <c r="B4700" s="5" t="s">
        <v>10780</v>
      </c>
      <c r="C4700" s="5" t="s">
        <v>52</v>
      </c>
      <c r="D4700" s="5" t="s">
        <v>53</v>
      </c>
      <c r="E4700" s="5" t="s">
        <v>82</v>
      </c>
      <c r="F4700" s="9">
        <v>25</v>
      </c>
      <c r="G4700" s="9" t="s">
        <v>145</v>
      </c>
      <c r="H4700" s="5" t="s">
        <v>20</v>
      </c>
      <c r="I4700" s="5" t="s">
        <v>10781</v>
      </c>
      <c r="J4700" s="12" t="str">
        <f>HYPERLINK("https://www.boe.es/gazeta/dias/1805/03/26/pdfs/GMD-C-1805-25.pdf#page=2","Abrir facsímil")</f>
        <v>Abrir facsímil</v>
      </c>
      <c r="K4700" s="15" t="s">
        <v>22</v>
      </c>
    </row>
    <row r="4701" spans="1:11" ht="42" customHeight="1">
      <c r="A4701" s="4" t="s">
        <v>10782</v>
      </c>
      <c r="B4701" s="5" t="s">
        <v>10782</v>
      </c>
      <c r="C4701" s="5" t="s">
        <v>35</v>
      </c>
      <c r="D4701" s="5" t="s">
        <v>36</v>
      </c>
      <c r="E4701" s="5" t="s">
        <v>24</v>
      </c>
      <c r="F4701" s="9">
        <v>11</v>
      </c>
      <c r="G4701" s="9">
        <v>120</v>
      </c>
      <c r="H4701" s="5" t="s">
        <v>20</v>
      </c>
      <c r="I4701" s="5" t="s">
        <v>10783</v>
      </c>
      <c r="J4701" s="12" t="str">
        <f>HYPERLINK("https://www.boe.es/gazeta/dias/1805/02/05/pdfs/GMD-1805-11.pdf#page=8","Abrir facsímil")</f>
        <v>Abrir facsímil</v>
      </c>
      <c r="K4701" s="15" t="s">
        <v>22</v>
      </c>
    </row>
    <row r="4702" spans="1:11" ht="42" customHeight="1">
      <c r="A4702" s="4" t="s">
        <v>10784</v>
      </c>
      <c r="B4702" s="5" t="s">
        <v>10784</v>
      </c>
      <c r="C4702" s="5" t="s">
        <v>35</v>
      </c>
      <c r="D4702" s="5" t="s">
        <v>36</v>
      </c>
      <c r="E4702" s="5" t="s">
        <v>144</v>
      </c>
      <c r="F4702" s="9">
        <v>85</v>
      </c>
      <c r="G4702" s="9">
        <v>902</v>
      </c>
      <c r="H4702" s="5" t="s">
        <v>20</v>
      </c>
      <c r="I4702" s="5" t="s">
        <v>10785</v>
      </c>
      <c r="J4702" s="12" t="str">
        <f>HYPERLINK("https://www.boe.es/gazeta/dias/1805/10/22/pdfs/GMD-1805-85.pdf#page=10","Abrir facsímil")</f>
        <v>Abrir facsímil</v>
      </c>
      <c r="K4702" s="15" t="s">
        <v>22</v>
      </c>
    </row>
    <row r="4703" spans="1:11" ht="42" customHeight="1">
      <c r="A4703" s="4" t="s">
        <v>10786</v>
      </c>
      <c r="B4703" s="5" t="s">
        <v>10786</v>
      </c>
      <c r="C4703" s="5" t="s">
        <v>17</v>
      </c>
      <c r="D4703" s="5" t="s">
        <v>18</v>
      </c>
      <c r="E4703" s="5" t="s">
        <v>200</v>
      </c>
      <c r="F4703" s="9">
        <v>91</v>
      </c>
      <c r="G4703" s="9">
        <v>980</v>
      </c>
      <c r="H4703" s="5" t="s">
        <v>20</v>
      </c>
      <c r="I4703" s="5" t="s">
        <v>10787</v>
      </c>
      <c r="J4703" s="12" t="str">
        <f>HYPERLINK("https://www.boe.es/gazeta/dias/1805/11/12/pdfs/GMD-1805-91.pdf#page=12","Abrir facsímil")</f>
        <v>Abrir facsímil</v>
      </c>
      <c r="K4703" s="15" t="s">
        <v>22</v>
      </c>
    </row>
    <row r="4704" spans="1:11" ht="42" customHeight="1">
      <c r="A4704" s="4" t="s">
        <v>10788</v>
      </c>
      <c r="B4704" s="5" t="s">
        <v>10788</v>
      </c>
      <c r="C4704" s="5" t="s">
        <v>184</v>
      </c>
      <c r="D4704" s="5" t="s">
        <v>86</v>
      </c>
      <c r="E4704" s="5" t="s">
        <v>44</v>
      </c>
      <c r="F4704" s="9">
        <v>29</v>
      </c>
      <c r="G4704" s="9">
        <v>313</v>
      </c>
      <c r="H4704" s="5" t="s">
        <v>20</v>
      </c>
      <c r="I4704" s="5" t="s">
        <v>10789</v>
      </c>
      <c r="J4704" s="12" t="str">
        <f>HYPERLINK("https://www.boe.es/gazeta/dias/1805/04/09/pdfs/GMD-1805-29.pdf#page=9","Abrir facsímil")</f>
        <v>Abrir facsímil</v>
      </c>
      <c r="K4704" s="15" t="s">
        <v>22</v>
      </c>
    </row>
    <row r="4705" spans="1:11" ht="42" customHeight="1">
      <c r="A4705" s="4" t="s">
        <v>10790</v>
      </c>
      <c r="B4705" s="5" t="s">
        <v>10790</v>
      </c>
      <c r="C4705" s="5" t="s">
        <v>35</v>
      </c>
      <c r="D4705" s="5" t="s">
        <v>36</v>
      </c>
      <c r="E4705" s="5" t="s">
        <v>539</v>
      </c>
      <c r="F4705" s="9">
        <v>97</v>
      </c>
      <c r="G4705" s="9">
        <v>1043</v>
      </c>
      <c r="H4705" s="5" t="s">
        <v>20</v>
      </c>
      <c r="I4705" s="5" t="s">
        <v>10791</v>
      </c>
      <c r="J4705" s="12" t="str">
        <f>HYPERLINK("https://www.boe.es/gazeta/dias/1805/12/03/pdfs/GMD-1805-97.pdf#page=7","Abrir facsímil")</f>
        <v>Abrir facsímil</v>
      </c>
      <c r="K4705" s="15" t="s">
        <v>22</v>
      </c>
    </row>
    <row r="4706" spans="1:11" ht="42" customHeight="1">
      <c r="A4706" s="4" t="s">
        <v>10792</v>
      </c>
      <c r="B4706" s="5" t="s">
        <v>10792</v>
      </c>
      <c r="C4706" s="5" t="s">
        <v>17</v>
      </c>
      <c r="D4706" s="5" t="s">
        <v>18</v>
      </c>
      <c r="E4706" s="5" t="s">
        <v>138</v>
      </c>
      <c r="F4706" s="9">
        <v>102</v>
      </c>
      <c r="G4706" s="9">
        <v>1104</v>
      </c>
      <c r="H4706" s="5" t="s">
        <v>20</v>
      </c>
      <c r="I4706" s="5" t="s">
        <v>10793</v>
      </c>
      <c r="J4706" s="12" t="str">
        <f>HYPERLINK("https://www.boe.es/gazeta/dias/1805/12/20/pdfs/GMD-1805-102.pdf#page=8","Abrir facsímil")</f>
        <v>Abrir facsímil</v>
      </c>
      <c r="K4706" s="15" t="s">
        <v>22</v>
      </c>
    </row>
    <row r="4707" spans="1:11" ht="42" customHeight="1">
      <c r="A4707" s="4" t="s">
        <v>10794</v>
      </c>
      <c r="B4707" s="5" t="s">
        <v>10794</v>
      </c>
      <c r="C4707" s="5" t="s">
        <v>17</v>
      </c>
      <c r="D4707" s="5" t="s">
        <v>18</v>
      </c>
      <c r="E4707" s="5" t="s">
        <v>365</v>
      </c>
      <c r="F4707" s="9">
        <v>3</v>
      </c>
      <c r="G4707" s="9">
        <v>30</v>
      </c>
      <c r="H4707" s="5" t="s">
        <v>20</v>
      </c>
      <c r="I4707" s="5" t="s">
        <v>10795</v>
      </c>
      <c r="J4707" s="12" t="str">
        <f>HYPERLINK("https://www.boe.es/gazeta/dias/1805/01/08/pdfs/GMD-1805-3.pdf#page=6","Abrir facsímil")</f>
        <v>Abrir facsímil</v>
      </c>
      <c r="K4707" s="15" t="s">
        <v>22</v>
      </c>
    </row>
    <row r="4708" spans="1:11" ht="42" customHeight="1">
      <c r="A4708" s="4" t="s">
        <v>10796</v>
      </c>
      <c r="B4708" s="5" t="s">
        <v>10796</v>
      </c>
      <c r="C4708" s="5" t="s">
        <v>35</v>
      </c>
      <c r="D4708" s="5" t="s">
        <v>36</v>
      </c>
      <c r="E4708" s="5" t="s">
        <v>422</v>
      </c>
      <c r="F4708" s="9">
        <v>74</v>
      </c>
      <c r="G4708" s="9">
        <v>786</v>
      </c>
      <c r="H4708" s="5" t="s">
        <v>20</v>
      </c>
      <c r="I4708" s="5" t="s">
        <v>10797</v>
      </c>
      <c r="J4708" s="12" t="str">
        <f>HYPERLINK("https://www.boe.es/gazeta/dias/1805/09/13/pdfs/GMD-1805-74.pdf#page=10","Abrir facsímil")</f>
        <v>Abrir facsímil</v>
      </c>
      <c r="K4708" s="15" t="s">
        <v>22</v>
      </c>
    </row>
    <row r="4709" spans="1:11" ht="42" customHeight="1">
      <c r="A4709" s="4" t="s">
        <v>10798</v>
      </c>
      <c r="B4709" s="5" t="s">
        <v>10798</v>
      </c>
      <c r="C4709" s="5" t="s">
        <v>17</v>
      </c>
      <c r="D4709" s="5" t="s">
        <v>18</v>
      </c>
      <c r="E4709" s="5" t="s">
        <v>711</v>
      </c>
      <c r="F4709" s="9">
        <v>63</v>
      </c>
      <c r="G4709" s="9">
        <v>671</v>
      </c>
      <c r="H4709" s="5" t="s">
        <v>20</v>
      </c>
      <c r="I4709" s="5" t="s">
        <v>10799</v>
      </c>
      <c r="J4709" s="12" t="str">
        <f>HYPERLINK("https://www.boe.es/gazeta/dias/1805/08/06/pdfs/GMD-1805-63.pdf#page=7","Abrir facsímil")</f>
        <v>Abrir facsímil</v>
      </c>
      <c r="K4709" s="15" t="s">
        <v>22</v>
      </c>
    </row>
    <row r="4710" spans="1:11" ht="42" customHeight="1">
      <c r="A4710" s="4" t="s">
        <v>10800</v>
      </c>
      <c r="B4710" s="5" t="s">
        <v>10801</v>
      </c>
      <c r="C4710" s="5" t="s">
        <v>17</v>
      </c>
      <c r="D4710" s="5" t="s">
        <v>18</v>
      </c>
      <c r="E4710" s="5" t="s">
        <v>226</v>
      </c>
      <c r="F4710" s="9">
        <v>73</v>
      </c>
      <c r="G4710" s="9">
        <v>776</v>
      </c>
      <c r="H4710" s="5" t="s">
        <v>20</v>
      </c>
      <c r="I4710" s="5" t="s">
        <v>10802</v>
      </c>
      <c r="J4710" s="12" t="str">
        <f>HYPERLINK("https://www.boe.es/gazeta/dias/1805/09/10/pdfs/GMD-1805-73.pdf#page=8","Abrir facsímil")</f>
        <v>Abrir facsímil</v>
      </c>
      <c r="K4710" s="15" t="s">
        <v>22</v>
      </c>
    </row>
    <row r="4711" spans="1:11" ht="42" customHeight="1">
      <c r="A4711" s="4" t="s">
        <v>10803</v>
      </c>
      <c r="B4711" s="5" t="s">
        <v>10804</v>
      </c>
      <c r="C4711" s="5" t="s">
        <v>184</v>
      </c>
      <c r="D4711" s="5" t="s">
        <v>86</v>
      </c>
      <c r="E4711" s="5" t="s">
        <v>144</v>
      </c>
      <c r="F4711" s="9">
        <v>85</v>
      </c>
      <c r="G4711" s="9">
        <v>903</v>
      </c>
      <c r="H4711" s="5" t="s">
        <v>20</v>
      </c>
      <c r="I4711" s="5" t="s">
        <v>10805</v>
      </c>
      <c r="J4711" s="12" t="str">
        <f>HYPERLINK("https://www.boe.es/gazeta/dias/1805/10/22/pdfs/GMD-1805-85.pdf#page=11","Abrir facsímil")</f>
        <v>Abrir facsímil</v>
      </c>
      <c r="K4711" s="15" t="s">
        <v>22</v>
      </c>
    </row>
    <row r="4712" spans="1:11" ht="42" customHeight="1">
      <c r="A4712" s="4" t="s">
        <v>10806</v>
      </c>
      <c r="B4712" s="5" t="s">
        <v>10807</v>
      </c>
      <c r="C4712" s="5" t="s">
        <v>85</v>
      </c>
      <c r="D4712" s="5" t="s">
        <v>86</v>
      </c>
      <c r="E4712" s="5" t="s">
        <v>170</v>
      </c>
      <c r="F4712" s="9">
        <v>9</v>
      </c>
      <c r="G4712" s="9">
        <v>102</v>
      </c>
      <c r="H4712" s="5" t="s">
        <v>20</v>
      </c>
      <c r="I4712" s="5" t="s">
        <v>10808</v>
      </c>
      <c r="J4712" s="12" t="str">
        <f>HYPERLINK("https://www.boe.es/gazeta/dias/1805/01/29/pdfs/GMD-1805-9.pdf#page=10","Abrir facsímil")</f>
        <v>Abrir facsímil</v>
      </c>
      <c r="K4712" s="15" t="s">
        <v>22</v>
      </c>
    </row>
    <row r="4713" spans="1:11" ht="42" customHeight="1">
      <c r="A4713" s="4" t="s">
        <v>10806</v>
      </c>
      <c r="B4713" s="5" t="s">
        <v>10807</v>
      </c>
      <c r="C4713" s="5" t="s">
        <v>184</v>
      </c>
      <c r="D4713" s="5" t="s">
        <v>86</v>
      </c>
      <c r="E4713" s="5" t="s">
        <v>71</v>
      </c>
      <c r="F4713" s="9">
        <v>33</v>
      </c>
      <c r="G4713" s="9">
        <v>355</v>
      </c>
      <c r="H4713" s="5" t="s">
        <v>20</v>
      </c>
      <c r="I4713" s="5" t="s">
        <v>10809</v>
      </c>
      <c r="J4713" s="12" t="str">
        <f>HYPERLINK("https://www.boe.es/gazeta/dias/1805/04/23/pdfs/GMD-1805-33.pdf#page=11","Abrir facsímil")</f>
        <v>Abrir facsímil</v>
      </c>
      <c r="K4713" s="15" t="s">
        <v>22</v>
      </c>
    </row>
    <row r="4714" spans="1:11" ht="42" customHeight="1">
      <c r="A4714" s="4" t="s">
        <v>10806</v>
      </c>
      <c r="B4714" s="5" t="s">
        <v>10807</v>
      </c>
      <c r="C4714" s="5" t="s">
        <v>184</v>
      </c>
      <c r="D4714" s="5" t="s">
        <v>86</v>
      </c>
      <c r="E4714" s="5" t="s">
        <v>399</v>
      </c>
      <c r="F4714" s="9">
        <v>39</v>
      </c>
      <c r="G4714" s="9">
        <v>424</v>
      </c>
      <c r="H4714" s="5" t="s">
        <v>20</v>
      </c>
      <c r="I4714" s="5" t="s">
        <v>10810</v>
      </c>
      <c r="J4714" s="12" t="str">
        <f>HYPERLINK("https://www.boe.es/gazeta/dias/1805/05/14/pdfs/GMD-1805-39.pdf#page=12","Abrir facsímil")</f>
        <v>Abrir facsímil</v>
      </c>
      <c r="K4714" s="15" t="s">
        <v>22</v>
      </c>
    </row>
    <row r="4715" spans="1:11" ht="42" customHeight="1">
      <c r="A4715" s="4" t="s">
        <v>10806</v>
      </c>
      <c r="B4715" s="5" t="s">
        <v>10807</v>
      </c>
      <c r="C4715" s="5" t="s">
        <v>184</v>
      </c>
      <c r="D4715" s="5" t="s">
        <v>86</v>
      </c>
      <c r="E4715" s="5" t="s">
        <v>1187</v>
      </c>
      <c r="F4715" s="9">
        <v>40</v>
      </c>
      <c r="G4715" s="9">
        <v>431</v>
      </c>
      <c r="H4715" s="5" t="s">
        <v>20</v>
      </c>
      <c r="I4715" s="5" t="s">
        <v>10811</v>
      </c>
      <c r="J4715" s="12" t="str">
        <f>HYPERLINK("https://www.boe.es/gazeta/dias/1805/05/17/pdfs/GMD-1805-40.pdf#page=7","Abrir facsímil")</f>
        <v>Abrir facsímil</v>
      </c>
      <c r="K4715" s="15" t="s">
        <v>22</v>
      </c>
    </row>
    <row r="4716" spans="1:11" ht="42" customHeight="1">
      <c r="A4716" s="4" t="s">
        <v>10806</v>
      </c>
      <c r="B4716" s="5" t="s">
        <v>10807</v>
      </c>
      <c r="C4716" s="5" t="s">
        <v>184</v>
      </c>
      <c r="D4716" s="5" t="s">
        <v>86</v>
      </c>
      <c r="E4716" s="5" t="s">
        <v>904</v>
      </c>
      <c r="F4716" s="9">
        <v>47</v>
      </c>
      <c r="G4716" s="9">
        <v>510</v>
      </c>
      <c r="H4716" s="5" t="s">
        <v>20</v>
      </c>
      <c r="I4716" s="5" t="s">
        <v>10812</v>
      </c>
      <c r="J4716" s="12" t="str">
        <f>HYPERLINK("https://www.boe.es/gazeta/dias/1805/06/11/pdfs/GMD-1805-47.pdf#page=10","Abrir facsímil")</f>
        <v>Abrir facsímil</v>
      </c>
      <c r="K4716" s="15" t="s">
        <v>22</v>
      </c>
    </row>
    <row r="4717" spans="1:11" ht="42" customHeight="1">
      <c r="A4717" s="4" t="s">
        <v>10806</v>
      </c>
      <c r="B4717" s="5" t="s">
        <v>10807</v>
      </c>
      <c r="C4717" s="5" t="s">
        <v>35</v>
      </c>
      <c r="D4717" s="5" t="s">
        <v>36</v>
      </c>
      <c r="E4717" s="5" t="s">
        <v>40</v>
      </c>
      <c r="F4717" s="9">
        <v>59</v>
      </c>
      <c r="G4717" s="9">
        <v>634</v>
      </c>
      <c r="H4717" s="5" t="s">
        <v>20</v>
      </c>
      <c r="I4717" s="5" t="s">
        <v>10813</v>
      </c>
      <c r="J4717" s="12" t="str">
        <f>HYPERLINK("https://www.boe.es/gazeta/dias/1805/07/23/pdfs/GMD-1805-59.pdf#page=10","Abrir facsímil")</f>
        <v>Abrir facsímil</v>
      </c>
      <c r="K4717" s="15" t="s">
        <v>22</v>
      </c>
    </row>
    <row r="4718" spans="1:11" ht="42" customHeight="1">
      <c r="A4718" s="4" t="s">
        <v>10806</v>
      </c>
      <c r="B4718" s="5" t="s">
        <v>10807</v>
      </c>
      <c r="C4718" s="5" t="s">
        <v>29</v>
      </c>
      <c r="D4718" s="5" t="s">
        <v>30</v>
      </c>
      <c r="E4718" s="5" t="s">
        <v>31</v>
      </c>
      <c r="F4718" s="9">
        <v>65</v>
      </c>
      <c r="G4718" s="9">
        <v>697</v>
      </c>
      <c r="H4718" s="5" t="s">
        <v>20</v>
      </c>
      <c r="I4718" s="5" t="s">
        <v>10814</v>
      </c>
      <c r="J4718" s="12" t="str">
        <f>HYPERLINK("https://www.boe.es/gazeta/dias/1805/08/13/pdfs/GMD-1805-65.pdf#page=9","Abrir facsímil")</f>
        <v>Abrir facsímil</v>
      </c>
      <c r="K4718" s="15" t="s">
        <v>22</v>
      </c>
    </row>
    <row r="4719" spans="1:11" ht="42" customHeight="1">
      <c r="A4719" s="4" t="s">
        <v>10806</v>
      </c>
      <c r="B4719" s="5" t="s">
        <v>10807</v>
      </c>
      <c r="C4719" s="5" t="s">
        <v>184</v>
      </c>
      <c r="D4719" s="5" t="s">
        <v>86</v>
      </c>
      <c r="E4719" s="5" t="s">
        <v>300</v>
      </c>
      <c r="F4719" s="9">
        <v>81</v>
      </c>
      <c r="G4719" s="9">
        <v>859</v>
      </c>
      <c r="H4719" s="5" t="s">
        <v>20</v>
      </c>
      <c r="I4719" s="5" t="s">
        <v>10815</v>
      </c>
      <c r="J4719" s="12" t="str">
        <f>HYPERLINK("https://www.boe.es/gazeta/dias/1805/10/08/pdfs/GMD-1805-81.pdf#page=7","Abrir facsímil")</f>
        <v>Abrir facsímil</v>
      </c>
      <c r="K4719" s="15" t="s">
        <v>22</v>
      </c>
    </row>
    <row r="4720" spans="1:11" ht="42" customHeight="1">
      <c r="A4720" s="4" t="s">
        <v>10806</v>
      </c>
      <c r="B4720" s="5" t="s">
        <v>10807</v>
      </c>
      <c r="C4720" s="5" t="s">
        <v>184</v>
      </c>
      <c r="D4720" s="5" t="s">
        <v>86</v>
      </c>
      <c r="E4720" s="5" t="s">
        <v>63</v>
      </c>
      <c r="F4720" s="9">
        <v>101</v>
      </c>
      <c r="G4720" s="9">
        <v>1094</v>
      </c>
      <c r="H4720" s="5" t="s">
        <v>20</v>
      </c>
      <c r="I4720" s="5" t="s">
        <v>10816</v>
      </c>
      <c r="J4720" s="12" t="str">
        <f>HYPERLINK("https://www.boe.es/gazeta/dias/1805/12/17/pdfs/GMD-1805-101.pdf#page=10","Abrir facsímil")</f>
        <v>Abrir facsímil</v>
      </c>
      <c r="K4720" s="15" t="s">
        <v>22</v>
      </c>
    </row>
    <row r="4721" spans="1:11" ht="42" customHeight="1">
      <c r="A4721" s="4" t="s">
        <v>10817</v>
      </c>
      <c r="B4721" s="5" t="s">
        <v>10818</v>
      </c>
      <c r="C4721" s="5" t="s">
        <v>17</v>
      </c>
      <c r="D4721" s="5" t="s">
        <v>18</v>
      </c>
      <c r="E4721" s="5" t="s">
        <v>192</v>
      </c>
      <c r="F4721" s="9">
        <v>105</v>
      </c>
      <c r="G4721" s="9">
        <v>1139</v>
      </c>
      <c r="H4721" s="5" t="s">
        <v>20</v>
      </c>
      <c r="I4721" s="5" t="s">
        <v>10819</v>
      </c>
      <c r="J4721" s="12" t="str">
        <f>HYPERLINK("https://www.boe.es/gazeta/dias/1805/12/31/pdfs/GMD-1805-105.pdf#page=11","Abrir facsímil")</f>
        <v>Abrir facsímil</v>
      </c>
      <c r="K4721" s="15" t="s">
        <v>22</v>
      </c>
    </row>
    <row r="4722" spans="1:11" ht="42" customHeight="1">
      <c r="A4722" s="4" t="s">
        <v>10820</v>
      </c>
      <c r="B4722" s="5" t="s">
        <v>10821</v>
      </c>
      <c r="C4722" s="5" t="s">
        <v>85</v>
      </c>
      <c r="D4722" s="5" t="s">
        <v>86</v>
      </c>
      <c r="E4722" s="5" t="s">
        <v>904</v>
      </c>
      <c r="F4722" s="9">
        <v>47</v>
      </c>
      <c r="G4722" s="9">
        <v>509</v>
      </c>
      <c r="H4722" s="5" t="s">
        <v>20</v>
      </c>
      <c r="I4722" s="5" t="s">
        <v>10822</v>
      </c>
      <c r="J4722" s="12" t="str">
        <f>HYPERLINK("https://www.boe.es/gazeta/dias/1805/06/11/pdfs/GMD-1805-47.pdf#page=9","Abrir facsímil")</f>
        <v>Abrir facsímil</v>
      </c>
      <c r="K4722" s="15" t="s">
        <v>22</v>
      </c>
    </row>
    <row r="4723" spans="1:11" ht="42" customHeight="1">
      <c r="A4723" s="4" t="s">
        <v>10823</v>
      </c>
      <c r="B4723" s="5" t="s">
        <v>10824</v>
      </c>
      <c r="C4723" s="5" t="s">
        <v>17</v>
      </c>
      <c r="D4723" s="5" t="s">
        <v>18</v>
      </c>
      <c r="E4723" s="5" t="s">
        <v>128</v>
      </c>
      <c r="F4723" s="9">
        <v>23</v>
      </c>
      <c r="G4723" s="9">
        <v>245</v>
      </c>
      <c r="H4723" s="5" t="s">
        <v>20</v>
      </c>
      <c r="I4723" s="5" t="s">
        <v>10825</v>
      </c>
      <c r="J4723" s="12" t="str">
        <f>HYPERLINK("https://www.boe.es/gazeta/dias/1805/03/19/pdfs/GMD-1805-23.pdf#page=9","Abrir facsímil")</f>
        <v>Abrir facsímil</v>
      </c>
      <c r="K4723" s="15" t="s">
        <v>22</v>
      </c>
    </row>
    <row r="4724" spans="1:11" ht="42" customHeight="1">
      <c r="A4724" s="4" t="s">
        <v>10826</v>
      </c>
      <c r="B4724" s="5" t="s">
        <v>10827</v>
      </c>
      <c r="C4724" s="5" t="s">
        <v>29</v>
      </c>
      <c r="D4724" s="5" t="s">
        <v>30</v>
      </c>
      <c r="E4724" s="5" t="s">
        <v>1445</v>
      </c>
      <c r="F4724" s="9">
        <v>6</v>
      </c>
      <c r="G4724" s="9">
        <v>66</v>
      </c>
      <c r="H4724" s="5" t="s">
        <v>20</v>
      </c>
      <c r="I4724" s="5" t="s">
        <v>10828</v>
      </c>
      <c r="J4724" s="12" t="str">
        <f>HYPERLINK("https://www.boe.es/gazeta/dias/1805/01/18/pdfs/GMD-1805-6.pdf#page=10","Abrir facsímil")</f>
        <v>Abrir facsímil</v>
      </c>
      <c r="K4724" s="15" t="s">
        <v>22</v>
      </c>
    </row>
    <row r="4725" spans="1:11" ht="42" customHeight="1">
      <c r="A4725" s="4" t="s">
        <v>10826</v>
      </c>
      <c r="B4725" s="5" t="s">
        <v>10827</v>
      </c>
      <c r="C4725" s="5" t="s">
        <v>29</v>
      </c>
      <c r="D4725" s="5" t="s">
        <v>30</v>
      </c>
      <c r="E4725" s="5" t="s">
        <v>327</v>
      </c>
      <c r="F4725" s="9">
        <v>10</v>
      </c>
      <c r="G4725" s="9">
        <v>110</v>
      </c>
      <c r="H4725" s="5" t="s">
        <v>20</v>
      </c>
      <c r="I4725" s="5" t="s">
        <v>10829</v>
      </c>
      <c r="J4725" s="12" t="str">
        <f>HYPERLINK("https://www.boe.es/gazeta/dias/1805/02/01/pdfs/GMD-1805-10.pdf#page=6","Abrir facsímil")</f>
        <v>Abrir facsímil</v>
      </c>
      <c r="K4725" s="15" t="s">
        <v>22</v>
      </c>
    </row>
    <row r="4726" spans="1:11" ht="42" customHeight="1">
      <c r="A4726" s="4" t="s">
        <v>10826</v>
      </c>
      <c r="B4726" s="5" t="s">
        <v>10827</v>
      </c>
      <c r="C4726" s="5" t="s">
        <v>17</v>
      </c>
      <c r="D4726" s="5" t="s">
        <v>18</v>
      </c>
      <c r="E4726" s="5" t="s">
        <v>114</v>
      </c>
      <c r="F4726" s="9">
        <v>17</v>
      </c>
      <c r="G4726" s="9">
        <v>177</v>
      </c>
      <c r="H4726" s="5" t="s">
        <v>20</v>
      </c>
      <c r="I4726" s="5" t="s">
        <v>10830</v>
      </c>
      <c r="J4726" s="12" t="str">
        <f>HYPERLINK("https://www.boe.es/gazeta/dias/1805/02/26/pdfs/GMD-1805-17.pdf#page=9","Abrir facsímil")</f>
        <v>Abrir facsímil</v>
      </c>
      <c r="K4726" s="15" t="s">
        <v>22</v>
      </c>
    </row>
    <row r="4727" spans="1:11" ht="42" customHeight="1">
      <c r="A4727" s="4" t="s">
        <v>10826</v>
      </c>
      <c r="B4727" s="5" t="s">
        <v>10827</v>
      </c>
      <c r="C4727" s="5" t="s">
        <v>29</v>
      </c>
      <c r="D4727" s="5" t="s">
        <v>30</v>
      </c>
      <c r="E4727" s="5" t="s">
        <v>117</v>
      </c>
      <c r="F4727" s="9">
        <v>20</v>
      </c>
      <c r="G4727" s="9">
        <v>210</v>
      </c>
      <c r="H4727" s="5" t="s">
        <v>20</v>
      </c>
      <c r="I4727" s="5" t="s">
        <v>10831</v>
      </c>
      <c r="J4727" s="12" t="str">
        <f>HYPERLINK("https://www.boe.es/gazeta/dias/1805/03/08/pdfs/GMD-1805-20.pdf#page=10","Abrir facsímil")</f>
        <v>Abrir facsímil</v>
      </c>
      <c r="K4727" s="15" t="s">
        <v>22</v>
      </c>
    </row>
    <row r="4728" spans="1:11" ht="42" customHeight="1">
      <c r="A4728" s="4" t="s">
        <v>10826</v>
      </c>
      <c r="B4728" s="5" t="s">
        <v>10827</v>
      </c>
      <c r="C4728" s="5" t="s">
        <v>29</v>
      </c>
      <c r="D4728" s="5" t="s">
        <v>30</v>
      </c>
      <c r="E4728" s="5" t="s">
        <v>471</v>
      </c>
      <c r="F4728" s="9">
        <v>22</v>
      </c>
      <c r="G4728" s="9">
        <v>234</v>
      </c>
      <c r="H4728" s="5" t="s">
        <v>20</v>
      </c>
      <c r="I4728" s="5" t="s">
        <v>10832</v>
      </c>
      <c r="J4728" s="12" t="str">
        <f>HYPERLINK("https://www.boe.es/gazeta/dias/1805/03/15/pdfs/GMD-1805-22.pdf#page=10","Abrir facsímil")</f>
        <v>Abrir facsímil</v>
      </c>
      <c r="K4728" s="15" t="s">
        <v>22</v>
      </c>
    </row>
    <row r="4729" spans="1:11" ht="42" customHeight="1">
      <c r="A4729" s="4" t="s">
        <v>10826</v>
      </c>
      <c r="B4729" s="5" t="s">
        <v>10827</v>
      </c>
      <c r="C4729" s="5" t="s">
        <v>29</v>
      </c>
      <c r="D4729" s="5" t="s">
        <v>30</v>
      </c>
      <c r="E4729" s="5" t="s">
        <v>120</v>
      </c>
      <c r="F4729" s="9">
        <v>24</v>
      </c>
      <c r="G4729" s="9">
        <v>259</v>
      </c>
      <c r="H4729" s="5" t="s">
        <v>20</v>
      </c>
      <c r="I4729" s="5" t="s">
        <v>10833</v>
      </c>
      <c r="J4729" s="12" t="str">
        <f>HYPERLINK("https://www.boe.es/gazeta/dias/1805/03/22/pdfs/GMD-1805-24.pdf#page=11","Abrir facsímil")</f>
        <v>Abrir facsímil</v>
      </c>
      <c r="K4729" s="15" t="s">
        <v>22</v>
      </c>
    </row>
    <row r="4730" spans="1:11" ht="42" customHeight="1">
      <c r="A4730" s="4" t="s">
        <v>10826</v>
      </c>
      <c r="B4730" s="5" t="s">
        <v>10827</v>
      </c>
      <c r="C4730" s="5" t="s">
        <v>29</v>
      </c>
      <c r="D4730" s="5" t="s">
        <v>30</v>
      </c>
      <c r="E4730" s="5" t="s">
        <v>44</v>
      </c>
      <c r="F4730" s="9">
        <v>29</v>
      </c>
      <c r="G4730" s="9">
        <v>313</v>
      </c>
      <c r="H4730" s="5" t="s">
        <v>20</v>
      </c>
      <c r="I4730" s="5" t="s">
        <v>10834</v>
      </c>
      <c r="J4730" s="12" t="str">
        <f>HYPERLINK("https://www.boe.es/gazeta/dias/1805/04/09/pdfs/GMD-1805-29.pdf#page=9","Abrir facsímil")</f>
        <v>Abrir facsímil</v>
      </c>
      <c r="K4730" s="15" t="s">
        <v>22</v>
      </c>
    </row>
    <row r="4731" spans="1:11" ht="42" customHeight="1">
      <c r="A4731" s="4" t="s">
        <v>10826</v>
      </c>
      <c r="B4731" s="5" t="s">
        <v>10827</v>
      </c>
      <c r="C4731" s="5" t="s">
        <v>29</v>
      </c>
      <c r="D4731" s="5" t="s">
        <v>30</v>
      </c>
      <c r="E4731" s="5" t="s">
        <v>71</v>
      </c>
      <c r="F4731" s="9">
        <v>33</v>
      </c>
      <c r="G4731" s="9">
        <v>354</v>
      </c>
      <c r="H4731" s="5" t="s">
        <v>20</v>
      </c>
      <c r="I4731" s="5" t="s">
        <v>10835</v>
      </c>
      <c r="J4731" s="12" t="str">
        <f>HYPERLINK("https://www.boe.es/gazeta/dias/1805/04/23/pdfs/GMD-1805-33.pdf#page=10","Abrir facsímil")</f>
        <v>Abrir facsímil</v>
      </c>
      <c r="K4731" s="15" t="s">
        <v>22</v>
      </c>
    </row>
    <row r="4732" spans="1:11" ht="42" customHeight="1">
      <c r="A4732" s="4" t="s">
        <v>10826</v>
      </c>
      <c r="B4732" s="5" t="s">
        <v>10827</v>
      </c>
      <c r="C4732" s="5" t="s">
        <v>29</v>
      </c>
      <c r="D4732" s="5" t="s">
        <v>30</v>
      </c>
      <c r="E4732" s="5" t="s">
        <v>399</v>
      </c>
      <c r="F4732" s="9">
        <v>39</v>
      </c>
      <c r="G4732" s="9">
        <v>423</v>
      </c>
      <c r="H4732" s="5" t="s">
        <v>20</v>
      </c>
      <c r="I4732" s="5" t="s">
        <v>10836</v>
      </c>
      <c r="J4732" s="12" t="str">
        <f>HYPERLINK("https://www.boe.es/gazeta/dias/1805/05/14/pdfs/GMD-1805-39.pdf#page=11","Abrir facsímil")</f>
        <v>Abrir facsímil</v>
      </c>
      <c r="K4732" s="15" t="s">
        <v>22</v>
      </c>
    </row>
    <row r="4733" spans="1:11" ht="42" customHeight="1">
      <c r="A4733" s="4" t="s">
        <v>10826</v>
      </c>
      <c r="B4733" s="5" t="s">
        <v>10827</v>
      </c>
      <c r="C4733" s="5" t="s">
        <v>29</v>
      </c>
      <c r="D4733" s="5" t="s">
        <v>30</v>
      </c>
      <c r="E4733" s="5" t="s">
        <v>850</v>
      </c>
      <c r="F4733" s="9">
        <v>42</v>
      </c>
      <c r="G4733" s="9">
        <v>453</v>
      </c>
      <c r="H4733" s="5" t="s">
        <v>20</v>
      </c>
      <c r="I4733" s="5" t="s">
        <v>10837</v>
      </c>
      <c r="J4733" s="12" t="str">
        <f>HYPERLINK("https://www.boe.es/gazeta/dias/1805/05/24/pdfs/GMD-1805-42.pdf#page=9","Abrir facsímil")</f>
        <v>Abrir facsímil</v>
      </c>
      <c r="K4733" s="15" t="s">
        <v>22</v>
      </c>
    </row>
    <row r="4734" spans="1:11" ht="42" customHeight="1">
      <c r="A4734" s="4" t="s">
        <v>10826</v>
      </c>
      <c r="B4734" s="5" t="s">
        <v>10827</v>
      </c>
      <c r="C4734" s="5" t="s">
        <v>29</v>
      </c>
      <c r="D4734" s="5" t="s">
        <v>30</v>
      </c>
      <c r="E4734" s="5" t="s">
        <v>854</v>
      </c>
      <c r="F4734" s="9">
        <v>46</v>
      </c>
      <c r="G4734" s="9">
        <v>499</v>
      </c>
      <c r="H4734" s="5" t="s">
        <v>20</v>
      </c>
      <c r="I4734" s="5" t="s">
        <v>10838</v>
      </c>
      <c r="J4734" s="12" t="str">
        <f>HYPERLINK("https://www.boe.es/gazeta/dias/1805/06/07/pdfs/GMD-1805-46.pdf#page=11","Abrir facsímil")</f>
        <v>Abrir facsímil</v>
      </c>
      <c r="K4734" s="15" t="s">
        <v>22</v>
      </c>
    </row>
    <row r="4735" spans="1:11" ht="42" customHeight="1">
      <c r="A4735" s="4" t="s">
        <v>10826</v>
      </c>
      <c r="B4735" s="5" t="s">
        <v>10827</v>
      </c>
      <c r="C4735" s="5" t="s">
        <v>29</v>
      </c>
      <c r="D4735" s="5" t="s">
        <v>30</v>
      </c>
      <c r="E4735" s="5" t="s">
        <v>213</v>
      </c>
      <c r="F4735" s="9">
        <v>56</v>
      </c>
      <c r="G4735" s="9">
        <v>603</v>
      </c>
      <c r="H4735" s="5" t="s">
        <v>20</v>
      </c>
      <c r="I4735" s="5" t="s">
        <v>10839</v>
      </c>
      <c r="J4735" s="12" t="str">
        <f>HYPERLINK("https://www.boe.es/gazeta/dias/1805/07/12/pdfs/GMD-1805-56.pdf#page=11","Abrir facsímil")</f>
        <v>Abrir facsímil</v>
      </c>
      <c r="K4735" s="15" t="s">
        <v>22</v>
      </c>
    </row>
    <row r="4736" spans="1:11" ht="42" customHeight="1">
      <c r="A4736" s="4" t="s">
        <v>10826</v>
      </c>
      <c r="B4736" s="5" t="s">
        <v>10827</v>
      </c>
      <c r="C4736" s="5" t="s">
        <v>29</v>
      </c>
      <c r="D4736" s="5" t="s">
        <v>30</v>
      </c>
      <c r="E4736" s="5" t="s">
        <v>958</v>
      </c>
      <c r="F4736" s="9">
        <v>58</v>
      </c>
      <c r="G4736" s="9">
        <v>622</v>
      </c>
      <c r="H4736" s="5" t="s">
        <v>20</v>
      </c>
      <c r="I4736" s="5" t="s">
        <v>10840</v>
      </c>
      <c r="J4736" s="12" t="str">
        <f>HYPERLINK("https://www.boe.es/gazeta/dias/1805/07/19/pdfs/GMD-1805-58.pdf#page=6","Abrir facsímil")</f>
        <v>Abrir facsímil</v>
      </c>
      <c r="K4736" s="15" t="s">
        <v>22</v>
      </c>
    </row>
    <row r="4737" spans="1:11" ht="42" customHeight="1">
      <c r="A4737" s="4" t="s">
        <v>10826</v>
      </c>
      <c r="B4737" s="5" t="s">
        <v>10827</v>
      </c>
      <c r="C4737" s="5" t="s">
        <v>35</v>
      </c>
      <c r="D4737" s="5" t="s">
        <v>36</v>
      </c>
      <c r="E4737" s="5" t="s">
        <v>729</v>
      </c>
      <c r="F4737" s="9">
        <v>61</v>
      </c>
      <c r="G4737" s="9">
        <v>656</v>
      </c>
      <c r="H4737" s="5" t="s">
        <v>20</v>
      </c>
      <c r="I4737" s="5" t="s">
        <v>10841</v>
      </c>
      <c r="J4737" s="12" t="str">
        <f>HYPERLINK("https://www.boe.es/gazeta/dias/1805/07/30/pdfs/GMD-1805-61.pdf#page=8","Abrir facsímil")</f>
        <v>Abrir facsímil</v>
      </c>
      <c r="K4737" s="15" t="s">
        <v>22</v>
      </c>
    </row>
    <row r="4738" spans="1:11" ht="42" customHeight="1">
      <c r="A4738" s="4" t="s">
        <v>10826</v>
      </c>
      <c r="B4738" s="5" t="s">
        <v>10827</v>
      </c>
      <c r="C4738" s="5" t="s">
        <v>29</v>
      </c>
      <c r="D4738" s="5" t="s">
        <v>30</v>
      </c>
      <c r="E4738" s="5" t="s">
        <v>31</v>
      </c>
      <c r="F4738" s="9">
        <v>65</v>
      </c>
      <c r="G4738" s="9">
        <v>697</v>
      </c>
      <c r="H4738" s="5" t="s">
        <v>20</v>
      </c>
      <c r="I4738" s="5" t="s">
        <v>10842</v>
      </c>
      <c r="J4738" s="12" t="str">
        <f>HYPERLINK("https://www.boe.es/gazeta/dias/1805/08/13/pdfs/GMD-1805-65.pdf#page=9","Abrir facsímil")</f>
        <v>Abrir facsímil</v>
      </c>
      <c r="K4738" s="15" t="s">
        <v>22</v>
      </c>
    </row>
    <row r="4739" spans="1:11" ht="42" customHeight="1">
      <c r="A4739" s="4" t="s">
        <v>10826</v>
      </c>
      <c r="B4739" s="5" t="s">
        <v>10827</v>
      </c>
      <c r="C4739" s="5" t="s">
        <v>29</v>
      </c>
      <c r="D4739" s="5" t="s">
        <v>30</v>
      </c>
      <c r="E4739" s="5" t="s">
        <v>196</v>
      </c>
      <c r="F4739" s="9">
        <v>67</v>
      </c>
      <c r="G4739" s="9">
        <v>719</v>
      </c>
      <c r="H4739" s="5" t="s">
        <v>20</v>
      </c>
      <c r="I4739" s="5" t="s">
        <v>10843</v>
      </c>
      <c r="J4739" s="12" t="str">
        <f>HYPERLINK("https://www.boe.es/gazeta/dias/1805/08/20/pdfs/GMD-1805-67.pdf#page=7","Abrir facsímil")</f>
        <v>Abrir facsímil</v>
      </c>
      <c r="K4739" s="15" t="s">
        <v>22</v>
      </c>
    </row>
    <row r="4740" spans="1:11" ht="42" customHeight="1">
      <c r="A4740" s="4" t="s">
        <v>10826</v>
      </c>
      <c r="B4740" s="5" t="s">
        <v>10827</v>
      </c>
      <c r="C4740" s="5" t="s">
        <v>29</v>
      </c>
      <c r="D4740" s="5" t="s">
        <v>30</v>
      </c>
      <c r="E4740" s="5" t="s">
        <v>163</v>
      </c>
      <c r="F4740" s="9">
        <v>77</v>
      </c>
      <c r="G4740" s="9">
        <v>818</v>
      </c>
      <c r="H4740" s="5" t="s">
        <v>20</v>
      </c>
      <c r="I4740" s="5" t="s">
        <v>10844</v>
      </c>
      <c r="J4740" s="12" t="str">
        <f>HYPERLINK("https://www.boe.es/gazeta/dias/1805/09/24/pdfs/GMD-1805-77.pdf#page=10","Abrir facsímil")</f>
        <v>Abrir facsímil</v>
      </c>
      <c r="K4740" s="15" t="s">
        <v>22</v>
      </c>
    </row>
    <row r="4741" spans="1:11" ht="42" customHeight="1">
      <c r="A4741" s="4" t="s">
        <v>10826</v>
      </c>
      <c r="B4741" s="5" t="s">
        <v>10827</v>
      </c>
      <c r="C4741" s="5" t="s">
        <v>29</v>
      </c>
      <c r="D4741" s="5" t="s">
        <v>30</v>
      </c>
      <c r="E4741" s="5" t="s">
        <v>506</v>
      </c>
      <c r="F4741" s="9">
        <v>80</v>
      </c>
      <c r="G4741" s="9">
        <v>850</v>
      </c>
      <c r="H4741" s="5" t="s">
        <v>20</v>
      </c>
      <c r="I4741" s="5" t="s">
        <v>10845</v>
      </c>
      <c r="J4741" s="12" t="str">
        <f>HYPERLINK("https://www.boe.es/gazeta/dias/1805/10/04/pdfs/GMD-1805-80.pdf#page=10","Abrir facsímil")</f>
        <v>Abrir facsímil</v>
      </c>
      <c r="K4741" s="15" t="s">
        <v>22</v>
      </c>
    </row>
    <row r="4742" spans="1:11" ht="42" customHeight="1">
      <c r="A4742" s="4" t="s">
        <v>10826</v>
      </c>
      <c r="B4742" s="5" t="s">
        <v>10827</v>
      </c>
      <c r="C4742" s="5" t="s">
        <v>29</v>
      </c>
      <c r="D4742" s="5" t="s">
        <v>30</v>
      </c>
      <c r="E4742" s="5" t="s">
        <v>215</v>
      </c>
      <c r="F4742" s="9">
        <v>87</v>
      </c>
      <c r="G4742" s="9">
        <v>927</v>
      </c>
      <c r="H4742" s="5" t="s">
        <v>20</v>
      </c>
      <c r="I4742" s="5" t="s">
        <v>10846</v>
      </c>
      <c r="J4742" s="12" t="str">
        <f>HYPERLINK("https://www.boe.es/gazeta/dias/1805/10/29/pdfs/GMD-1805-87.pdf#page=11","Abrir facsímil")</f>
        <v>Abrir facsímil</v>
      </c>
      <c r="K4742" s="15" t="s">
        <v>22</v>
      </c>
    </row>
    <row r="4743" spans="1:11" ht="42" customHeight="1">
      <c r="A4743" s="4" t="s">
        <v>10826</v>
      </c>
      <c r="B4743" s="5" t="s">
        <v>10827</v>
      </c>
      <c r="C4743" s="5" t="s">
        <v>17</v>
      </c>
      <c r="D4743" s="5" t="s">
        <v>18</v>
      </c>
      <c r="E4743" s="5" t="s">
        <v>817</v>
      </c>
      <c r="F4743" s="9">
        <v>92</v>
      </c>
      <c r="G4743" s="9">
        <v>988</v>
      </c>
      <c r="H4743" s="5" t="s">
        <v>20</v>
      </c>
      <c r="I4743" s="5" t="s">
        <v>10847</v>
      </c>
      <c r="J4743" s="12" t="str">
        <f>HYPERLINK("https://www.boe.es/gazeta/dias/1805/11/15/pdfs/GMD-1805-92.pdf#page=8","Abrir facsímil")</f>
        <v>Abrir facsímil</v>
      </c>
      <c r="K4743" s="15" t="s">
        <v>22</v>
      </c>
    </row>
    <row r="4744" spans="1:11" ht="42" customHeight="1">
      <c r="A4744" s="4" t="s">
        <v>10826</v>
      </c>
      <c r="B4744" s="5" t="s">
        <v>10827</v>
      </c>
      <c r="C4744" s="5" t="s">
        <v>29</v>
      </c>
      <c r="D4744" s="5" t="s">
        <v>30</v>
      </c>
      <c r="E4744" s="5" t="s">
        <v>67</v>
      </c>
      <c r="F4744" s="9">
        <v>98</v>
      </c>
      <c r="G4744" s="9">
        <v>1060</v>
      </c>
      <c r="H4744" s="5" t="s">
        <v>20</v>
      </c>
      <c r="I4744" s="5" t="s">
        <v>10848</v>
      </c>
      <c r="J4744" s="12" t="str">
        <f>HYPERLINK("https://www.boe.es/gazeta/dias/1805/12/06/pdfs/GMD-1805-98.pdf#page=12","Abrir facsímil")</f>
        <v>Abrir facsímil</v>
      </c>
      <c r="K4744" s="15" t="s">
        <v>22</v>
      </c>
    </row>
    <row r="4745" spans="1:11" ht="42" customHeight="1">
      <c r="A4745" s="4" t="s">
        <v>10826</v>
      </c>
      <c r="B4745" s="5" t="s">
        <v>10827</v>
      </c>
      <c r="C4745" s="5" t="s">
        <v>35</v>
      </c>
      <c r="D4745" s="5" t="s">
        <v>36</v>
      </c>
      <c r="E4745" s="5" t="s">
        <v>789</v>
      </c>
      <c r="F4745" s="9">
        <v>104</v>
      </c>
      <c r="G4745" s="9">
        <v>1128</v>
      </c>
      <c r="H4745" s="5" t="s">
        <v>20</v>
      </c>
      <c r="I4745" s="5" t="s">
        <v>10849</v>
      </c>
      <c r="J4745" s="12" t="str">
        <f>HYPERLINK("https://www.boe.es/gazeta/dias/1805/12/27/pdfs/GMD-1805-104.pdf#page=12","Abrir facsímil")</f>
        <v>Abrir facsímil</v>
      </c>
      <c r="K4745" s="15" t="s">
        <v>22</v>
      </c>
    </row>
    <row r="4746" spans="1:11" ht="42" customHeight="1">
      <c r="A4746" s="4" t="s">
        <v>10850</v>
      </c>
      <c r="B4746" s="5" t="s">
        <v>10851</v>
      </c>
      <c r="C4746" s="5" t="s">
        <v>17</v>
      </c>
      <c r="D4746" s="5" t="s">
        <v>18</v>
      </c>
      <c r="E4746" s="5" t="s">
        <v>128</v>
      </c>
      <c r="F4746" s="9">
        <v>23</v>
      </c>
      <c r="G4746" s="9">
        <v>240</v>
      </c>
      <c r="H4746" s="5" t="s">
        <v>20</v>
      </c>
      <c r="I4746" s="5" t="s">
        <v>10852</v>
      </c>
      <c r="J4746" s="12" t="str">
        <f>HYPERLINK("https://www.boe.es/gazeta/dias/1805/03/19/pdfs/GMD-1805-23.pdf#page=4","Abrir facsímil")</f>
        <v>Abrir facsímil</v>
      </c>
      <c r="K4746" s="15" t="s">
        <v>22</v>
      </c>
    </row>
    <row r="4747" spans="1:11" ht="42" customHeight="1">
      <c r="A4747" s="4" t="s">
        <v>10853</v>
      </c>
      <c r="B4747" s="5" t="s">
        <v>10854</v>
      </c>
      <c r="C4747" s="5" t="s">
        <v>17</v>
      </c>
      <c r="D4747" s="5" t="s">
        <v>18</v>
      </c>
      <c r="E4747" s="5" t="s">
        <v>567</v>
      </c>
      <c r="F4747" s="9">
        <v>49</v>
      </c>
      <c r="G4747" s="9">
        <v>526</v>
      </c>
      <c r="H4747" s="5" t="s">
        <v>20</v>
      </c>
      <c r="I4747" s="5" t="s">
        <v>10855</v>
      </c>
      <c r="J4747" s="12" t="str">
        <f>HYPERLINK("https://www.boe.es/gazeta/dias/1805/06/18/pdfs/GMD-1805-49.pdf#page=2","Abrir facsímil")</f>
        <v>Abrir facsímil</v>
      </c>
      <c r="K4747" s="15" t="s">
        <v>22</v>
      </c>
    </row>
    <row r="4748" spans="1:11" ht="42" customHeight="1">
      <c r="A4748" s="4" t="s">
        <v>10856</v>
      </c>
      <c r="B4748" s="5" t="s">
        <v>10857</v>
      </c>
      <c r="C4748" s="5" t="s">
        <v>184</v>
      </c>
      <c r="D4748" s="5" t="s">
        <v>86</v>
      </c>
      <c r="E4748" s="5" t="s">
        <v>170</v>
      </c>
      <c r="F4748" s="9">
        <v>9</v>
      </c>
      <c r="G4748" s="9">
        <v>99</v>
      </c>
      <c r="H4748" s="5" t="s">
        <v>20</v>
      </c>
      <c r="I4748" s="5" t="s">
        <v>10858</v>
      </c>
      <c r="J4748" s="12" t="str">
        <f>HYPERLINK("https://www.boe.es/gazeta/dias/1805/01/29/pdfs/GMD-1805-9.pdf#page=7","Abrir facsímil")</f>
        <v>Abrir facsímil</v>
      </c>
      <c r="K4748" s="15" t="s">
        <v>22</v>
      </c>
    </row>
    <row r="4749" spans="1:11" ht="42" customHeight="1">
      <c r="A4749" s="4" t="s">
        <v>10856</v>
      </c>
      <c r="B4749" s="5" t="s">
        <v>10857</v>
      </c>
      <c r="C4749" s="5" t="s">
        <v>17</v>
      </c>
      <c r="D4749" s="5" t="s">
        <v>18</v>
      </c>
      <c r="E4749" s="5" t="s">
        <v>281</v>
      </c>
      <c r="F4749" s="9">
        <v>15</v>
      </c>
      <c r="G4749" s="9">
        <v>153</v>
      </c>
      <c r="H4749" s="5" t="s">
        <v>20</v>
      </c>
      <c r="I4749" s="5" t="s">
        <v>10859</v>
      </c>
      <c r="J4749" s="12" t="str">
        <f>HYPERLINK("https://www.boe.es/gazeta/dias/1805/02/19/pdfs/GMD-1805-15.pdf#page=5","Abrir facsímil")</f>
        <v>Abrir facsímil</v>
      </c>
      <c r="K4749" s="15" t="s">
        <v>22</v>
      </c>
    </row>
    <row r="4750" spans="1:11" ht="42" customHeight="1">
      <c r="A4750" s="4" t="s">
        <v>10856</v>
      </c>
      <c r="B4750" s="5" t="s">
        <v>10857</v>
      </c>
      <c r="C4750" s="5" t="s">
        <v>17</v>
      </c>
      <c r="D4750" s="5" t="s">
        <v>18</v>
      </c>
      <c r="E4750" s="5" t="s">
        <v>59</v>
      </c>
      <c r="F4750" s="9">
        <v>21</v>
      </c>
      <c r="G4750" s="9">
        <v>219</v>
      </c>
      <c r="H4750" s="5" t="s">
        <v>20</v>
      </c>
      <c r="I4750" s="5" t="s">
        <v>10860</v>
      </c>
      <c r="J4750" s="12" t="str">
        <f>HYPERLINK("https://www.boe.es/gazeta/dias/1805/03/12/pdfs/GMD-1805-21.pdf#page=7","Abrir facsímil")</f>
        <v>Abrir facsímil</v>
      </c>
      <c r="K4750" s="15" t="s">
        <v>22</v>
      </c>
    </row>
    <row r="4751" spans="1:11" ht="42" customHeight="1">
      <c r="A4751" s="4" t="s">
        <v>10856</v>
      </c>
      <c r="B4751" s="5" t="s">
        <v>10857</v>
      </c>
      <c r="C4751" s="5" t="s">
        <v>17</v>
      </c>
      <c r="D4751" s="5" t="s">
        <v>18</v>
      </c>
      <c r="E4751" s="5" t="s">
        <v>128</v>
      </c>
      <c r="F4751" s="9">
        <v>23</v>
      </c>
      <c r="G4751" s="9">
        <v>240</v>
      </c>
      <c r="H4751" s="5" t="s">
        <v>20</v>
      </c>
      <c r="I4751" s="5" t="s">
        <v>10861</v>
      </c>
      <c r="J4751" s="12" t="str">
        <f>HYPERLINK("https://www.boe.es/gazeta/dias/1805/03/19/pdfs/GMD-1805-23.pdf#page=4","Abrir facsímil")</f>
        <v>Abrir facsímil</v>
      </c>
      <c r="K4751" s="15" t="s">
        <v>22</v>
      </c>
    </row>
    <row r="4752" spans="1:11" ht="42" customHeight="1">
      <c r="A4752" s="4" t="s">
        <v>10856</v>
      </c>
      <c r="B4752" s="5" t="s">
        <v>10857</v>
      </c>
      <c r="C4752" s="5" t="s">
        <v>184</v>
      </c>
      <c r="D4752" s="5" t="s">
        <v>86</v>
      </c>
      <c r="E4752" s="5" t="s">
        <v>440</v>
      </c>
      <c r="F4752" s="9">
        <v>27</v>
      </c>
      <c r="G4752" s="9">
        <v>282</v>
      </c>
      <c r="H4752" s="5" t="s">
        <v>20</v>
      </c>
      <c r="I4752" s="5" t="s">
        <v>10862</v>
      </c>
      <c r="J4752" s="12" t="str">
        <f>HYPERLINK("https://www.boe.es/gazeta/dias/1805/04/02/pdfs/GMD-1805-27.pdf#page=2","Abrir facsímil")</f>
        <v>Abrir facsímil</v>
      </c>
      <c r="K4752" s="15" t="s">
        <v>22</v>
      </c>
    </row>
    <row r="4753" spans="1:11" ht="42" customHeight="1">
      <c r="A4753" s="4" t="s">
        <v>10856</v>
      </c>
      <c r="B4753" s="5" t="s">
        <v>10857</v>
      </c>
      <c r="C4753" s="5" t="s">
        <v>17</v>
      </c>
      <c r="D4753" s="5" t="s">
        <v>18</v>
      </c>
      <c r="E4753" s="5" t="s">
        <v>440</v>
      </c>
      <c r="F4753" s="9">
        <v>27</v>
      </c>
      <c r="G4753" s="9">
        <v>284</v>
      </c>
      <c r="H4753" s="5" t="s">
        <v>20</v>
      </c>
      <c r="I4753" s="5" t="s">
        <v>10863</v>
      </c>
      <c r="J4753" s="12" t="str">
        <f>HYPERLINK("https://www.boe.es/gazeta/dias/1805/04/02/pdfs/GMD-1805-27.pdf#page=4","Abrir facsímil")</f>
        <v>Abrir facsímil</v>
      </c>
      <c r="K4753" s="15" t="s">
        <v>22</v>
      </c>
    </row>
    <row r="4754" spans="1:11" ht="42" customHeight="1">
      <c r="A4754" s="4" t="s">
        <v>10856</v>
      </c>
      <c r="B4754" s="5" t="s">
        <v>10857</v>
      </c>
      <c r="C4754" s="5" t="s">
        <v>80</v>
      </c>
      <c r="D4754" s="5" t="s">
        <v>81</v>
      </c>
      <c r="E4754" s="5" t="s">
        <v>48</v>
      </c>
      <c r="F4754" s="9">
        <v>35</v>
      </c>
      <c r="G4754" s="9">
        <v>371</v>
      </c>
      <c r="H4754" s="5" t="s">
        <v>20</v>
      </c>
      <c r="I4754" s="5" t="s">
        <v>10864</v>
      </c>
      <c r="J4754" s="12" t="str">
        <f>HYPERLINK("https://www.boe.es/gazeta/dias/1805/04/30/pdfs/GMD-1805-35.pdf#page=3","Abrir facsímil")</f>
        <v>Abrir facsímil</v>
      </c>
      <c r="K4754" s="15" t="s">
        <v>22</v>
      </c>
    </row>
    <row r="4755" spans="1:11" ht="42" customHeight="1">
      <c r="A4755" s="4" t="s">
        <v>10856</v>
      </c>
      <c r="B4755" s="5" t="s">
        <v>10857</v>
      </c>
      <c r="C4755" s="5" t="s">
        <v>80</v>
      </c>
      <c r="D4755" s="5" t="s">
        <v>81</v>
      </c>
      <c r="E4755" s="5" t="s">
        <v>290</v>
      </c>
      <c r="F4755" s="9">
        <v>36</v>
      </c>
      <c r="G4755" s="9">
        <v>384</v>
      </c>
      <c r="H4755" s="5" t="s">
        <v>20</v>
      </c>
      <c r="I4755" s="5" t="s">
        <v>10865</v>
      </c>
      <c r="J4755" s="12" t="str">
        <f>HYPERLINK("https://www.boe.es/gazeta/dias/1805/05/03/pdfs/GMD-1805-36.pdf#page=4","Abrir facsímil")</f>
        <v>Abrir facsímil</v>
      </c>
      <c r="K4755" s="15" t="s">
        <v>22</v>
      </c>
    </row>
    <row r="4756" spans="1:11" ht="42" customHeight="1">
      <c r="A4756" s="4" t="s">
        <v>10856</v>
      </c>
      <c r="B4756" s="5" t="s">
        <v>10857</v>
      </c>
      <c r="C4756" s="5" t="s">
        <v>80</v>
      </c>
      <c r="D4756" s="5" t="s">
        <v>81</v>
      </c>
      <c r="E4756" s="5" t="s">
        <v>122</v>
      </c>
      <c r="F4756" s="9">
        <v>38</v>
      </c>
      <c r="G4756" s="9">
        <v>406</v>
      </c>
      <c r="H4756" s="5" t="s">
        <v>20</v>
      </c>
      <c r="I4756" s="5" t="s">
        <v>10866</v>
      </c>
      <c r="J4756" s="12" t="str">
        <f>HYPERLINK("https://www.boe.es/gazeta/dias/1805/05/10/pdfs/GMD-1805-38.pdf#page=2","Abrir facsímil")</f>
        <v>Abrir facsímil</v>
      </c>
      <c r="K4756" s="15" t="s">
        <v>22</v>
      </c>
    </row>
    <row r="4757" spans="1:11" ht="42" customHeight="1">
      <c r="A4757" s="4" t="s">
        <v>10856</v>
      </c>
      <c r="B4757" s="5" t="s">
        <v>10857</v>
      </c>
      <c r="C4757" s="5" t="s">
        <v>17</v>
      </c>
      <c r="D4757" s="5" t="s">
        <v>18</v>
      </c>
      <c r="E4757" s="5" t="s">
        <v>393</v>
      </c>
      <c r="F4757" s="9">
        <v>44</v>
      </c>
      <c r="G4757" s="9">
        <v>470</v>
      </c>
      <c r="H4757" s="5" t="s">
        <v>20</v>
      </c>
      <c r="I4757" s="5" t="s">
        <v>10867</v>
      </c>
      <c r="J4757" s="12" t="str">
        <f>HYPERLINK("https://www.boe.es/gazeta/dias/1805/05/31/pdfs/GMD-1805-44.pdf#page=6","Abrir facsímil")</f>
        <v>Abrir facsímil</v>
      </c>
      <c r="K4757" s="15" t="s">
        <v>22</v>
      </c>
    </row>
    <row r="4758" spans="1:11" ht="42" customHeight="1">
      <c r="A4758" s="4" t="s">
        <v>10856</v>
      </c>
      <c r="B4758" s="5" t="s">
        <v>10857</v>
      </c>
      <c r="C4758" s="5" t="s">
        <v>17</v>
      </c>
      <c r="D4758" s="5" t="s">
        <v>18</v>
      </c>
      <c r="E4758" s="5" t="s">
        <v>854</v>
      </c>
      <c r="F4758" s="9">
        <v>46</v>
      </c>
      <c r="G4758" s="9">
        <v>493</v>
      </c>
      <c r="H4758" s="5" t="s">
        <v>20</v>
      </c>
      <c r="I4758" s="5" t="s">
        <v>10868</v>
      </c>
      <c r="J4758" s="12" t="str">
        <f>HYPERLINK("https://www.boe.es/gazeta/dias/1805/06/07/pdfs/GMD-1805-46.pdf#page=5","Abrir facsímil")</f>
        <v>Abrir facsímil</v>
      </c>
      <c r="K4758" s="15" t="s">
        <v>22</v>
      </c>
    </row>
    <row r="4759" spans="1:11" ht="42" customHeight="1">
      <c r="A4759" s="4" t="s">
        <v>10856</v>
      </c>
      <c r="B4759" s="5" t="s">
        <v>10857</v>
      </c>
      <c r="C4759" s="5" t="s">
        <v>17</v>
      </c>
      <c r="D4759" s="5" t="s">
        <v>18</v>
      </c>
      <c r="E4759" s="5" t="s">
        <v>1432</v>
      </c>
      <c r="F4759" s="9">
        <v>53</v>
      </c>
      <c r="G4759" s="9">
        <v>568</v>
      </c>
      <c r="H4759" s="5" t="s">
        <v>20</v>
      </c>
      <c r="I4759" s="5" t="s">
        <v>10869</v>
      </c>
      <c r="J4759" s="12" t="str">
        <f>HYPERLINK("https://www.boe.es/gazeta/dias/1805/07/02/pdfs/GMD-1805-53.pdf#page=4","Abrir facsímil")</f>
        <v>Abrir facsímil</v>
      </c>
      <c r="K4759" s="15" t="s">
        <v>22</v>
      </c>
    </row>
    <row r="4760" spans="1:11" ht="42" customHeight="1">
      <c r="A4760" s="4" t="s">
        <v>10856</v>
      </c>
      <c r="B4760" s="5" t="s">
        <v>10857</v>
      </c>
      <c r="C4760" s="5" t="s">
        <v>80</v>
      </c>
      <c r="D4760" s="5" t="s">
        <v>81</v>
      </c>
      <c r="E4760" s="5" t="s">
        <v>19</v>
      </c>
      <c r="F4760" s="9">
        <v>86</v>
      </c>
      <c r="G4760" s="9">
        <v>909</v>
      </c>
      <c r="H4760" s="5" t="s">
        <v>20</v>
      </c>
      <c r="I4760" s="5" t="s">
        <v>10870</v>
      </c>
      <c r="J4760" s="12" t="str">
        <f>HYPERLINK("https://www.boe.es/gazeta/dias/1805/10/25/pdfs/GMD-1805-86.pdf#page=5","Abrir facsímil")</f>
        <v>Abrir facsímil</v>
      </c>
      <c r="K4760" s="15" t="s">
        <v>22</v>
      </c>
    </row>
    <row r="4761" spans="1:11" ht="42" customHeight="1">
      <c r="A4761" s="4" t="s">
        <v>10856</v>
      </c>
      <c r="B4761" s="5" t="s">
        <v>10857</v>
      </c>
      <c r="C4761" s="5" t="s">
        <v>80</v>
      </c>
      <c r="D4761" s="5" t="s">
        <v>81</v>
      </c>
      <c r="E4761" s="5" t="s">
        <v>215</v>
      </c>
      <c r="F4761" s="9">
        <v>87</v>
      </c>
      <c r="G4761" s="9">
        <v>921</v>
      </c>
      <c r="H4761" s="5" t="s">
        <v>20</v>
      </c>
      <c r="I4761" s="5" t="s">
        <v>10871</v>
      </c>
      <c r="J4761" s="12" t="str">
        <f>HYPERLINK("https://www.boe.es/gazeta/dias/1805/10/29/pdfs/GMD-1805-87.pdf#page=5","Abrir facsímil")</f>
        <v>Abrir facsímil</v>
      </c>
      <c r="K4761" s="15" t="s">
        <v>22</v>
      </c>
    </row>
    <row r="4762" spans="1:11" ht="42" customHeight="1">
      <c r="A4762" s="4" t="s">
        <v>10856</v>
      </c>
      <c r="B4762" s="5" t="s">
        <v>10857</v>
      </c>
      <c r="C4762" s="5" t="s">
        <v>17</v>
      </c>
      <c r="D4762" s="5" t="s">
        <v>18</v>
      </c>
      <c r="E4762" s="5" t="s">
        <v>209</v>
      </c>
      <c r="F4762" s="9">
        <v>89</v>
      </c>
      <c r="G4762" s="9">
        <v>956</v>
      </c>
      <c r="H4762" s="5" t="s">
        <v>20</v>
      </c>
      <c r="I4762" s="5" t="s">
        <v>10872</v>
      </c>
      <c r="J4762" s="12" t="str">
        <f>HYPERLINK("https://www.boe.es/gazeta/dias/1805/11/05/pdfs/GMD-1805-89.pdf#page=16","Abrir facsímil")</f>
        <v>Abrir facsímil</v>
      </c>
      <c r="K4762" s="15" t="s">
        <v>22</v>
      </c>
    </row>
    <row r="4763" spans="1:11" ht="42" customHeight="1">
      <c r="A4763" s="4" t="s">
        <v>10856</v>
      </c>
      <c r="B4763" s="5" t="s">
        <v>10857</v>
      </c>
      <c r="C4763" s="5" t="s">
        <v>17</v>
      </c>
      <c r="D4763" s="5" t="s">
        <v>18</v>
      </c>
      <c r="E4763" s="5" t="s">
        <v>200</v>
      </c>
      <c r="F4763" s="9">
        <v>91</v>
      </c>
      <c r="G4763" s="9">
        <v>976</v>
      </c>
      <c r="H4763" s="5" t="s">
        <v>20</v>
      </c>
      <c r="I4763" s="5" t="s">
        <v>10873</v>
      </c>
      <c r="J4763" s="12" t="str">
        <f>HYPERLINK("https://www.boe.es/gazeta/dias/1805/11/12/pdfs/GMD-1805-91.pdf#page=8","Abrir facsímil")</f>
        <v>Abrir facsímil</v>
      </c>
      <c r="K4763" s="15" t="s">
        <v>22</v>
      </c>
    </row>
    <row r="4764" spans="1:11" ht="42" customHeight="1">
      <c r="A4764" s="4" t="s">
        <v>10856</v>
      </c>
      <c r="B4764" s="5" t="s">
        <v>10857</v>
      </c>
      <c r="C4764" s="5" t="s">
        <v>17</v>
      </c>
      <c r="D4764" s="5" t="s">
        <v>18</v>
      </c>
      <c r="E4764" s="5" t="s">
        <v>200</v>
      </c>
      <c r="F4764" s="9">
        <v>91</v>
      </c>
      <c r="G4764" s="9">
        <v>978</v>
      </c>
      <c r="H4764" s="5" t="s">
        <v>20</v>
      </c>
      <c r="I4764" s="5" t="s">
        <v>10874</v>
      </c>
      <c r="J4764" s="12" t="str">
        <f>HYPERLINK("https://www.boe.es/gazeta/dias/1805/11/12/pdfs/GMD-1805-91.pdf#page=10","Abrir facsímil")</f>
        <v>Abrir facsímil</v>
      </c>
      <c r="K4764" s="15" t="s">
        <v>22</v>
      </c>
    </row>
    <row r="4765" spans="1:11" ht="42" customHeight="1">
      <c r="A4765" s="4" t="s">
        <v>10856</v>
      </c>
      <c r="B4765" s="5" t="s">
        <v>10857</v>
      </c>
      <c r="C4765" s="5" t="s">
        <v>85</v>
      </c>
      <c r="D4765" s="5" t="s">
        <v>86</v>
      </c>
      <c r="E4765" s="5" t="s">
        <v>886</v>
      </c>
      <c r="F4765" s="9">
        <v>93</v>
      </c>
      <c r="G4765" s="9">
        <v>998</v>
      </c>
      <c r="H4765" s="5" t="s">
        <v>20</v>
      </c>
      <c r="I4765" s="5" t="s">
        <v>10875</v>
      </c>
      <c r="J4765" s="12" t="str">
        <f>HYPERLINK("https://www.boe.es/gazeta/dias/1805/11/19/pdfs/GMD-1805-93.pdf#page=10","Abrir facsímil")</f>
        <v>Abrir facsímil</v>
      </c>
      <c r="K4765" s="15" t="s">
        <v>22</v>
      </c>
    </row>
    <row r="4766" spans="1:11" ht="42" customHeight="1">
      <c r="A4766" s="4" t="s">
        <v>10856</v>
      </c>
      <c r="B4766" s="5" t="s">
        <v>10857</v>
      </c>
      <c r="C4766" s="5" t="s">
        <v>29</v>
      </c>
      <c r="D4766" s="5" t="s">
        <v>30</v>
      </c>
      <c r="E4766" s="5" t="s">
        <v>138</v>
      </c>
      <c r="F4766" s="9">
        <v>102</v>
      </c>
      <c r="G4766" s="9">
        <v>1108</v>
      </c>
      <c r="H4766" s="5" t="s">
        <v>20</v>
      </c>
      <c r="I4766" s="5" t="s">
        <v>10876</v>
      </c>
      <c r="J4766" s="12" t="str">
        <f>HYPERLINK("https://www.boe.es/gazeta/dias/1805/12/20/pdfs/GMD-1805-102.pdf#page=12","Abrir facsímil")</f>
        <v>Abrir facsímil</v>
      </c>
      <c r="K4766" s="15" t="s">
        <v>22</v>
      </c>
    </row>
    <row r="4767" spans="1:11" ht="42" customHeight="1">
      <c r="A4767" s="4" t="s">
        <v>10877</v>
      </c>
      <c r="B4767" s="5" t="s">
        <v>10878</v>
      </c>
      <c r="C4767" s="5" t="s">
        <v>80</v>
      </c>
      <c r="D4767" s="5" t="s">
        <v>81</v>
      </c>
      <c r="E4767" s="5" t="s">
        <v>132</v>
      </c>
      <c r="F4767" s="9">
        <v>2</v>
      </c>
      <c r="G4767" s="9">
        <v>15</v>
      </c>
      <c r="H4767" s="5" t="s">
        <v>20</v>
      </c>
      <c r="I4767" s="5" t="s">
        <v>10879</v>
      </c>
      <c r="J4767" s="12" t="str">
        <f>HYPERLINK("https://www.boe.es/gazeta/dias/1805/01/04/pdfs/GMD-1805-2.pdf#page=3","Abrir facsímil")</f>
        <v>Abrir facsímil</v>
      </c>
      <c r="K4767" s="15" t="s">
        <v>22</v>
      </c>
    </row>
    <row r="4768" spans="1:11" ht="42" customHeight="1">
      <c r="A4768" s="4" t="s">
        <v>10877</v>
      </c>
      <c r="B4768" s="5" t="s">
        <v>10878</v>
      </c>
      <c r="C4768" s="5" t="s">
        <v>80</v>
      </c>
      <c r="D4768" s="5" t="s">
        <v>81</v>
      </c>
      <c r="E4768" s="5" t="s">
        <v>1022</v>
      </c>
      <c r="F4768" s="9">
        <v>52</v>
      </c>
      <c r="G4768" s="9">
        <v>556</v>
      </c>
      <c r="H4768" s="5" t="s">
        <v>20</v>
      </c>
      <c r="I4768" s="5" t="s">
        <v>10880</v>
      </c>
      <c r="J4768" s="12" t="str">
        <f>HYPERLINK("https://www.boe.es/gazeta/dias/1805/06/28/pdfs/GMD-1805-52.pdf#page=4","Abrir facsímil")</f>
        <v>Abrir facsímil</v>
      </c>
      <c r="K4768" s="15" t="s">
        <v>22</v>
      </c>
    </row>
    <row r="4769" spans="1:11" ht="42" customHeight="1">
      <c r="A4769" s="4" t="s">
        <v>10877</v>
      </c>
      <c r="B4769" s="5" t="s">
        <v>10878</v>
      </c>
      <c r="C4769" s="5" t="s">
        <v>17</v>
      </c>
      <c r="D4769" s="5" t="s">
        <v>18</v>
      </c>
      <c r="E4769" s="5" t="s">
        <v>1432</v>
      </c>
      <c r="F4769" s="9">
        <v>53</v>
      </c>
      <c r="G4769" s="9">
        <v>567</v>
      </c>
      <c r="H4769" s="5" t="s">
        <v>20</v>
      </c>
      <c r="I4769" s="5" t="s">
        <v>10881</v>
      </c>
      <c r="J4769" s="12" t="str">
        <f>HYPERLINK("https://www.boe.es/gazeta/dias/1805/07/02/pdfs/GMD-1805-53.pdf#page=3","Abrir facsímil")</f>
        <v>Abrir facsímil</v>
      </c>
      <c r="K4769" s="15" t="s">
        <v>22</v>
      </c>
    </row>
    <row r="4770" spans="1:11" ht="42" customHeight="1">
      <c r="A4770" s="4" t="s">
        <v>10877</v>
      </c>
      <c r="B4770" s="5" t="s">
        <v>10878</v>
      </c>
      <c r="C4770" s="5" t="s">
        <v>80</v>
      </c>
      <c r="D4770" s="5" t="s">
        <v>81</v>
      </c>
      <c r="E4770" s="5" t="s">
        <v>40</v>
      </c>
      <c r="F4770" s="9">
        <v>59</v>
      </c>
      <c r="G4770" s="9">
        <v>628</v>
      </c>
      <c r="H4770" s="5" t="s">
        <v>20</v>
      </c>
      <c r="I4770" s="5" t="s">
        <v>10882</v>
      </c>
      <c r="J4770" s="12" t="str">
        <f>HYPERLINK("https://www.boe.es/gazeta/dias/1805/07/23/pdfs/GMD-1805-59.pdf#page=4","Abrir facsímil")</f>
        <v>Abrir facsímil</v>
      </c>
      <c r="K4770" s="15" t="s">
        <v>22</v>
      </c>
    </row>
    <row r="4771" spans="1:11" ht="42" customHeight="1">
      <c r="A4771" s="4" t="s">
        <v>10877</v>
      </c>
      <c r="B4771" s="5" t="s">
        <v>10878</v>
      </c>
      <c r="C4771" s="5" t="s">
        <v>80</v>
      </c>
      <c r="D4771" s="5" t="s">
        <v>81</v>
      </c>
      <c r="E4771" s="5" t="s">
        <v>585</v>
      </c>
      <c r="F4771" s="9">
        <v>64</v>
      </c>
      <c r="G4771" s="9">
        <v>680</v>
      </c>
      <c r="H4771" s="5" t="s">
        <v>20</v>
      </c>
      <c r="I4771" s="5" t="s">
        <v>10883</v>
      </c>
      <c r="J4771" s="12" t="str">
        <f>HYPERLINK("https://www.boe.es/gazeta/dias/1805/08/09/pdfs/GMD-1805-64.pdf#page=4","Abrir facsímil")</f>
        <v>Abrir facsímil</v>
      </c>
      <c r="K4771" s="15" t="s">
        <v>22</v>
      </c>
    </row>
    <row r="4772" spans="1:11" ht="42" customHeight="1">
      <c r="A4772" s="4" t="s">
        <v>10877</v>
      </c>
      <c r="B4772" s="5" t="s">
        <v>10878</v>
      </c>
      <c r="C4772" s="5" t="s">
        <v>80</v>
      </c>
      <c r="D4772" s="5" t="s">
        <v>81</v>
      </c>
      <c r="E4772" s="5" t="s">
        <v>31</v>
      </c>
      <c r="F4772" s="9">
        <v>65</v>
      </c>
      <c r="G4772" s="9">
        <v>692</v>
      </c>
      <c r="H4772" s="5" t="s">
        <v>20</v>
      </c>
      <c r="I4772" s="5" t="s">
        <v>10884</v>
      </c>
      <c r="J4772" s="12" t="str">
        <f>HYPERLINK("https://www.boe.es/gazeta/dias/1805/08/13/pdfs/GMD-1805-65.pdf#page=4","Abrir facsímil")</f>
        <v>Abrir facsímil</v>
      </c>
      <c r="K4772" s="15" t="s">
        <v>22</v>
      </c>
    </row>
    <row r="4773" spans="1:11" ht="42" customHeight="1">
      <c r="A4773" s="4" t="s">
        <v>10877</v>
      </c>
      <c r="B4773" s="5" t="s">
        <v>10878</v>
      </c>
      <c r="C4773" s="5" t="s">
        <v>17</v>
      </c>
      <c r="D4773" s="5" t="s">
        <v>18</v>
      </c>
      <c r="E4773" s="5" t="s">
        <v>31</v>
      </c>
      <c r="F4773" s="9">
        <v>65</v>
      </c>
      <c r="G4773" s="9">
        <v>693</v>
      </c>
      <c r="H4773" s="5" t="s">
        <v>20</v>
      </c>
      <c r="I4773" s="5" t="s">
        <v>10885</v>
      </c>
      <c r="J4773" s="12" t="str">
        <f>HYPERLINK("https://www.boe.es/gazeta/dias/1805/08/13/pdfs/GMD-1805-65.pdf#page=5","Abrir facsímil")</f>
        <v>Abrir facsímil</v>
      </c>
      <c r="K4773" s="15" t="s">
        <v>22</v>
      </c>
    </row>
    <row r="4774" spans="1:11" ht="42" customHeight="1">
      <c r="A4774" s="4" t="s">
        <v>10877</v>
      </c>
      <c r="B4774" s="5" t="s">
        <v>10878</v>
      </c>
      <c r="C4774" s="5" t="s">
        <v>80</v>
      </c>
      <c r="D4774" s="5" t="s">
        <v>81</v>
      </c>
      <c r="E4774" s="5" t="s">
        <v>76</v>
      </c>
      <c r="F4774" s="9">
        <v>66</v>
      </c>
      <c r="G4774" s="9">
        <v>704</v>
      </c>
      <c r="H4774" s="5" t="s">
        <v>20</v>
      </c>
      <c r="I4774" s="5" t="s">
        <v>10886</v>
      </c>
      <c r="J4774" s="12" t="str">
        <f>HYPERLINK("https://www.boe.es/gazeta/dias/1805/08/16/pdfs/GMD-1805-66.pdf#page=4","Abrir facsímil")</f>
        <v>Abrir facsímil</v>
      </c>
      <c r="K4774" s="15" t="s">
        <v>22</v>
      </c>
    </row>
    <row r="4775" spans="1:11" ht="42" customHeight="1">
      <c r="A4775" s="4" t="s">
        <v>10877</v>
      </c>
      <c r="B4775" s="5" t="s">
        <v>10878</v>
      </c>
      <c r="C4775" s="5" t="s">
        <v>80</v>
      </c>
      <c r="D4775" s="5" t="s">
        <v>81</v>
      </c>
      <c r="E4775" s="5" t="s">
        <v>409</v>
      </c>
      <c r="F4775" s="9">
        <v>69</v>
      </c>
      <c r="G4775" s="9">
        <v>735</v>
      </c>
      <c r="H4775" s="5" t="s">
        <v>20</v>
      </c>
      <c r="I4775" s="5" t="s">
        <v>10887</v>
      </c>
      <c r="J4775" s="12" t="str">
        <f>HYPERLINK("https://www.boe.es/gazeta/dias/1805/08/27/pdfs/GMD-1805-69.pdf#page=3","Abrir facsímil")</f>
        <v>Abrir facsímil</v>
      </c>
      <c r="K4775" s="15" t="s">
        <v>22</v>
      </c>
    </row>
    <row r="4776" spans="1:11" ht="42" customHeight="1">
      <c r="A4776" s="4" t="s">
        <v>10877</v>
      </c>
      <c r="B4776" s="5" t="s">
        <v>10878</v>
      </c>
      <c r="C4776" s="5" t="s">
        <v>80</v>
      </c>
      <c r="D4776" s="5" t="s">
        <v>81</v>
      </c>
      <c r="E4776" s="5" t="s">
        <v>456</v>
      </c>
      <c r="F4776" s="9">
        <v>70</v>
      </c>
      <c r="G4776" s="9">
        <v>743</v>
      </c>
      <c r="H4776" s="5" t="s">
        <v>20</v>
      </c>
      <c r="I4776" s="5" t="s">
        <v>10888</v>
      </c>
      <c r="J4776" s="12" t="str">
        <f>HYPERLINK("https://www.boe.es/gazeta/dias/1805/08/30/pdfs/GMD-1805-70.pdf#page=3","Abrir facsímil")</f>
        <v>Abrir facsímil</v>
      </c>
      <c r="K4776" s="15" t="s">
        <v>22</v>
      </c>
    </row>
    <row r="4777" spans="1:11" ht="42" customHeight="1">
      <c r="A4777" s="4" t="s">
        <v>10877</v>
      </c>
      <c r="B4777" s="5" t="s">
        <v>10878</v>
      </c>
      <c r="C4777" s="5" t="s">
        <v>80</v>
      </c>
      <c r="D4777" s="5" t="s">
        <v>81</v>
      </c>
      <c r="E4777" s="5" t="s">
        <v>1132</v>
      </c>
      <c r="F4777" s="9">
        <v>72</v>
      </c>
      <c r="G4777" s="9">
        <v>763</v>
      </c>
      <c r="H4777" s="5" t="s">
        <v>20</v>
      </c>
      <c r="I4777" s="5" t="s">
        <v>10889</v>
      </c>
      <c r="J4777" s="12" t="str">
        <f>HYPERLINK("https://www.boe.es/gazeta/dias/1805/09/06/pdfs/GMD-1805-72.pdf#page=3","Abrir facsímil")</f>
        <v>Abrir facsímil</v>
      </c>
      <c r="K4777" s="15" t="s">
        <v>22</v>
      </c>
    </row>
    <row r="4778" spans="1:11" ht="42" customHeight="1">
      <c r="A4778" s="4" t="s">
        <v>10877</v>
      </c>
      <c r="B4778" s="5" t="s">
        <v>10878</v>
      </c>
      <c r="C4778" s="5" t="s">
        <v>80</v>
      </c>
      <c r="D4778" s="5" t="s">
        <v>81</v>
      </c>
      <c r="E4778" s="5" t="s">
        <v>422</v>
      </c>
      <c r="F4778" s="9">
        <v>74</v>
      </c>
      <c r="G4778" s="9">
        <v>782</v>
      </c>
      <c r="H4778" s="5" t="s">
        <v>20</v>
      </c>
      <c r="I4778" s="5" t="s">
        <v>10890</v>
      </c>
      <c r="J4778" s="12" t="str">
        <f>HYPERLINK("https://www.boe.es/gazeta/dias/1805/09/13/pdfs/GMD-1805-74.pdf#page=6","Abrir facsímil")</f>
        <v>Abrir facsímil</v>
      </c>
      <c r="K4778" s="15" t="s">
        <v>22</v>
      </c>
    </row>
    <row r="4779" spans="1:11" ht="42" customHeight="1">
      <c r="A4779" s="4" t="s">
        <v>10877</v>
      </c>
      <c r="B4779" s="5" t="s">
        <v>10878</v>
      </c>
      <c r="C4779" s="5" t="s">
        <v>80</v>
      </c>
      <c r="D4779" s="5" t="s">
        <v>81</v>
      </c>
      <c r="E4779" s="5" t="s">
        <v>426</v>
      </c>
      <c r="F4779" s="9">
        <v>75</v>
      </c>
      <c r="G4779" s="9">
        <v>794</v>
      </c>
      <c r="H4779" s="5" t="s">
        <v>20</v>
      </c>
      <c r="I4779" s="5" t="s">
        <v>10891</v>
      </c>
      <c r="J4779" s="12" t="str">
        <f>HYPERLINK("https://www.boe.es/gazeta/dias/1805/09/17/pdfs/GMD-1805-75.pdf#page=6","Abrir facsímil")</f>
        <v>Abrir facsímil</v>
      </c>
      <c r="K4779" s="15" t="s">
        <v>22</v>
      </c>
    </row>
    <row r="4780" spans="1:11" ht="42" customHeight="1">
      <c r="A4780" s="4" t="s">
        <v>10877</v>
      </c>
      <c r="B4780" s="5" t="s">
        <v>10878</v>
      </c>
      <c r="C4780" s="5" t="s">
        <v>80</v>
      </c>
      <c r="D4780" s="5" t="s">
        <v>81</v>
      </c>
      <c r="E4780" s="5" t="s">
        <v>207</v>
      </c>
      <c r="F4780" s="9">
        <v>76</v>
      </c>
      <c r="G4780" s="9">
        <v>804</v>
      </c>
      <c r="H4780" s="5" t="s">
        <v>20</v>
      </c>
      <c r="I4780" s="5" t="s">
        <v>10892</v>
      </c>
      <c r="J4780" s="12" t="str">
        <f>HYPERLINK("https://www.boe.es/gazeta/dias/1805/09/20/pdfs/GMD-1805-76.pdf#page=4","Abrir facsímil")</f>
        <v>Abrir facsímil</v>
      </c>
      <c r="K4780" s="15" t="s">
        <v>22</v>
      </c>
    </row>
    <row r="4781" spans="1:11" ht="42" customHeight="1">
      <c r="A4781" s="4" t="s">
        <v>10877</v>
      </c>
      <c r="B4781" s="5" t="s">
        <v>10878</v>
      </c>
      <c r="C4781" s="5" t="s">
        <v>80</v>
      </c>
      <c r="D4781" s="5" t="s">
        <v>81</v>
      </c>
      <c r="E4781" s="5" t="s">
        <v>1259</v>
      </c>
      <c r="F4781" s="9">
        <v>78</v>
      </c>
      <c r="G4781" s="9">
        <v>824</v>
      </c>
      <c r="H4781" s="5" t="s">
        <v>20</v>
      </c>
      <c r="I4781" s="5" t="s">
        <v>10893</v>
      </c>
      <c r="J4781" s="12" t="str">
        <f>HYPERLINK("https://www.boe.es/gazeta/dias/1805/09/27/pdfs/GMD-1805-78.pdf#page=4","Abrir facsímil")</f>
        <v>Abrir facsímil</v>
      </c>
      <c r="K4781" s="15" t="s">
        <v>22</v>
      </c>
    </row>
    <row r="4782" spans="1:11" ht="42" customHeight="1">
      <c r="A4782" s="4" t="s">
        <v>10877</v>
      </c>
      <c r="B4782" s="5" t="s">
        <v>10878</v>
      </c>
      <c r="C4782" s="5" t="s">
        <v>17</v>
      </c>
      <c r="D4782" s="5" t="s">
        <v>18</v>
      </c>
      <c r="E4782" s="5" t="s">
        <v>506</v>
      </c>
      <c r="F4782" s="9">
        <v>80</v>
      </c>
      <c r="G4782" s="9">
        <v>845</v>
      </c>
      <c r="H4782" s="5" t="s">
        <v>20</v>
      </c>
      <c r="I4782" s="5" t="s">
        <v>10894</v>
      </c>
      <c r="J4782" s="12" t="str">
        <f>HYPERLINK("https://www.boe.es/gazeta/dias/1805/10/04/pdfs/GMD-1805-80.pdf#page=5","Abrir facsímil")</f>
        <v>Abrir facsímil</v>
      </c>
      <c r="K4782" s="15" t="s">
        <v>22</v>
      </c>
    </row>
    <row r="4783" spans="1:11" ht="42" customHeight="1">
      <c r="A4783" s="4" t="s">
        <v>10877</v>
      </c>
      <c r="B4783" s="5" t="s">
        <v>10878</v>
      </c>
      <c r="C4783" s="5" t="s">
        <v>35</v>
      </c>
      <c r="D4783" s="5" t="s">
        <v>36</v>
      </c>
      <c r="E4783" s="5" t="s">
        <v>99</v>
      </c>
      <c r="F4783" s="9">
        <v>83</v>
      </c>
      <c r="G4783" s="9">
        <v>875</v>
      </c>
      <c r="H4783" s="5" t="s">
        <v>20</v>
      </c>
      <c r="I4783" s="5" t="s">
        <v>10895</v>
      </c>
      <c r="J4783" s="12" t="str">
        <f>HYPERLINK("https://www.boe.es/gazeta/dias/1805/10/15/pdfs/GMD-1805-83.pdf#page=3","Abrir facsímil")</f>
        <v>Abrir facsímil</v>
      </c>
      <c r="K4783" s="15" t="s">
        <v>22</v>
      </c>
    </row>
    <row r="4784" spans="1:11" ht="42" customHeight="1">
      <c r="A4784" s="4" t="s">
        <v>10877</v>
      </c>
      <c r="B4784" s="5" t="s">
        <v>10878</v>
      </c>
      <c r="C4784" s="5" t="s">
        <v>35</v>
      </c>
      <c r="D4784" s="5" t="s">
        <v>36</v>
      </c>
      <c r="E4784" s="5" t="s">
        <v>669</v>
      </c>
      <c r="F4784" s="9">
        <v>84</v>
      </c>
      <c r="G4784" s="9">
        <v>889</v>
      </c>
      <c r="H4784" s="5" t="s">
        <v>20</v>
      </c>
      <c r="I4784" s="5" t="s">
        <v>10896</v>
      </c>
      <c r="J4784" s="12" t="str">
        <f>HYPERLINK("https://www.boe.es/gazeta/dias/1805/10/18/pdfs/GMD-1805-84.pdf#page=5","Abrir facsímil")</f>
        <v>Abrir facsímil</v>
      </c>
      <c r="K4784" s="15" t="s">
        <v>22</v>
      </c>
    </row>
    <row r="4785" spans="1:11" ht="42" customHeight="1">
      <c r="A4785" s="4" t="s">
        <v>10877</v>
      </c>
      <c r="B4785" s="5" t="s">
        <v>10878</v>
      </c>
      <c r="C4785" s="5" t="s">
        <v>80</v>
      </c>
      <c r="D4785" s="5" t="s">
        <v>81</v>
      </c>
      <c r="E4785" s="5" t="s">
        <v>19</v>
      </c>
      <c r="F4785" s="9">
        <v>86</v>
      </c>
      <c r="G4785" s="9">
        <v>908</v>
      </c>
      <c r="H4785" s="5" t="s">
        <v>20</v>
      </c>
      <c r="I4785" s="5" t="s">
        <v>10897</v>
      </c>
      <c r="J4785" s="12" t="str">
        <f>HYPERLINK("https://www.boe.es/gazeta/dias/1805/10/25/pdfs/GMD-1805-86.pdf#page=4","Abrir facsímil")</f>
        <v>Abrir facsímil</v>
      </c>
      <c r="K4785" s="15" t="s">
        <v>22</v>
      </c>
    </row>
    <row r="4786" spans="1:11" ht="42" customHeight="1">
      <c r="A4786" s="4" t="s">
        <v>10877</v>
      </c>
      <c r="B4786" s="5" t="s">
        <v>10878</v>
      </c>
      <c r="C4786" s="5" t="s">
        <v>80</v>
      </c>
      <c r="D4786" s="5" t="s">
        <v>81</v>
      </c>
      <c r="E4786" s="5" t="s">
        <v>19</v>
      </c>
      <c r="F4786" s="9">
        <v>86</v>
      </c>
      <c r="G4786" s="9">
        <v>910</v>
      </c>
      <c r="H4786" s="5" t="s">
        <v>20</v>
      </c>
      <c r="I4786" s="5" t="s">
        <v>10898</v>
      </c>
      <c r="J4786" s="12" t="str">
        <f>HYPERLINK("https://www.boe.es/gazeta/dias/1805/10/25/pdfs/GMD-1805-86.pdf#page=6","Abrir facsímil")</f>
        <v>Abrir facsímil</v>
      </c>
      <c r="K4786" s="15" t="s">
        <v>22</v>
      </c>
    </row>
    <row r="4787" spans="1:11" ht="42" customHeight="1">
      <c r="A4787" s="4" t="s">
        <v>10877</v>
      </c>
      <c r="B4787" s="5" t="s">
        <v>10878</v>
      </c>
      <c r="C4787" s="5" t="s">
        <v>80</v>
      </c>
      <c r="D4787" s="5" t="s">
        <v>81</v>
      </c>
      <c r="E4787" s="5" t="s">
        <v>215</v>
      </c>
      <c r="F4787" s="9">
        <v>87</v>
      </c>
      <c r="G4787" s="9">
        <v>920</v>
      </c>
      <c r="H4787" s="5" t="s">
        <v>20</v>
      </c>
      <c r="I4787" s="5" t="s">
        <v>10899</v>
      </c>
      <c r="J4787" s="12" t="str">
        <f>HYPERLINK("https://www.boe.es/gazeta/dias/1805/10/29/pdfs/GMD-1805-87.pdf#page=4","Abrir facsímil")</f>
        <v>Abrir facsímil</v>
      </c>
      <c r="K4787" s="15" t="s">
        <v>22</v>
      </c>
    </row>
    <row r="4788" spans="1:11" ht="42" customHeight="1">
      <c r="A4788" s="4" t="s">
        <v>10877</v>
      </c>
      <c r="B4788" s="5" t="s">
        <v>10878</v>
      </c>
      <c r="C4788" s="5" t="s">
        <v>35</v>
      </c>
      <c r="D4788" s="5" t="s">
        <v>36</v>
      </c>
      <c r="E4788" s="5" t="s">
        <v>209</v>
      </c>
      <c r="F4788" s="9">
        <v>89</v>
      </c>
      <c r="G4788" s="9">
        <v>956</v>
      </c>
      <c r="H4788" s="5" t="s">
        <v>20</v>
      </c>
      <c r="I4788" s="5" t="s">
        <v>10900</v>
      </c>
      <c r="J4788" s="12" t="str">
        <f>HYPERLINK("https://www.boe.es/gazeta/dias/1805/11/05/pdfs/GMD-1805-89.pdf#page=16","Abrir facsímil")</f>
        <v>Abrir facsímil</v>
      </c>
      <c r="K4788" s="15" t="s">
        <v>22</v>
      </c>
    </row>
    <row r="4789" spans="1:11" ht="42" customHeight="1">
      <c r="A4789" s="4" t="s">
        <v>10877</v>
      </c>
      <c r="B4789" s="5" t="s">
        <v>10878</v>
      </c>
      <c r="C4789" s="5" t="s">
        <v>80</v>
      </c>
      <c r="D4789" s="5" t="s">
        <v>81</v>
      </c>
      <c r="E4789" s="5" t="s">
        <v>181</v>
      </c>
      <c r="F4789" s="9">
        <v>90</v>
      </c>
      <c r="G4789" s="9">
        <v>960</v>
      </c>
      <c r="H4789" s="5" t="s">
        <v>20</v>
      </c>
      <c r="I4789" s="5" t="s">
        <v>10901</v>
      </c>
      <c r="J4789" s="12" t="str">
        <f>HYPERLINK("https://www.boe.es/gazeta/dias/1805/11/08/pdfs/GMD-1805-90.pdf#page=4","Abrir facsímil")</f>
        <v>Abrir facsímil</v>
      </c>
      <c r="K4789" s="15" t="s">
        <v>22</v>
      </c>
    </row>
    <row r="4790" spans="1:11" ht="42" customHeight="1">
      <c r="A4790" s="4" t="s">
        <v>10902</v>
      </c>
      <c r="B4790" s="5" t="s">
        <v>10902</v>
      </c>
      <c r="C4790" s="5" t="s">
        <v>35</v>
      </c>
      <c r="D4790" s="5" t="s">
        <v>36</v>
      </c>
      <c r="E4790" s="5" t="s">
        <v>276</v>
      </c>
      <c r="F4790" s="9">
        <v>51</v>
      </c>
      <c r="G4790" s="9">
        <v>552</v>
      </c>
      <c r="H4790" s="5" t="s">
        <v>20</v>
      </c>
      <c r="I4790" s="5" t="s">
        <v>10903</v>
      </c>
      <c r="J4790" s="12" t="str">
        <f>HYPERLINK("https://www.boe.es/gazeta/dias/1805/06/25/pdfs/GMD-1805-51.pdf#page=8","Abrir facsímil")</f>
        <v>Abrir facsímil</v>
      </c>
      <c r="K4790" s="15" t="s">
        <v>22</v>
      </c>
    </row>
    <row r="4791" spans="1:11" ht="42" customHeight="1">
      <c r="A4791" s="4" t="s">
        <v>10904</v>
      </c>
      <c r="B4791" s="5" t="s">
        <v>10904</v>
      </c>
      <c r="C4791" s="5" t="s">
        <v>17</v>
      </c>
      <c r="D4791" s="5" t="s">
        <v>18</v>
      </c>
      <c r="E4791" s="5" t="s">
        <v>733</v>
      </c>
      <c r="F4791" s="9">
        <v>45</v>
      </c>
      <c r="G4791" s="9">
        <v>484</v>
      </c>
      <c r="H4791" s="5" t="s">
        <v>20</v>
      </c>
      <c r="I4791" s="5" t="s">
        <v>10905</v>
      </c>
      <c r="J4791" s="12" t="str">
        <f>HYPERLINK("https://www.boe.es/gazeta/dias/1805/06/04/pdfs/GMD-1805-45.pdf#page=8","Abrir facsímil")</f>
        <v>Abrir facsímil</v>
      </c>
      <c r="K4791" s="15" t="s">
        <v>22</v>
      </c>
    </row>
    <row r="4792" spans="1:11" ht="42" customHeight="1">
      <c r="A4792" s="4" t="s">
        <v>10906</v>
      </c>
      <c r="B4792" s="5" t="s">
        <v>10907</v>
      </c>
      <c r="C4792" s="5" t="s">
        <v>35</v>
      </c>
      <c r="D4792" s="5" t="s">
        <v>36</v>
      </c>
      <c r="E4792" s="5" t="s">
        <v>226</v>
      </c>
      <c r="F4792" s="9">
        <v>73</v>
      </c>
      <c r="G4792" s="9">
        <v>773</v>
      </c>
      <c r="H4792" s="5" t="s">
        <v>20</v>
      </c>
      <c r="I4792" s="5" t="s">
        <v>10908</v>
      </c>
      <c r="J4792" s="12" t="str">
        <f>HYPERLINK("https://www.boe.es/gazeta/dias/1805/09/10/pdfs/GMD-1805-73.pdf#page=5","Abrir facsímil")</f>
        <v>Abrir facsímil</v>
      </c>
      <c r="K4792" s="15" t="s">
        <v>22</v>
      </c>
    </row>
    <row r="4793" spans="1:11" ht="42" customHeight="1">
      <c r="A4793" s="4" t="s">
        <v>10909</v>
      </c>
      <c r="B4793" s="5" t="s">
        <v>10910</v>
      </c>
      <c r="C4793" s="5" t="s">
        <v>80</v>
      </c>
      <c r="D4793" s="5" t="s">
        <v>81</v>
      </c>
      <c r="E4793" s="5" t="s">
        <v>54</v>
      </c>
      <c r="F4793" s="9">
        <v>99</v>
      </c>
      <c r="G4793" s="9">
        <v>1064</v>
      </c>
      <c r="H4793" s="5" t="s">
        <v>20</v>
      </c>
      <c r="I4793" s="5" t="s">
        <v>10911</v>
      </c>
      <c r="J4793" s="12" t="str">
        <f>HYPERLINK("https://www.boe.es/gazeta/dias/1805/12/10/pdfs/GMD-1805-99.pdf#page=4","Abrir facsímil")</f>
        <v>Abrir facsímil</v>
      </c>
      <c r="K4793" s="15" t="s">
        <v>22</v>
      </c>
    </row>
    <row r="4794" spans="1:11" ht="42" customHeight="1">
      <c r="A4794" s="4" t="s">
        <v>10912</v>
      </c>
      <c r="B4794" s="5" t="s">
        <v>10913</v>
      </c>
      <c r="C4794" s="5" t="s">
        <v>80</v>
      </c>
      <c r="D4794" s="5" t="s">
        <v>81</v>
      </c>
      <c r="E4794" s="5" t="s">
        <v>19</v>
      </c>
      <c r="F4794" s="9">
        <v>86</v>
      </c>
      <c r="G4794" s="9">
        <v>906</v>
      </c>
      <c r="H4794" s="5" t="s">
        <v>20</v>
      </c>
      <c r="I4794" s="5" t="s">
        <v>10914</v>
      </c>
      <c r="J4794" s="12" t="str">
        <f>HYPERLINK("https://www.boe.es/gazeta/dias/1805/10/25/pdfs/GMD-1805-86.pdf#page=2","Abrir facsímil")</f>
        <v>Abrir facsímil</v>
      </c>
      <c r="K4794" s="15" t="s">
        <v>22</v>
      </c>
    </row>
    <row r="4795" spans="1:11" ht="42" customHeight="1">
      <c r="A4795" s="4" t="s">
        <v>10912</v>
      </c>
      <c r="B4795" s="5" t="s">
        <v>10913</v>
      </c>
      <c r="C4795" s="5" t="s">
        <v>80</v>
      </c>
      <c r="D4795" s="5" t="s">
        <v>81</v>
      </c>
      <c r="E4795" s="5" t="s">
        <v>19</v>
      </c>
      <c r="F4795" s="9">
        <v>86</v>
      </c>
      <c r="G4795" s="9">
        <v>912</v>
      </c>
      <c r="H4795" s="5" t="s">
        <v>20</v>
      </c>
      <c r="I4795" s="5" t="s">
        <v>10915</v>
      </c>
      <c r="J4795" s="12" t="str">
        <f>HYPERLINK("https://www.boe.es/gazeta/dias/1805/10/25/pdfs/GMD-1805-86.pdf#page=8","Abrir facsímil")</f>
        <v>Abrir facsímil</v>
      </c>
      <c r="K4795" s="15" t="s">
        <v>22</v>
      </c>
    </row>
    <row r="4796" spans="1:11" ht="42" customHeight="1">
      <c r="A4796" s="4" t="s">
        <v>10912</v>
      </c>
      <c r="B4796" s="5" t="s">
        <v>10913</v>
      </c>
      <c r="C4796" s="5" t="s">
        <v>80</v>
      </c>
      <c r="D4796" s="5" t="s">
        <v>81</v>
      </c>
      <c r="E4796" s="5" t="s">
        <v>215</v>
      </c>
      <c r="F4796" s="9">
        <v>87</v>
      </c>
      <c r="G4796" s="9">
        <v>923</v>
      </c>
      <c r="H4796" s="5" t="s">
        <v>20</v>
      </c>
      <c r="I4796" s="5" t="s">
        <v>10916</v>
      </c>
      <c r="J4796" s="12" t="str">
        <f>HYPERLINK("https://www.boe.es/gazeta/dias/1805/10/29/pdfs/GMD-1805-87.pdf#page=7","Abrir facsímil")</f>
        <v>Abrir facsímil</v>
      </c>
      <c r="K4796" s="15" t="s">
        <v>22</v>
      </c>
    </row>
    <row r="4797" spans="1:11" ht="42" customHeight="1">
      <c r="A4797" s="4" t="s">
        <v>10912</v>
      </c>
      <c r="B4797" s="5" t="s">
        <v>10913</v>
      </c>
      <c r="C4797" s="5" t="s">
        <v>80</v>
      </c>
      <c r="D4797" s="5" t="s">
        <v>81</v>
      </c>
      <c r="E4797" s="5" t="s">
        <v>215</v>
      </c>
      <c r="F4797" s="9">
        <v>87</v>
      </c>
      <c r="G4797" s="9">
        <v>924</v>
      </c>
      <c r="H4797" s="5" t="s">
        <v>20</v>
      </c>
      <c r="I4797" s="5" t="s">
        <v>10917</v>
      </c>
      <c r="J4797" s="12" t="str">
        <f>HYPERLINK("https://www.boe.es/gazeta/dias/1805/10/29/pdfs/GMD-1805-87.pdf#page=8","Abrir facsímil")</f>
        <v>Abrir facsímil</v>
      </c>
      <c r="K4797" s="15" t="s">
        <v>22</v>
      </c>
    </row>
    <row r="4798" spans="1:11" ht="42" customHeight="1">
      <c r="A4798" s="4" t="s">
        <v>10912</v>
      </c>
      <c r="B4798" s="5" t="s">
        <v>10913</v>
      </c>
      <c r="C4798" s="5" t="s">
        <v>184</v>
      </c>
      <c r="D4798" s="5" t="s">
        <v>86</v>
      </c>
      <c r="E4798" s="5" t="s">
        <v>215</v>
      </c>
      <c r="F4798" s="9">
        <v>87</v>
      </c>
      <c r="G4798" s="9">
        <v>927</v>
      </c>
      <c r="H4798" s="5" t="s">
        <v>20</v>
      </c>
      <c r="I4798" s="5" t="s">
        <v>10918</v>
      </c>
      <c r="J4798" s="12" t="str">
        <f>HYPERLINK("https://www.boe.es/gazeta/dias/1805/10/29/pdfs/GMD-1805-87.pdf#page=11","Abrir facsímil")</f>
        <v>Abrir facsímil</v>
      </c>
      <c r="K4798" s="15" t="s">
        <v>22</v>
      </c>
    </row>
    <row r="4799" spans="1:11" ht="42" customHeight="1">
      <c r="A4799" s="4" t="s">
        <v>10912</v>
      </c>
      <c r="B4799" s="5" t="s">
        <v>10913</v>
      </c>
      <c r="C4799" s="5" t="s">
        <v>80</v>
      </c>
      <c r="D4799" s="5" t="s">
        <v>81</v>
      </c>
      <c r="E4799" s="5" t="s">
        <v>864</v>
      </c>
      <c r="F4799" s="9">
        <v>88</v>
      </c>
      <c r="G4799" s="9">
        <v>933</v>
      </c>
      <c r="H4799" s="5" t="s">
        <v>20</v>
      </c>
      <c r="I4799" s="5" t="s">
        <v>10919</v>
      </c>
      <c r="J4799" s="12" t="str">
        <f>HYPERLINK("https://www.boe.es/gazeta/dias/1805/11/01/pdfs/GMD-1805-88.pdf#page=5","Abrir facsímil")</f>
        <v>Abrir facsímil</v>
      </c>
      <c r="K4799" s="15" t="s">
        <v>22</v>
      </c>
    </row>
    <row r="4800" spans="1:11" ht="42" customHeight="1">
      <c r="A4800" s="4" t="s">
        <v>10912</v>
      </c>
      <c r="B4800" s="5" t="s">
        <v>10913</v>
      </c>
      <c r="C4800" s="5" t="s">
        <v>80</v>
      </c>
      <c r="D4800" s="5" t="s">
        <v>81</v>
      </c>
      <c r="E4800" s="5" t="s">
        <v>864</v>
      </c>
      <c r="F4800" s="9">
        <v>88</v>
      </c>
      <c r="G4800" s="9">
        <v>934</v>
      </c>
      <c r="H4800" s="5" t="s">
        <v>20</v>
      </c>
      <c r="I4800" s="5" t="s">
        <v>10920</v>
      </c>
      <c r="J4800" s="12" t="str">
        <f>HYPERLINK("https://www.boe.es/gazeta/dias/1805/11/01/pdfs/GMD-1805-88.pdf#page=6","Abrir facsímil")</f>
        <v>Abrir facsímil</v>
      </c>
      <c r="K4800" s="15" t="s">
        <v>22</v>
      </c>
    </row>
    <row r="4801" spans="1:11" ht="42" customHeight="1">
      <c r="A4801" s="4" t="s">
        <v>10912</v>
      </c>
      <c r="B4801" s="5" t="s">
        <v>10913</v>
      </c>
      <c r="C4801" s="5" t="s">
        <v>80</v>
      </c>
      <c r="D4801" s="5" t="s">
        <v>81</v>
      </c>
      <c r="E4801" s="5" t="s">
        <v>209</v>
      </c>
      <c r="F4801" s="9">
        <v>89</v>
      </c>
      <c r="G4801" s="9">
        <v>945</v>
      </c>
      <c r="H4801" s="5" t="s">
        <v>20</v>
      </c>
      <c r="I4801" s="5" t="s">
        <v>10921</v>
      </c>
      <c r="J4801" s="12" t="str">
        <f>HYPERLINK("https://www.boe.es/gazeta/dias/1805/11/05/pdfs/GMD-1805-89.pdf#page=5","Abrir facsímil")</f>
        <v>Abrir facsímil</v>
      </c>
      <c r="K4801" s="15" t="s">
        <v>22</v>
      </c>
    </row>
    <row r="4802" spans="1:11" ht="42" customHeight="1">
      <c r="A4802" s="4" t="s">
        <v>10912</v>
      </c>
      <c r="B4802" s="5" t="s">
        <v>10913</v>
      </c>
      <c r="C4802" s="5" t="s">
        <v>80</v>
      </c>
      <c r="D4802" s="5" t="s">
        <v>81</v>
      </c>
      <c r="E4802" s="5" t="s">
        <v>209</v>
      </c>
      <c r="F4802" s="9">
        <v>89</v>
      </c>
      <c r="G4802" s="9">
        <v>951</v>
      </c>
      <c r="H4802" s="5" t="s">
        <v>20</v>
      </c>
      <c r="I4802" s="5" t="s">
        <v>10922</v>
      </c>
      <c r="J4802" s="12" t="str">
        <f>HYPERLINK("https://www.boe.es/gazeta/dias/1805/11/05/pdfs/GMD-1805-89.pdf#page=11","Abrir facsímil")</f>
        <v>Abrir facsímil</v>
      </c>
      <c r="K4802" s="15" t="s">
        <v>22</v>
      </c>
    </row>
    <row r="4803" spans="1:11" ht="42" customHeight="1">
      <c r="A4803" s="4" t="s">
        <v>10912</v>
      </c>
      <c r="B4803" s="5" t="s">
        <v>10913</v>
      </c>
      <c r="C4803" s="5" t="s">
        <v>80</v>
      </c>
      <c r="D4803" s="5" t="s">
        <v>81</v>
      </c>
      <c r="E4803" s="5" t="s">
        <v>886</v>
      </c>
      <c r="F4803" s="9">
        <v>93</v>
      </c>
      <c r="G4803" s="9">
        <v>995</v>
      </c>
      <c r="H4803" s="5" t="s">
        <v>20</v>
      </c>
      <c r="I4803" s="5" t="s">
        <v>10923</v>
      </c>
      <c r="J4803" s="12" t="str">
        <f>HYPERLINK("https://www.boe.es/gazeta/dias/1805/11/19/pdfs/GMD-1805-93.pdf#page=7","Abrir facsímil")</f>
        <v>Abrir facsímil</v>
      </c>
      <c r="K4803" s="15" t="s">
        <v>22</v>
      </c>
    </row>
    <row r="4804" spans="1:11" ht="42" customHeight="1">
      <c r="A4804" s="4" t="s">
        <v>10912</v>
      </c>
      <c r="B4804" s="5" t="s">
        <v>10913</v>
      </c>
      <c r="C4804" s="5" t="s">
        <v>80</v>
      </c>
      <c r="D4804" s="5" t="s">
        <v>81</v>
      </c>
      <c r="E4804" s="5" t="s">
        <v>217</v>
      </c>
      <c r="F4804" s="9">
        <v>96</v>
      </c>
      <c r="G4804" s="9">
        <v>1025</v>
      </c>
      <c r="H4804" s="5" t="s">
        <v>20</v>
      </c>
      <c r="I4804" s="5" t="s">
        <v>10924</v>
      </c>
      <c r="J4804" s="12" t="str">
        <f>HYPERLINK("https://www.boe.es/gazeta/dias/1805/11/29/pdfs/GMD-1805-96.pdf#page=1","Abrir facsímil")</f>
        <v>Abrir facsímil</v>
      </c>
      <c r="K4804" s="15" t="s">
        <v>22</v>
      </c>
    </row>
    <row r="4805" spans="1:11" ht="42" customHeight="1">
      <c r="A4805" s="4" t="s">
        <v>10912</v>
      </c>
      <c r="B4805" s="5" t="s">
        <v>10913</v>
      </c>
      <c r="C4805" s="5" t="s">
        <v>80</v>
      </c>
      <c r="D4805" s="5" t="s">
        <v>81</v>
      </c>
      <c r="E4805" s="5" t="s">
        <v>217</v>
      </c>
      <c r="F4805" s="9">
        <v>96</v>
      </c>
      <c r="G4805" s="9">
        <v>1026</v>
      </c>
      <c r="H4805" s="5" t="s">
        <v>20</v>
      </c>
      <c r="I4805" s="5" t="s">
        <v>10925</v>
      </c>
      <c r="J4805" s="12" t="str">
        <f>HYPERLINK("https://www.boe.es/gazeta/dias/1805/11/29/pdfs/GMD-1805-96.pdf#page=2","Abrir facsímil")</f>
        <v>Abrir facsímil</v>
      </c>
      <c r="K4805" s="15" t="s">
        <v>22</v>
      </c>
    </row>
    <row r="4806" spans="1:11" ht="42" customHeight="1">
      <c r="A4806" s="4" t="s">
        <v>10912</v>
      </c>
      <c r="B4806" s="5" t="s">
        <v>10913</v>
      </c>
      <c r="C4806" s="5" t="s">
        <v>80</v>
      </c>
      <c r="D4806" s="5" t="s">
        <v>81</v>
      </c>
      <c r="E4806" s="5" t="s">
        <v>67</v>
      </c>
      <c r="F4806" s="9">
        <v>98</v>
      </c>
      <c r="G4806" s="9">
        <v>1056</v>
      </c>
      <c r="H4806" s="5" t="s">
        <v>20</v>
      </c>
      <c r="I4806" s="5" t="s">
        <v>10926</v>
      </c>
      <c r="J4806" s="12" t="str">
        <f>HYPERLINK("https://www.boe.es/gazeta/dias/1805/12/06/pdfs/GMD-1805-98.pdf#page=8","Abrir facsímil")</f>
        <v>Abrir facsímil</v>
      </c>
      <c r="K4806" s="15" t="s">
        <v>22</v>
      </c>
    </row>
    <row r="4807" spans="1:11" ht="42" customHeight="1">
      <c r="A4807" s="4" t="s">
        <v>10912</v>
      </c>
      <c r="B4807" s="5" t="s">
        <v>10913</v>
      </c>
      <c r="C4807" s="5" t="s">
        <v>29</v>
      </c>
      <c r="D4807" s="5" t="s">
        <v>30</v>
      </c>
      <c r="E4807" s="5" t="s">
        <v>67</v>
      </c>
      <c r="F4807" s="9">
        <v>98</v>
      </c>
      <c r="G4807" s="9">
        <v>1057</v>
      </c>
      <c r="H4807" s="5" t="s">
        <v>20</v>
      </c>
      <c r="I4807" s="5" t="s">
        <v>10927</v>
      </c>
      <c r="J4807" s="12" t="str">
        <f>HYPERLINK("https://www.boe.es/gazeta/dias/1805/12/06/pdfs/GMD-1805-98.pdf#page=9","Abrir facsímil")</f>
        <v>Abrir facsímil</v>
      </c>
      <c r="K4807" s="15" t="s">
        <v>22</v>
      </c>
    </row>
    <row r="4808" spans="1:11" ht="42" customHeight="1">
      <c r="A4808" s="4" t="s">
        <v>10912</v>
      </c>
      <c r="B4808" s="5" t="s">
        <v>10913</v>
      </c>
      <c r="C4808" s="5" t="s">
        <v>80</v>
      </c>
      <c r="D4808" s="5" t="s">
        <v>81</v>
      </c>
      <c r="E4808" s="5" t="s">
        <v>54</v>
      </c>
      <c r="F4808" s="9">
        <v>99</v>
      </c>
      <c r="G4808" s="9">
        <v>1062</v>
      </c>
      <c r="H4808" s="5" t="s">
        <v>20</v>
      </c>
      <c r="I4808" s="5" t="s">
        <v>10928</v>
      </c>
      <c r="J4808" s="12" t="str">
        <f>HYPERLINK("https://www.boe.es/gazeta/dias/1805/12/10/pdfs/GMD-1805-99.pdf#page=2","Abrir facsímil")</f>
        <v>Abrir facsímil</v>
      </c>
      <c r="K4808" s="15" t="s">
        <v>22</v>
      </c>
    </row>
    <row r="4809" spans="1:11" ht="42" customHeight="1">
      <c r="A4809" s="4" t="s">
        <v>10912</v>
      </c>
      <c r="B4809" s="5" t="s">
        <v>10913</v>
      </c>
      <c r="C4809" s="5" t="s">
        <v>80</v>
      </c>
      <c r="D4809" s="5" t="s">
        <v>81</v>
      </c>
      <c r="E4809" s="5" t="s">
        <v>512</v>
      </c>
      <c r="F4809" s="9">
        <v>100</v>
      </c>
      <c r="G4809" s="9">
        <v>1080</v>
      </c>
      <c r="H4809" s="5" t="s">
        <v>20</v>
      </c>
      <c r="I4809" s="5" t="s">
        <v>10929</v>
      </c>
      <c r="J4809" s="12" t="str">
        <f>HYPERLINK("https://www.boe.es/gazeta/dias/1805/12/13/pdfs/GMD-1805-100.pdf#page=8","Abrir facsímil")</f>
        <v>Abrir facsímil</v>
      </c>
      <c r="K4809" s="15" t="s">
        <v>22</v>
      </c>
    </row>
    <row r="4810" spans="1:11" ht="42" customHeight="1">
      <c r="A4810" s="4" t="s">
        <v>10912</v>
      </c>
      <c r="B4810" s="5" t="s">
        <v>10913</v>
      </c>
      <c r="C4810" s="5" t="s">
        <v>80</v>
      </c>
      <c r="D4810" s="5" t="s">
        <v>81</v>
      </c>
      <c r="E4810" s="5" t="s">
        <v>192</v>
      </c>
      <c r="F4810" s="9">
        <v>105</v>
      </c>
      <c r="G4810" s="9">
        <v>1135</v>
      </c>
      <c r="H4810" s="5" t="s">
        <v>20</v>
      </c>
      <c r="I4810" s="5" t="s">
        <v>10930</v>
      </c>
      <c r="J4810" s="12" t="str">
        <f>HYPERLINK("https://www.boe.es/gazeta/dias/1805/12/31/pdfs/GMD-1805-105.pdf#page=7","Abrir facsímil")</f>
        <v>Abrir facsímil</v>
      </c>
      <c r="K4810" s="15" t="s">
        <v>22</v>
      </c>
    </row>
    <row r="4811" spans="1:11" ht="42" customHeight="1">
      <c r="A4811" s="4" t="s">
        <v>10931</v>
      </c>
      <c r="B4811" s="5" t="s">
        <v>10932</v>
      </c>
      <c r="C4811" s="5" t="s">
        <v>85</v>
      </c>
      <c r="D4811" s="5" t="s">
        <v>86</v>
      </c>
      <c r="E4811" s="5" t="s">
        <v>281</v>
      </c>
      <c r="F4811" s="9">
        <v>15</v>
      </c>
      <c r="G4811" s="9">
        <v>156</v>
      </c>
      <c r="H4811" s="5" t="s">
        <v>20</v>
      </c>
      <c r="I4811" s="5" t="s">
        <v>10933</v>
      </c>
      <c r="J4811" s="12" t="str">
        <f>HYPERLINK("https://www.boe.es/gazeta/dias/1805/02/19/pdfs/GMD-1805-15.pdf#page=8","Abrir facsímil")</f>
        <v>Abrir facsímil</v>
      </c>
      <c r="K4811" s="15" t="s">
        <v>22</v>
      </c>
    </row>
    <row r="4812" spans="1:11" ht="42" customHeight="1">
      <c r="A4812" s="4" t="s">
        <v>10934</v>
      </c>
      <c r="B4812" s="5" t="s">
        <v>10935</v>
      </c>
      <c r="C4812" s="5" t="s">
        <v>35</v>
      </c>
      <c r="D4812" s="5" t="s">
        <v>36</v>
      </c>
      <c r="E4812" s="5" t="s">
        <v>76</v>
      </c>
      <c r="F4812" s="9">
        <v>66</v>
      </c>
      <c r="G4812" s="9">
        <v>708</v>
      </c>
      <c r="H4812" s="5" t="s">
        <v>20</v>
      </c>
      <c r="I4812" s="5" t="s">
        <v>10936</v>
      </c>
      <c r="J4812" s="12" t="str">
        <f>HYPERLINK("https://www.boe.es/gazeta/dias/1805/08/16/pdfs/GMD-1805-66.pdf#page=8","Abrir facsímil")</f>
        <v>Abrir facsímil</v>
      </c>
      <c r="K4812" s="15" t="s">
        <v>22</v>
      </c>
    </row>
    <row r="4813" spans="1:11" ht="42" customHeight="1">
      <c r="A4813" s="4" t="s">
        <v>10937</v>
      </c>
      <c r="B4813" s="5" t="s">
        <v>10938</v>
      </c>
      <c r="C4813" s="5" t="s">
        <v>80</v>
      </c>
      <c r="D4813" s="5" t="s">
        <v>81</v>
      </c>
      <c r="E4813" s="5" t="s">
        <v>864</v>
      </c>
      <c r="F4813" s="9">
        <v>88</v>
      </c>
      <c r="G4813" s="9">
        <v>936</v>
      </c>
      <c r="H4813" s="5" t="s">
        <v>20</v>
      </c>
      <c r="I4813" s="5" t="s">
        <v>10939</v>
      </c>
      <c r="J4813" s="12" t="str">
        <f>HYPERLINK("https://www.boe.es/gazeta/dias/1805/11/01/pdfs/GMD-1805-88.pdf#page=8","Abrir facsímil")</f>
        <v>Abrir facsímil</v>
      </c>
      <c r="K4813" s="15" t="s">
        <v>22</v>
      </c>
    </row>
    <row r="4814" spans="1:11" ht="42" customHeight="1">
      <c r="A4814" s="4" t="s">
        <v>10940</v>
      </c>
      <c r="B4814" s="5" t="s">
        <v>10941</v>
      </c>
      <c r="C4814" s="5" t="s">
        <v>35</v>
      </c>
      <c r="D4814" s="5" t="s">
        <v>36</v>
      </c>
      <c r="E4814" s="5" t="s">
        <v>471</v>
      </c>
      <c r="F4814" s="9">
        <v>22</v>
      </c>
      <c r="G4814" s="9">
        <v>233</v>
      </c>
      <c r="H4814" s="5" t="s">
        <v>20</v>
      </c>
      <c r="I4814" s="5" t="s">
        <v>10942</v>
      </c>
      <c r="J4814" s="12" t="str">
        <f>HYPERLINK("https://www.boe.es/gazeta/dias/1805/03/15/pdfs/GMD-1805-22.pdf#page=9","Abrir facsímil")</f>
        <v>Abrir facsímil</v>
      </c>
      <c r="K4814" s="15" t="s">
        <v>22</v>
      </c>
    </row>
    <row r="4815" spans="1:11" ht="42" customHeight="1">
      <c r="A4815" s="4" t="s">
        <v>10943</v>
      </c>
      <c r="B4815" s="5" t="s">
        <v>10944</v>
      </c>
      <c r="C4815" s="5" t="s">
        <v>35</v>
      </c>
      <c r="D4815" s="5" t="s">
        <v>36</v>
      </c>
      <c r="E4815" s="5" t="s">
        <v>539</v>
      </c>
      <c r="F4815" s="9">
        <v>97</v>
      </c>
      <c r="G4815" s="9">
        <v>1044</v>
      </c>
      <c r="H4815" s="5" t="s">
        <v>20</v>
      </c>
      <c r="I4815" s="5" t="s">
        <v>10945</v>
      </c>
      <c r="J4815" s="12" t="str">
        <f>HYPERLINK("https://www.boe.es/gazeta/dias/1805/12/03/pdfs/GMD-1805-97.pdf#page=8","Abrir facsímil")</f>
        <v>Abrir facsímil</v>
      </c>
      <c r="K4815" s="15" t="s">
        <v>22</v>
      </c>
    </row>
    <row r="4816" spans="1:11" ht="42" customHeight="1">
      <c r="A4816" s="4" t="s">
        <v>10946</v>
      </c>
      <c r="B4816" s="5" t="s">
        <v>10947</v>
      </c>
      <c r="C4816" s="5" t="s">
        <v>17</v>
      </c>
      <c r="D4816" s="5" t="s">
        <v>18</v>
      </c>
      <c r="E4816" s="5" t="s">
        <v>59</v>
      </c>
      <c r="F4816" s="9">
        <v>21</v>
      </c>
      <c r="G4816" s="9">
        <v>217</v>
      </c>
      <c r="H4816" s="5" t="s">
        <v>20</v>
      </c>
      <c r="I4816" s="5" t="s">
        <v>10948</v>
      </c>
      <c r="J4816" s="12" t="str">
        <f>HYPERLINK("https://www.boe.es/gazeta/dias/1805/03/12/pdfs/GMD-1805-21.pdf#page=5","Abrir facsímil")</f>
        <v>Abrir facsímil</v>
      </c>
      <c r="K4816" s="15" t="s">
        <v>22</v>
      </c>
    </row>
    <row r="4817" spans="1:11" ht="42" customHeight="1">
      <c r="A4817" s="4" t="s">
        <v>10949</v>
      </c>
      <c r="B4817" s="5" t="s">
        <v>10950</v>
      </c>
      <c r="C4817" s="5" t="s">
        <v>17</v>
      </c>
      <c r="D4817" s="5" t="s">
        <v>18</v>
      </c>
      <c r="E4817" s="5" t="s">
        <v>63</v>
      </c>
      <c r="F4817" s="9">
        <v>101</v>
      </c>
      <c r="G4817" s="9">
        <v>1092</v>
      </c>
      <c r="H4817" s="5" t="s">
        <v>20</v>
      </c>
      <c r="I4817" s="5" t="s">
        <v>10951</v>
      </c>
      <c r="J4817" s="12" t="str">
        <f>HYPERLINK("https://www.boe.es/gazeta/dias/1805/12/17/pdfs/GMD-1805-101.pdf#page=8","Abrir facsímil")</f>
        <v>Abrir facsímil</v>
      </c>
      <c r="K4817" s="15" t="s">
        <v>22</v>
      </c>
    </row>
    <row r="4818" spans="1:11" ht="42" customHeight="1">
      <c r="A4818" s="4" t="s">
        <v>10952</v>
      </c>
      <c r="B4818" s="5" t="s">
        <v>10953</v>
      </c>
      <c r="C4818" s="5" t="s">
        <v>35</v>
      </c>
      <c r="D4818" s="5" t="s">
        <v>36</v>
      </c>
      <c r="E4818" s="5" t="s">
        <v>207</v>
      </c>
      <c r="F4818" s="9">
        <v>76</v>
      </c>
      <c r="G4818" s="9">
        <v>806</v>
      </c>
      <c r="H4818" s="5" t="s">
        <v>20</v>
      </c>
      <c r="I4818" s="5" t="s">
        <v>10954</v>
      </c>
      <c r="J4818" s="12" t="str">
        <f>HYPERLINK("https://www.boe.es/gazeta/dias/1805/09/20/pdfs/GMD-1805-76.pdf#page=6","Abrir facsímil")</f>
        <v>Abrir facsímil</v>
      </c>
      <c r="K4818" s="15" t="s">
        <v>22</v>
      </c>
    </row>
    <row r="4819" spans="1:11" ht="42" customHeight="1">
      <c r="A4819" s="4" t="s">
        <v>10955</v>
      </c>
      <c r="B4819" s="5" t="s">
        <v>10955</v>
      </c>
      <c r="C4819" s="5" t="s">
        <v>35</v>
      </c>
      <c r="D4819" s="5" t="s">
        <v>36</v>
      </c>
      <c r="E4819" s="5" t="s">
        <v>67</v>
      </c>
      <c r="F4819" s="9">
        <v>98</v>
      </c>
      <c r="G4819" s="9">
        <v>1059</v>
      </c>
      <c r="H4819" s="5" t="s">
        <v>20</v>
      </c>
      <c r="I4819" s="5" t="s">
        <v>10956</v>
      </c>
      <c r="J4819" s="12" t="str">
        <f>HYPERLINK("https://www.boe.es/gazeta/dias/1805/12/06/pdfs/GMD-1805-98.pdf#page=11","Abrir facsímil")</f>
        <v>Abrir facsímil</v>
      </c>
      <c r="K4819" s="15" t="s">
        <v>22</v>
      </c>
    </row>
    <row r="4820" spans="1:11" ht="42" customHeight="1">
      <c r="A4820" s="4" t="s">
        <v>10957</v>
      </c>
      <c r="B4820" s="5" t="s">
        <v>10957</v>
      </c>
      <c r="C4820" s="5" t="s">
        <v>17</v>
      </c>
      <c r="D4820" s="5" t="s">
        <v>18</v>
      </c>
      <c r="E4820" s="5" t="s">
        <v>1432</v>
      </c>
      <c r="F4820" s="9">
        <v>53</v>
      </c>
      <c r="G4820" s="9">
        <v>567</v>
      </c>
      <c r="H4820" s="5" t="s">
        <v>20</v>
      </c>
      <c r="I4820" s="5" t="s">
        <v>10958</v>
      </c>
      <c r="J4820" s="12" t="str">
        <f>HYPERLINK("https://www.boe.es/gazeta/dias/1805/07/02/pdfs/GMD-1805-53.pdf#page=3","Abrir facsímil")</f>
        <v>Abrir facsímil</v>
      </c>
      <c r="K4820" s="15" t="s">
        <v>22</v>
      </c>
    </row>
    <row r="4821" spans="1:11" ht="42" customHeight="1">
      <c r="A4821" s="4" t="s">
        <v>10957</v>
      </c>
      <c r="B4821" s="5" t="s">
        <v>10957</v>
      </c>
      <c r="C4821" s="5" t="s">
        <v>17</v>
      </c>
      <c r="D4821" s="5" t="s">
        <v>18</v>
      </c>
      <c r="E4821" s="5" t="s">
        <v>352</v>
      </c>
      <c r="F4821" s="9">
        <v>60</v>
      </c>
      <c r="G4821" s="9">
        <v>637</v>
      </c>
      <c r="H4821" s="5" t="s">
        <v>20</v>
      </c>
      <c r="I4821" s="5" t="s">
        <v>10959</v>
      </c>
      <c r="J4821" s="12" t="str">
        <f>HYPERLINK("https://www.boe.es/gazeta/dias/1805/07/26/pdfs/GMD-1805-60.pdf#page=1","Abrir facsímil")</f>
        <v>Abrir facsímil</v>
      </c>
      <c r="K4821" s="15" t="s">
        <v>22</v>
      </c>
    </row>
    <row r="4822" spans="1:11" ht="42" customHeight="1">
      <c r="A4822" s="4" t="s">
        <v>10960</v>
      </c>
      <c r="B4822" s="5" t="s">
        <v>10960</v>
      </c>
      <c r="C4822" s="5" t="s">
        <v>80</v>
      </c>
      <c r="D4822" s="5" t="s">
        <v>81</v>
      </c>
      <c r="E4822" s="5" t="s">
        <v>789</v>
      </c>
      <c r="F4822" s="9">
        <v>104</v>
      </c>
      <c r="G4822" s="9">
        <v>1122</v>
      </c>
      <c r="H4822" s="5" t="s">
        <v>20</v>
      </c>
      <c r="I4822" s="5" t="s">
        <v>10961</v>
      </c>
      <c r="J4822" s="12" t="str">
        <f>HYPERLINK("https://www.boe.es/gazeta/dias/1805/12/27/pdfs/GMD-1805-104.pdf#page=6","Abrir facsímil")</f>
        <v>Abrir facsímil</v>
      </c>
      <c r="K4822" s="15" t="s">
        <v>22</v>
      </c>
    </row>
    <row r="4823" spans="1:11" ht="42" customHeight="1">
      <c r="A4823" s="4" t="s">
        <v>10962</v>
      </c>
      <c r="B4823" s="5" t="s">
        <v>10962</v>
      </c>
      <c r="C4823" s="5" t="s">
        <v>80</v>
      </c>
      <c r="D4823" s="5" t="s">
        <v>81</v>
      </c>
      <c r="E4823" s="5" t="s">
        <v>585</v>
      </c>
      <c r="F4823" s="9">
        <v>64</v>
      </c>
      <c r="G4823" s="9">
        <v>682</v>
      </c>
      <c r="H4823" s="5" t="s">
        <v>20</v>
      </c>
      <c r="I4823" s="5" t="s">
        <v>10963</v>
      </c>
      <c r="J4823" s="12" t="str">
        <f>HYPERLINK("https://www.boe.es/gazeta/dias/1805/08/09/pdfs/GMD-1805-64.pdf#page=6","Abrir facsímil")</f>
        <v>Abrir facsímil</v>
      </c>
      <c r="K4823" s="15" t="s">
        <v>22</v>
      </c>
    </row>
    <row r="4824" spans="1:11" ht="42" customHeight="1">
      <c r="A4824" s="4" t="s">
        <v>10962</v>
      </c>
      <c r="B4824" s="5" t="s">
        <v>10962</v>
      </c>
      <c r="C4824" s="5" t="s">
        <v>80</v>
      </c>
      <c r="D4824" s="5" t="s">
        <v>81</v>
      </c>
      <c r="E4824" s="5" t="s">
        <v>300</v>
      </c>
      <c r="F4824" s="9">
        <v>81</v>
      </c>
      <c r="G4824" s="9">
        <v>856</v>
      </c>
      <c r="H4824" s="5" t="s">
        <v>20</v>
      </c>
      <c r="I4824" s="5" t="s">
        <v>10964</v>
      </c>
      <c r="J4824" s="12" t="str">
        <f>HYPERLINK("https://www.boe.es/gazeta/dias/1805/10/08/pdfs/GMD-1805-81.pdf#page=4","Abrir facsímil")</f>
        <v>Abrir facsímil</v>
      </c>
      <c r="K4824" s="15" t="s">
        <v>22</v>
      </c>
    </row>
    <row r="4825" spans="1:11" ht="42" customHeight="1">
      <c r="A4825" s="4" t="s">
        <v>10962</v>
      </c>
      <c r="B4825" s="5" t="s">
        <v>10962</v>
      </c>
      <c r="C4825" s="5" t="s">
        <v>35</v>
      </c>
      <c r="D4825" s="5" t="s">
        <v>36</v>
      </c>
      <c r="E4825" s="5" t="s">
        <v>181</v>
      </c>
      <c r="F4825" s="9">
        <v>90</v>
      </c>
      <c r="G4825" s="9">
        <v>960</v>
      </c>
      <c r="H4825" s="5" t="s">
        <v>20</v>
      </c>
      <c r="I4825" s="5" t="s">
        <v>10965</v>
      </c>
      <c r="J4825" s="12" t="str">
        <f>HYPERLINK("https://www.boe.es/gazeta/dias/1805/11/08/pdfs/GMD-1805-90.pdf#page=4","Abrir facsímil")</f>
        <v>Abrir facsímil</v>
      </c>
      <c r="K4825" s="15" t="s">
        <v>22</v>
      </c>
    </row>
    <row r="4826" spans="1:11" ht="42" customHeight="1">
      <c r="A4826" s="4" t="s">
        <v>10966</v>
      </c>
      <c r="B4826" s="5" t="s">
        <v>10966</v>
      </c>
      <c r="C4826" s="5" t="s">
        <v>17</v>
      </c>
      <c r="D4826" s="5" t="s">
        <v>18</v>
      </c>
      <c r="E4826" s="5" t="s">
        <v>31</v>
      </c>
      <c r="F4826" s="9">
        <v>65</v>
      </c>
      <c r="G4826" s="9">
        <v>694</v>
      </c>
      <c r="H4826" s="5" t="s">
        <v>20</v>
      </c>
      <c r="I4826" s="5" t="s">
        <v>10967</v>
      </c>
      <c r="J4826" s="12" t="str">
        <f>HYPERLINK("https://www.boe.es/gazeta/dias/1805/08/13/pdfs/GMD-1805-65.pdf#page=6","Abrir facsímil")</f>
        <v>Abrir facsímil</v>
      </c>
      <c r="K4826" s="15" t="s">
        <v>22</v>
      </c>
    </row>
    <row r="4827" spans="1:11" ht="42" customHeight="1">
      <c r="A4827" s="4" t="s">
        <v>10968</v>
      </c>
      <c r="B4827" s="5" t="s">
        <v>10968</v>
      </c>
      <c r="C4827" s="5" t="s">
        <v>29</v>
      </c>
      <c r="D4827" s="5" t="s">
        <v>30</v>
      </c>
      <c r="E4827" s="5" t="s">
        <v>135</v>
      </c>
      <c r="F4827" s="9">
        <v>71</v>
      </c>
      <c r="G4827" s="9">
        <v>754</v>
      </c>
      <c r="H4827" s="5" t="s">
        <v>20</v>
      </c>
      <c r="I4827" s="5" t="s">
        <v>10969</v>
      </c>
      <c r="J4827" s="12" t="str">
        <f>HYPERLINK("https://www.boe.es/gazeta/dias/1805/09/03/pdfs/GMD-1805-71.pdf#page=6","Abrir facsímil")</f>
        <v>Abrir facsímil</v>
      </c>
      <c r="K4827" s="15" t="s">
        <v>22</v>
      </c>
    </row>
    <row r="4828" spans="1:11" ht="42" customHeight="1">
      <c r="A4828" s="4" t="s">
        <v>10970</v>
      </c>
      <c r="B4828" s="5" t="s">
        <v>10971</v>
      </c>
      <c r="C4828" s="5" t="s">
        <v>80</v>
      </c>
      <c r="D4828" s="5" t="s">
        <v>81</v>
      </c>
      <c r="E4828" s="5" t="s">
        <v>711</v>
      </c>
      <c r="F4828" s="9">
        <v>63</v>
      </c>
      <c r="G4828" s="9">
        <v>668</v>
      </c>
      <c r="H4828" s="5" t="s">
        <v>20</v>
      </c>
      <c r="I4828" s="5" t="s">
        <v>10972</v>
      </c>
      <c r="J4828" s="12" t="str">
        <f>HYPERLINK("https://www.boe.es/gazeta/dias/1805/08/06/pdfs/GMD-1805-63.pdf#page=4","Abrir facsímil")</f>
        <v>Abrir facsímil</v>
      </c>
      <c r="K4828" s="15" t="s">
        <v>22</v>
      </c>
    </row>
    <row r="4829" spans="1:11" ht="42" customHeight="1">
      <c r="A4829" s="4" t="s">
        <v>10973</v>
      </c>
      <c r="B4829" s="5" t="s">
        <v>10973</v>
      </c>
      <c r="C4829" s="5" t="s">
        <v>17</v>
      </c>
      <c r="D4829" s="5" t="s">
        <v>18</v>
      </c>
      <c r="E4829" s="5" t="s">
        <v>300</v>
      </c>
      <c r="F4829" s="9">
        <v>81</v>
      </c>
      <c r="G4829" s="9">
        <v>859</v>
      </c>
      <c r="H4829" s="5" t="s">
        <v>20</v>
      </c>
      <c r="I4829" s="5" t="s">
        <v>10974</v>
      </c>
      <c r="J4829" s="12" t="str">
        <f>HYPERLINK("https://www.boe.es/gazeta/dias/1805/10/08/pdfs/GMD-1805-81.pdf#page=7","Abrir facsímil")</f>
        <v>Abrir facsímil</v>
      </c>
      <c r="K4829" s="15" t="s">
        <v>22</v>
      </c>
    </row>
    <row r="4830" spans="1:11" ht="42" customHeight="1">
      <c r="A4830" s="4" t="s">
        <v>10975</v>
      </c>
      <c r="B4830" s="5" t="s">
        <v>10976</v>
      </c>
      <c r="C4830" s="5" t="s">
        <v>35</v>
      </c>
      <c r="D4830" s="5" t="s">
        <v>36</v>
      </c>
      <c r="E4830" s="5" t="s">
        <v>91</v>
      </c>
      <c r="F4830" s="9">
        <v>28</v>
      </c>
      <c r="G4830" s="9">
        <v>301</v>
      </c>
      <c r="H4830" s="5" t="s">
        <v>20</v>
      </c>
      <c r="I4830" s="5" t="s">
        <v>10977</v>
      </c>
      <c r="J4830" s="12" t="str">
        <f>HYPERLINK("https://www.boe.es/gazeta/dias/1805/04/05/pdfs/GMD-1805-28.pdf#page=9","Abrir facsímil")</f>
        <v>Abrir facsímil</v>
      </c>
      <c r="K4830" s="15" t="s">
        <v>22</v>
      </c>
    </row>
    <row r="4831" spans="1:11" ht="42" customHeight="1">
      <c r="A4831" s="4" t="s">
        <v>10978</v>
      </c>
      <c r="B4831" s="5" t="s">
        <v>10979</v>
      </c>
      <c r="C4831" s="5" t="s">
        <v>17</v>
      </c>
      <c r="D4831" s="5" t="s">
        <v>18</v>
      </c>
      <c r="E4831" s="5" t="s">
        <v>200</v>
      </c>
      <c r="F4831" s="9">
        <v>91</v>
      </c>
      <c r="G4831" s="9">
        <v>977</v>
      </c>
      <c r="H4831" s="5" t="s">
        <v>20</v>
      </c>
      <c r="I4831" s="5" t="s">
        <v>10980</v>
      </c>
      <c r="J4831" s="12" t="str">
        <f>HYPERLINK("https://www.boe.es/gazeta/dias/1805/11/12/pdfs/GMD-1805-91.pdf#page=9","Abrir facsímil")</f>
        <v>Abrir facsímil</v>
      </c>
      <c r="K4831" s="15" t="s">
        <v>22</v>
      </c>
    </row>
    <row r="4832" spans="1:11" ht="42" customHeight="1">
      <c r="A4832" s="4" t="s">
        <v>10978</v>
      </c>
      <c r="B4832" s="5" t="s">
        <v>10979</v>
      </c>
      <c r="C4832" s="5" t="s">
        <v>35</v>
      </c>
      <c r="D4832" s="5" t="s">
        <v>36</v>
      </c>
      <c r="E4832" s="5" t="s">
        <v>495</v>
      </c>
      <c r="F4832" s="9">
        <v>103</v>
      </c>
      <c r="G4832" s="9">
        <v>1114</v>
      </c>
      <c r="H4832" s="5" t="s">
        <v>20</v>
      </c>
      <c r="I4832" s="5" t="s">
        <v>10981</v>
      </c>
      <c r="J4832" s="12" t="str">
        <f>HYPERLINK("https://www.boe.es/gazeta/dias/1805/12/24/pdfs/GMD-1805-103.pdf#page=6","Abrir facsímil")</f>
        <v>Abrir facsímil</v>
      </c>
      <c r="K4832" s="15" t="s">
        <v>22</v>
      </c>
    </row>
    <row r="4833" spans="1:11" ht="42" customHeight="1">
      <c r="A4833" s="4" t="s">
        <v>10982</v>
      </c>
      <c r="B4833" s="5" t="s">
        <v>10983</v>
      </c>
      <c r="C4833" s="5" t="s">
        <v>35</v>
      </c>
      <c r="D4833" s="5" t="s">
        <v>36</v>
      </c>
      <c r="E4833" s="5" t="s">
        <v>120</v>
      </c>
      <c r="F4833" s="9">
        <v>24</v>
      </c>
      <c r="G4833" s="9">
        <v>252</v>
      </c>
      <c r="H4833" s="5" t="s">
        <v>20</v>
      </c>
      <c r="I4833" s="5" t="s">
        <v>10984</v>
      </c>
      <c r="J4833" s="12" t="str">
        <f>HYPERLINK("https://www.boe.es/gazeta/dias/1805/03/22/pdfs/GMD-1805-24.pdf#page=4","Abrir facsímil")</f>
        <v>Abrir facsímil</v>
      </c>
      <c r="K4833" s="15" t="s">
        <v>22</v>
      </c>
    </row>
    <row r="4834" spans="1:11" ht="42" customHeight="1">
      <c r="A4834" s="4" t="s">
        <v>10985</v>
      </c>
      <c r="B4834" s="5" t="s">
        <v>10986</v>
      </c>
      <c r="C4834" s="5" t="s">
        <v>17</v>
      </c>
      <c r="D4834" s="5" t="s">
        <v>18</v>
      </c>
      <c r="E4834" s="5" t="s">
        <v>512</v>
      </c>
      <c r="F4834" s="9">
        <v>100</v>
      </c>
      <c r="G4834" s="9">
        <v>1081</v>
      </c>
      <c r="H4834" s="5" t="s">
        <v>20</v>
      </c>
      <c r="I4834" s="5" t="s">
        <v>10987</v>
      </c>
      <c r="J4834" s="12" t="str">
        <f>HYPERLINK("https://www.boe.es/gazeta/dias/1805/12/13/pdfs/GMD-1805-100.pdf#page=9","Abrir facsímil")</f>
        <v>Abrir facsímil</v>
      </c>
      <c r="K4834" s="15" t="s">
        <v>22</v>
      </c>
    </row>
    <row r="4835" spans="1:11" ht="42" customHeight="1">
      <c r="A4835" s="4" t="s">
        <v>10988</v>
      </c>
      <c r="B4835" s="5" t="s">
        <v>10989</v>
      </c>
      <c r="C4835" s="5" t="s">
        <v>85</v>
      </c>
      <c r="D4835" s="5" t="s">
        <v>86</v>
      </c>
      <c r="E4835" s="5" t="s">
        <v>138</v>
      </c>
      <c r="F4835" s="9">
        <v>102</v>
      </c>
      <c r="G4835" s="9">
        <v>1103</v>
      </c>
      <c r="H4835" s="5" t="s">
        <v>20</v>
      </c>
      <c r="I4835" s="5" t="s">
        <v>10990</v>
      </c>
      <c r="J4835" s="12" t="str">
        <f>HYPERLINK("https://www.boe.es/gazeta/dias/1805/12/20/pdfs/GMD-1805-102.pdf#page=7","Abrir facsímil")</f>
        <v>Abrir facsímil</v>
      </c>
      <c r="K4835" s="15" t="s">
        <v>22</v>
      </c>
    </row>
    <row r="4836" spans="1:11" ht="42" customHeight="1">
      <c r="A4836" s="4" t="s">
        <v>10991</v>
      </c>
      <c r="B4836" s="5" t="s">
        <v>10992</v>
      </c>
      <c r="C4836" s="5" t="s">
        <v>35</v>
      </c>
      <c r="D4836" s="5" t="s">
        <v>36</v>
      </c>
      <c r="E4836" s="5" t="s">
        <v>192</v>
      </c>
      <c r="F4836" s="9">
        <v>105</v>
      </c>
      <c r="G4836" s="9">
        <v>1136</v>
      </c>
      <c r="H4836" s="5" t="s">
        <v>20</v>
      </c>
      <c r="I4836" s="5" t="s">
        <v>10993</v>
      </c>
      <c r="J4836" s="12" t="str">
        <f>HYPERLINK("https://www.boe.es/gazeta/dias/1805/12/31/pdfs/GMD-1805-105.pdf#page=8","Abrir facsímil")</f>
        <v>Abrir facsímil</v>
      </c>
      <c r="K4836" s="15" t="s">
        <v>22</v>
      </c>
    </row>
    <row r="4837" spans="1:11" ht="42" customHeight="1">
      <c r="A4837" s="4" t="s">
        <v>10994</v>
      </c>
      <c r="B4837" s="5" t="s">
        <v>10994</v>
      </c>
      <c r="C4837" s="5" t="s">
        <v>17</v>
      </c>
      <c r="D4837" s="5" t="s">
        <v>18</v>
      </c>
      <c r="E4837" s="5" t="s">
        <v>71</v>
      </c>
      <c r="F4837" s="9">
        <v>33</v>
      </c>
      <c r="G4837" s="9">
        <v>354</v>
      </c>
      <c r="H4837" s="5" t="s">
        <v>20</v>
      </c>
      <c r="I4837" s="5" t="s">
        <v>10995</v>
      </c>
      <c r="J4837" s="12" t="str">
        <f>HYPERLINK("https://www.boe.es/gazeta/dias/1805/04/23/pdfs/GMD-1805-33.pdf#page=10","Abrir facsímil")</f>
        <v>Abrir facsímil</v>
      </c>
      <c r="K4837" s="15" t="s">
        <v>22</v>
      </c>
    </row>
    <row r="4838" spans="1:11" ht="42" customHeight="1">
      <c r="A4838" s="4" t="s">
        <v>10996</v>
      </c>
      <c r="B4838" s="5" t="s">
        <v>10997</v>
      </c>
      <c r="C4838" s="5" t="s">
        <v>80</v>
      </c>
      <c r="D4838" s="5" t="s">
        <v>81</v>
      </c>
      <c r="E4838" s="5" t="s">
        <v>363</v>
      </c>
      <c r="F4838" s="9">
        <v>1</v>
      </c>
      <c r="G4838" s="9">
        <v>4</v>
      </c>
      <c r="H4838" s="5" t="s">
        <v>20</v>
      </c>
      <c r="I4838" s="5" t="s">
        <v>10998</v>
      </c>
      <c r="J4838" s="12" t="str">
        <f>HYPERLINK("https://www.boe.es/gazeta/dias/1805/01/01/pdfs/GMD-1805-1.pdf#page=4","Abrir facsímil")</f>
        <v>Abrir facsímil</v>
      </c>
      <c r="K4838" s="15" t="s">
        <v>22</v>
      </c>
    </row>
    <row r="4839" spans="1:11" ht="42" customHeight="1">
      <c r="A4839" s="4" t="s">
        <v>10999</v>
      </c>
      <c r="B4839" s="5" t="s">
        <v>11000</v>
      </c>
      <c r="C4839" s="5" t="s">
        <v>80</v>
      </c>
      <c r="D4839" s="5" t="s">
        <v>81</v>
      </c>
      <c r="E4839" s="5" t="s">
        <v>363</v>
      </c>
      <c r="F4839" s="9">
        <v>1</v>
      </c>
      <c r="G4839" s="9">
        <v>2</v>
      </c>
      <c r="H4839" s="5" t="s">
        <v>20</v>
      </c>
      <c r="I4839" s="5" t="s">
        <v>11001</v>
      </c>
      <c r="J4839" s="12" t="str">
        <f>HYPERLINK("https://www.boe.es/gazeta/dias/1805/01/01/pdfs/GMD-1805-1.pdf#page=2","Abrir facsímil")</f>
        <v>Abrir facsímil</v>
      </c>
      <c r="K4839" s="15" t="s">
        <v>22</v>
      </c>
    </row>
    <row r="4840" spans="1:11" ht="42" customHeight="1">
      <c r="A4840" s="4" t="s">
        <v>11002</v>
      </c>
      <c r="B4840" s="5" t="s">
        <v>11003</v>
      </c>
      <c r="C4840" s="5" t="s">
        <v>80</v>
      </c>
      <c r="D4840" s="5" t="s">
        <v>81</v>
      </c>
      <c r="E4840" s="5" t="s">
        <v>132</v>
      </c>
      <c r="F4840" s="9">
        <v>2</v>
      </c>
      <c r="G4840" s="9">
        <v>19</v>
      </c>
      <c r="H4840" s="5" t="s">
        <v>20</v>
      </c>
      <c r="I4840" s="5" t="s">
        <v>11004</v>
      </c>
      <c r="J4840" s="12" t="str">
        <f>HYPERLINK("https://www.boe.es/gazeta/dias/1805/01/04/pdfs/GMD-1805-2.pdf#page=7","Abrir facsímil")</f>
        <v>Abrir facsímil</v>
      </c>
      <c r="K4840" s="15" t="s">
        <v>22</v>
      </c>
    </row>
    <row r="4841" spans="1:11" ht="42" customHeight="1">
      <c r="A4841" s="4" t="s">
        <v>11002</v>
      </c>
      <c r="B4841" s="5" t="s">
        <v>11003</v>
      </c>
      <c r="C4841" s="5" t="s">
        <v>35</v>
      </c>
      <c r="D4841" s="5" t="s">
        <v>36</v>
      </c>
      <c r="E4841" s="5" t="s">
        <v>132</v>
      </c>
      <c r="F4841" s="9">
        <v>2</v>
      </c>
      <c r="G4841" s="9">
        <v>20</v>
      </c>
      <c r="H4841" s="5" t="s">
        <v>20</v>
      </c>
      <c r="I4841" s="5" t="s">
        <v>11005</v>
      </c>
      <c r="J4841" s="12" t="str">
        <f>HYPERLINK("https://www.boe.es/gazeta/dias/1805/01/04/pdfs/GMD-1805-2.pdf#page=8","Abrir facsímil")</f>
        <v>Abrir facsímil</v>
      </c>
      <c r="K4841" s="15" t="s">
        <v>22</v>
      </c>
    </row>
    <row r="4842" spans="1:11" ht="42" customHeight="1">
      <c r="A4842" s="4" t="s">
        <v>11006</v>
      </c>
      <c r="B4842" s="5" t="s">
        <v>11007</v>
      </c>
      <c r="C4842" s="5" t="s">
        <v>35</v>
      </c>
      <c r="D4842" s="5" t="s">
        <v>36</v>
      </c>
      <c r="E4842" s="5" t="s">
        <v>54</v>
      </c>
      <c r="F4842" s="9">
        <v>99</v>
      </c>
      <c r="G4842" s="9">
        <v>1068</v>
      </c>
      <c r="H4842" s="5" t="s">
        <v>20</v>
      </c>
      <c r="I4842" s="5" t="s">
        <v>11008</v>
      </c>
      <c r="J4842" s="12" t="str">
        <f>HYPERLINK("https://www.boe.es/gazeta/dias/1805/12/10/pdfs/GMD-1805-99.pdf#page=8","Abrir facsímil")</f>
        <v>Abrir facsímil</v>
      </c>
      <c r="K4842" s="15" t="s">
        <v>22</v>
      </c>
    </row>
    <row r="4843" spans="1:11" ht="42" customHeight="1">
      <c r="A4843" s="4" t="s">
        <v>11009</v>
      </c>
      <c r="B4843" s="5" t="s">
        <v>11010</v>
      </c>
      <c r="C4843" s="5" t="s">
        <v>35</v>
      </c>
      <c r="D4843" s="5" t="s">
        <v>36</v>
      </c>
      <c r="E4843" s="5" t="s">
        <v>59</v>
      </c>
      <c r="F4843" s="9">
        <v>21</v>
      </c>
      <c r="G4843" s="9">
        <v>221</v>
      </c>
      <c r="H4843" s="5" t="s">
        <v>20</v>
      </c>
      <c r="I4843" s="5" t="s">
        <v>11011</v>
      </c>
      <c r="J4843" s="12" t="str">
        <f>HYPERLINK("https://www.boe.es/gazeta/dias/1805/03/12/pdfs/GMD-1805-21.pdf#page=9","Abrir facsímil")</f>
        <v>Abrir facsímil</v>
      </c>
      <c r="K4843" s="15" t="s">
        <v>22</v>
      </c>
    </row>
    <row r="4844" spans="1:11" ht="42" customHeight="1">
      <c r="A4844" s="4" t="s">
        <v>11012</v>
      </c>
      <c r="B4844" s="5" t="s">
        <v>11013</v>
      </c>
      <c r="C4844" s="5" t="s">
        <v>35</v>
      </c>
      <c r="D4844" s="5" t="s">
        <v>36</v>
      </c>
      <c r="E4844" s="5" t="s">
        <v>200</v>
      </c>
      <c r="F4844" s="9">
        <v>91</v>
      </c>
      <c r="G4844" s="9">
        <v>977</v>
      </c>
      <c r="H4844" s="5" t="s">
        <v>20</v>
      </c>
      <c r="I4844" s="5" t="s">
        <v>11014</v>
      </c>
      <c r="J4844" s="12" t="str">
        <f>HYPERLINK("https://www.boe.es/gazeta/dias/1805/11/12/pdfs/GMD-1805-91.pdf#page=9","Abrir facsímil")</f>
        <v>Abrir facsímil</v>
      </c>
      <c r="K4844" s="15" t="s">
        <v>22</v>
      </c>
    </row>
    <row r="4845" spans="1:11" ht="42" customHeight="1">
      <c r="A4845" s="4" t="s">
        <v>11015</v>
      </c>
      <c r="B4845" s="5" t="s">
        <v>11016</v>
      </c>
      <c r="C4845" s="5" t="s">
        <v>35</v>
      </c>
      <c r="D4845" s="5" t="s">
        <v>36</v>
      </c>
      <c r="E4845" s="5" t="s">
        <v>192</v>
      </c>
      <c r="F4845" s="9">
        <v>105</v>
      </c>
      <c r="G4845" s="9">
        <v>1137</v>
      </c>
      <c r="H4845" s="5" t="s">
        <v>20</v>
      </c>
      <c r="I4845" s="5" t="s">
        <v>11017</v>
      </c>
      <c r="J4845" s="12" t="str">
        <f>HYPERLINK("https://www.boe.es/gazeta/dias/1805/12/31/pdfs/GMD-1805-105.pdf#page=9","Abrir facsímil")</f>
        <v>Abrir facsímil</v>
      </c>
      <c r="K4845" s="15" t="s">
        <v>22</v>
      </c>
    </row>
    <row r="4846" spans="1:11" ht="42" customHeight="1">
      <c r="A4846" s="4" t="s">
        <v>11018</v>
      </c>
      <c r="B4846" s="5" t="s">
        <v>11019</v>
      </c>
      <c r="C4846" s="5" t="s">
        <v>35</v>
      </c>
      <c r="D4846" s="5" t="s">
        <v>36</v>
      </c>
      <c r="E4846" s="5" t="s">
        <v>290</v>
      </c>
      <c r="F4846" s="9">
        <v>36</v>
      </c>
      <c r="G4846" s="9">
        <v>388</v>
      </c>
      <c r="H4846" s="5" t="s">
        <v>20</v>
      </c>
      <c r="I4846" s="5" t="s">
        <v>11020</v>
      </c>
      <c r="J4846" s="12" t="str">
        <f>HYPERLINK("https://www.boe.es/gazeta/dias/1805/05/03/pdfs/GMD-1805-36.pdf#page=8","Abrir facsímil")</f>
        <v>Abrir facsímil</v>
      </c>
      <c r="K4846" s="15" t="s">
        <v>22</v>
      </c>
    </row>
    <row r="4847" spans="1:11" ht="42" customHeight="1">
      <c r="A4847" s="4" t="s">
        <v>11021</v>
      </c>
      <c r="B4847" s="5" t="s">
        <v>11022</v>
      </c>
      <c r="C4847" s="5" t="s">
        <v>29</v>
      </c>
      <c r="D4847" s="5" t="s">
        <v>30</v>
      </c>
      <c r="E4847" s="5" t="s">
        <v>138</v>
      </c>
      <c r="F4847" s="9">
        <v>102</v>
      </c>
      <c r="G4847" s="9">
        <v>1106</v>
      </c>
      <c r="H4847" s="5" t="s">
        <v>20</v>
      </c>
      <c r="I4847" s="5" t="s">
        <v>11023</v>
      </c>
      <c r="J4847" s="12" t="str">
        <f>HYPERLINK("https://www.boe.es/gazeta/dias/1805/12/20/pdfs/GMD-1805-102.pdf#page=10","Abrir facsímil")</f>
        <v>Abrir facsímil</v>
      </c>
      <c r="K4847" s="15" t="s">
        <v>22</v>
      </c>
    </row>
    <row r="4848" spans="1:11" ht="42" customHeight="1">
      <c r="A4848" s="4" t="s">
        <v>11024</v>
      </c>
      <c r="B4848" s="5" t="s">
        <v>11024</v>
      </c>
      <c r="C4848" s="5" t="s">
        <v>29</v>
      </c>
      <c r="D4848" s="5" t="s">
        <v>30</v>
      </c>
      <c r="E4848" s="5" t="s">
        <v>103</v>
      </c>
      <c r="F4848" s="9">
        <v>30</v>
      </c>
      <c r="G4848" s="9">
        <v>318</v>
      </c>
      <c r="H4848" s="5" t="s">
        <v>20</v>
      </c>
      <c r="I4848" s="5" t="s">
        <v>11025</v>
      </c>
      <c r="J4848" s="12" t="str">
        <f>HYPERLINK("https://www.boe.es/gazeta/dias/1805/04/12/pdfs/GMD-1805-30.pdf#page=2","Abrir facsímil")</f>
        <v>Abrir facsímil</v>
      </c>
      <c r="K4848" s="15" t="s">
        <v>22</v>
      </c>
    </row>
    <row r="4849" spans="1:11" ht="42" customHeight="1">
      <c r="A4849" s="4" t="s">
        <v>11026</v>
      </c>
      <c r="B4849" s="5" t="s">
        <v>11027</v>
      </c>
      <c r="C4849" s="5" t="s">
        <v>17</v>
      </c>
      <c r="D4849" s="5" t="s">
        <v>18</v>
      </c>
      <c r="E4849" s="5" t="s">
        <v>200</v>
      </c>
      <c r="F4849" s="9">
        <v>91</v>
      </c>
      <c r="G4849" s="9">
        <v>977</v>
      </c>
      <c r="H4849" s="5" t="s">
        <v>20</v>
      </c>
      <c r="I4849" s="5" t="s">
        <v>11028</v>
      </c>
      <c r="J4849" s="12" t="str">
        <f>HYPERLINK("https://www.boe.es/gazeta/dias/1805/11/12/pdfs/GMD-1805-91.pdf#page=9","Abrir facsímil")</f>
        <v>Abrir facsímil</v>
      </c>
      <c r="K4849" s="15" t="s">
        <v>22</v>
      </c>
    </row>
    <row r="4850" spans="1:11" ht="42" customHeight="1">
      <c r="A4850" s="4" t="s">
        <v>11029</v>
      </c>
      <c r="B4850" s="5" t="s">
        <v>11030</v>
      </c>
      <c r="C4850" s="5" t="s">
        <v>184</v>
      </c>
      <c r="D4850" s="5" t="s">
        <v>86</v>
      </c>
      <c r="E4850" s="5" t="s">
        <v>1259</v>
      </c>
      <c r="F4850" s="9">
        <v>78</v>
      </c>
      <c r="G4850" s="9">
        <v>827</v>
      </c>
      <c r="H4850" s="5" t="s">
        <v>20</v>
      </c>
      <c r="I4850" s="5" t="s">
        <v>11031</v>
      </c>
      <c r="J4850" s="12" t="str">
        <f>HYPERLINK("https://www.boe.es/gazeta/dias/1805/09/27/pdfs/GMD-1805-78.pdf#page=7","Abrir facsímil")</f>
        <v>Abrir facsímil</v>
      </c>
      <c r="K4850" s="15" t="s">
        <v>22</v>
      </c>
    </row>
    <row r="4851" spans="1:11" ht="42" customHeight="1">
      <c r="A4851" s="4" t="s">
        <v>11032</v>
      </c>
      <c r="B4851" s="5" t="s">
        <v>11032</v>
      </c>
      <c r="C4851" s="5" t="s">
        <v>80</v>
      </c>
      <c r="D4851" s="5" t="s">
        <v>81</v>
      </c>
      <c r="E4851" s="5" t="s">
        <v>831</v>
      </c>
      <c r="F4851" s="9">
        <v>62</v>
      </c>
      <c r="G4851" s="9">
        <v>658</v>
      </c>
      <c r="H4851" s="5" t="s">
        <v>20</v>
      </c>
      <c r="I4851" s="5" t="s">
        <v>11033</v>
      </c>
      <c r="J4851" s="12" t="str">
        <f>HYPERLINK("https://www.boe.es/gazeta/dias/1805/08/02/pdfs/GMD-1805-62.pdf#page=2","Abrir facsímil")</f>
        <v>Abrir facsímil</v>
      </c>
      <c r="K4851" s="15" t="s">
        <v>22</v>
      </c>
    </row>
    <row r="4852" spans="1:11" ht="42" customHeight="1">
      <c r="A4852" s="4" t="s">
        <v>11034</v>
      </c>
      <c r="B4852" s="5" t="s">
        <v>11035</v>
      </c>
      <c r="C4852" s="5" t="s">
        <v>52</v>
      </c>
      <c r="D4852" s="5" t="s">
        <v>53</v>
      </c>
      <c r="E4852" s="5" t="s">
        <v>54</v>
      </c>
      <c r="F4852" s="9">
        <v>99</v>
      </c>
      <c r="G4852" s="9" t="s">
        <v>145</v>
      </c>
      <c r="H4852" s="5" t="s">
        <v>20</v>
      </c>
      <c r="I4852" s="5" t="s">
        <v>11036</v>
      </c>
      <c r="J4852" s="12" t="str">
        <f>HYPERLINK("https://www.boe.es/gazeta/dias/1805/12/10/pdfs/GMD-C-1805-99.pdf#page=2","Abrir facsímil")</f>
        <v>Abrir facsímil</v>
      </c>
      <c r="K4852" s="15" t="s">
        <v>22</v>
      </c>
    </row>
    <row r="4853" spans="1:11" ht="42" customHeight="1">
      <c r="A4853" s="4" t="s">
        <v>11037</v>
      </c>
      <c r="B4853" s="5" t="s">
        <v>11038</v>
      </c>
      <c r="C4853" s="5" t="s">
        <v>29</v>
      </c>
      <c r="D4853" s="5" t="s">
        <v>30</v>
      </c>
      <c r="E4853" s="5" t="s">
        <v>196</v>
      </c>
      <c r="F4853" s="9">
        <v>67</v>
      </c>
      <c r="G4853" s="9">
        <v>719</v>
      </c>
      <c r="H4853" s="5" t="s">
        <v>20</v>
      </c>
      <c r="I4853" s="5" t="s">
        <v>11039</v>
      </c>
      <c r="J4853" s="12" t="str">
        <f>HYPERLINK("https://www.boe.es/gazeta/dias/1805/08/20/pdfs/GMD-1805-67.pdf#page=7","Abrir facsímil")</f>
        <v>Abrir facsímil</v>
      </c>
      <c r="K4853" s="15" t="s">
        <v>22</v>
      </c>
    </row>
    <row r="4854" spans="1:11" ht="42" customHeight="1">
      <c r="A4854" s="4" t="s">
        <v>11040</v>
      </c>
      <c r="B4854" s="5" t="s">
        <v>11041</v>
      </c>
      <c r="C4854" s="5" t="s">
        <v>35</v>
      </c>
      <c r="D4854" s="5" t="s">
        <v>36</v>
      </c>
      <c r="E4854" s="5" t="s">
        <v>120</v>
      </c>
      <c r="F4854" s="9">
        <v>24</v>
      </c>
      <c r="G4854" s="9">
        <v>256</v>
      </c>
      <c r="H4854" s="5" t="s">
        <v>20</v>
      </c>
      <c r="I4854" s="5" t="s">
        <v>11042</v>
      </c>
      <c r="J4854" s="12" t="str">
        <f>HYPERLINK("https://www.boe.es/gazeta/dias/1805/03/22/pdfs/GMD-1805-24.pdf#page=8","Abrir facsímil")</f>
        <v>Abrir facsímil</v>
      </c>
      <c r="K4854" s="15" t="s">
        <v>22</v>
      </c>
    </row>
    <row r="4855" spans="1:11" ht="42" customHeight="1">
      <c r="A4855" s="4" t="s">
        <v>11043</v>
      </c>
      <c r="B4855" s="5" t="s">
        <v>11044</v>
      </c>
      <c r="C4855" s="5" t="s">
        <v>17</v>
      </c>
      <c r="D4855" s="5" t="s">
        <v>18</v>
      </c>
      <c r="E4855" s="5" t="s">
        <v>71</v>
      </c>
      <c r="F4855" s="9">
        <v>33</v>
      </c>
      <c r="G4855" s="9">
        <v>352</v>
      </c>
      <c r="H4855" s="5" t="s">
        <v>20</v>
      </c>
      <c r="I4855" s="5" t="s">
        <v>11045</v>
      </c>
      <c r="J4855" s="12" t="str">
        <f>HYPERLINK("https://www.boe.es/gazeta/dias/1805/04/23/pdfs/GMD-1805-33.pdf#page=8","Abrir facsímil")</f>
        <v>Abrir facsímil</v>
      </c>
      <c r="K4855" s="15" t="s">
        <v>22</v>
      </c>
    </row>
    <row r="4856" spans="1:11" ht="42" customHeight="1">
      <c r="A4856" s="4" t="s">
        <v>11046</v>
      </c>
      <c r="B4856" s="5" t="s">
        <v>11047</v>
      </c>
      <c r="C4856" s="5" t="s">
        <v>85</v>
      </c>
      <c r="D4856" s="5" t="s">
        <v>86</v>
      </c>
      <c r="E4856" s="5" t="s">
        <v>567</v>
      </c>
      <c r="F4856" s="9">
        <v>49</v>
      </c>
      <c r="G4856" s="9">
        <v>530</v>
      </c>
      <c r="H4856" s="5" t="s">
        <v>20</v>
      </c>
      <c r="I4856" s="5" t="s">
        <v>11048</v>
      </c>
      <c r="J4856" s="12" t="str">
        <f>HYPERLINK("https://www.boe.es/gazeta/dias/1805/06/18/pdfs/GMD-1805-49.pdf#page=6","Abrir facsímil")</f>
        <v>Abrir facsímil</v>
      </c>
      <c r="K4856" s="15" t="s">
        <v>22</v>
      </c>
    </row>
    <row r="4857" spans="1:11" ht="42" customHeight="1">
      <c r="A4857" s="4" t="s">
        <v>11049</v>
      </c>
      <c r="B4857" s="5" t="s">
        <v>11049</v>
      </c>
      <c r="C4857" s="5" t="s">
        <v>17</v>
      </c>
      <c r="D4857" s="5" t="s">
        <v>18</v>
      </c>
      <c r="E4857" s="5" t="s">
        <v>99</v>
      </c>
      <c r="F4857" s="9">
        <v>83</v>
      </c>
      <c r="G4857" s="9">
        <v>883</v>
      </c>
      <c r="H4857" s="5" t="s">
        <v>20</v>
      </c>
      <c r="I4857" s="5" t="s">
        <v>11050</v>
      </c>
      <c r="J4857" s="12" t="str">
        <f>HYPERLINK("https://www.boe.es/gazeta/dias/1805/10/15/pdfs/GMD-1805-83.pdf#page=11","Abrir facsímil")</f>
        <v>Abrir facsímil</v>
      </c>
      <c r="K4857" s="15" t="s">
        <v>22</v>
      </c>
    </row>
    <row r="4858" spans="1:11" ht="42" customHeight="1">
      <c r="A4858" s="4" t="s">
        <v>11051</v>
      </c>
      <c r="B4858" s="5" t="s">
        <v>11051</v>
      </c>
      <c r="C4858" s="5" t="s">
        <v>35</v>
      </c>
      <c r="D4858" s="5" t="s">
        <v>36</v>
      </c>
      <c r="E4858" s="5" t="s">
        <v>40</v>
      </c>
      <c r="F4858" s="9">
        <v>59</v>
      </c>
      <c r="G4858" s="9">
        <v>630</v>
      </c>
      <c r="H4858" s="5" t="s">
        <v>20</v>
      </c>
      <c r="I4858" s="5" t="s">
        <v>11052</v>
      </c>
      <c r="J4858" s="12" t="str">
        <f>HYPERLINK("https://www.boe.es/gazeta/dias/1805/07/23/pdfs/GMD-1805-59.pdf#page=6","Abrir facsímil")</f>
        <v>Abrir facsímil</v>
      </c>
      <c r="K4858" s="15" t="s">
        <v>22</v>
      </c>
    </row>
    <row r="4859" spans="1:11" ht="42" customHeight="1">
      <c r="A4859" s="4" t="s">
        <v>11053</v>
      </c>
      <c r="B4859" s="5" t="s">
        <v>11054</v>
      </c>
      <c r="C4859" s="5" t="s">
        <v>85</v>
      </c>
      <c r="D4859" s="5" t="s">
        <v>86</v>
      </c>
      <c r="E4859" s="5" t="s">
        <v>273</v>
      </c>
      <c r="F4859" s="9">
        <v>8</v>
      </c>
      <c r="G4859" s="9">
        <v>89</v>
      </c>
      <c r="H4859" s="5" t="s">
        <v>20</v>
      </c>
      <c r="I4859" s="5" t="s">
        <v>11055</v>
      </c>
      <c r="J4859" s="12" t="str">
        <f>HYPERLINK("https://www.boe.es/gazeta/dias/1805/01/25/pdfs/GMD-1805-8.pdf#page=9","Abrir facsímil")</f>
        <v>Abrir facsímil</v>
      </c>
      <c r="K4859" s="15" t="s">
        <v>22</v>
      </c>
    </row>
    <row r="4860" spans="1:11" ht="42" customHeight="1">
      <c r="A4860" s="4" t="s">
        <v>11056</v>
      </c>
      <c r="B4860" s="5" t="s">
        <v>11057</v>
      </c>
      <c r="C4860" s="5" t="s">
        <v>52</v>
      </c>
      <c r="D4860" s="5" t="s">
        <v>53</v>
      </c>
      <c r="E4860" s="5" t="s">
        <v>54</v>
      </c>
      <c r="F4860" s="9">
        <v>99</v>
      </c>
      <c r="G4860" s="9" t="s">
        <v>159</v>
      </c>
      <c r="H4860" s="5" t="s">
        <v>20</v>
      </c>
      <c r="I4860" s="5" t="s">
        <v>11058</v>
      </c>
      <c r="J4860" s="12" t="str">
        <f>HYPERLINK("https://www.boe.es/gazeta/dias/1805/12/10/pdfs/GMD-C-1805-99.pdf#page=3","Abrir facsímil")</f>
        <v>Abrir facsímil</v>
      </c>
      <c r="K4860" s="15" t="s">
        <v>22</v>
      </c>
    </row>
    <row r="4861" spans="1:11" ht="42" customHeight="1">
      <c r="A4861" s="4" t="s">
        <v>11059</v>
      </c>
      <c r="B4861" s="5" t="s">
        <v>11060</v>
      </c>
      <c r="C4861" s="5" t="s">
        <v>35</v>
      </c>
      <c r="D4861" s="5" t="s">
        <v>36</v>
      </c>
      <c r="E4861" s="5" t="s">
        <v>854</v>
      </c>
      <c r="F4861" s="9">
        <v>46</v>
      </c>
      <c r="G4861" s="9">
        <v>494</v>
      </c>
      <c r="H4861" s="5" t="s">
        <v>20</v>
      </c>
      <c r="I4861" s="5" t="s">
        <v>11061</v>
      </c>
      <c r="J4861" s="12" t="str">
        <f>HYPERLINK("https://www.boe.es/gazeta/dias/1805/06/07/pdfs/GMD-1805-46.pdf#page=6","Abrir facsímil")</f>
        <v>Abrir facsímil</v>
      </c>
      <c r="K4861" s="15" t="s">
        <v>22</v>
      </c>
    </row>
    <row r="4862" spans="1:11" ht="42" customHeight="1">
      <c r="A4862" s="4" t="s">
        <v>11062</v>
      </c>
      <c r="B4862" s="5" t="s">
        <v>11063</v>
      </c>
      <c r="C4862" s="5" t="s">
        <v>17</v>
      </c>
      <c r="D4862" s="5" t="s">
        <v>18</v>
      </c>
      <c r="E4862" s="5" t="s">
        <v>393</v>
      </c>
      <c r="F4862" s="9">
        <v>44</v>
      </c>
      <c r="G4862" s="9">
        <v>470</v>
      </c>
      <c r="H4862" s="5" t="s">
        <v>20</v>
      </c>
      <c r="I4862" s="5" t="s">
        <v>11064</v>
      </c>
      <c r="J4862" s="12" t="str">
        <f>HYPERLINK("https://www.boe.es/gazeta/dias/1805/05/31/pdfs/GMD-1805-44.pdf#page=6","Abrir facsímil")</f>
        <v>Abrir facsímil</v>
      </c>
      <c r="K4862" s="15" t="s">
        <v>22</v>
      </c>
    </row>
    <row r="4863" spans="1:11" ht="42" customHeight="1">
      <c r="A4863" s="4" t="s">
        <v>11062</v>
      </c>
      <c r="B4863" s="5" t="s">
        <v>11063</v>
      </c>
      <c r="C4863" s="5" t="s">
        <v>80</v>
      </c>
      <c r="D4863" s="5" t="s">
        <v>81</v>
      </c>
      <c r="E4863" s="5" t="s">
        <v>213</v>
      </c>
      <c r="F4863" s="9">
        <v>56</v>
      </c>
      <c r="G4863" s="9">
        <v>596</v>
      </c>
      <c r="H4863" s="5" t="s">
        <v>20</v>
      </c>
      <c r="I4863" s="5" t="s">
        <v>11065</v>
      </c>
      <c r="J4863" s="12" t="str">
        <f>HYPERLINK("https://www.boe.es/gazeta/dias/1805/07/12/pdfs/GMD-1805-56.pdf#page=4","Abrir facsímil")</f>
        <v>Abrir facsímil</v>
      </c>
      <c r="K4863" s="15" t="s">
        <v>22</v>
      </c>
    </row>
    <row r="4864" spans="1:11" ht="42" customHeight="1">
      <c r="A4864" s="4" t="s">
        <v>11066</v>
      </c>
      <c r="B4864" s="5" t="s">
        <v>11067</v>
      </c>
      <c r="C4864" s="5" t="s">
        <v>35</v>
      </c>
      <c r="D4864" s="5" t="s">
        <v>36</v>
      </c>
      <c r="E4864" s="5" t="s">
        <v>44</v>
      </c>
      <c r="F4864" s="9">
        <v>29</v>
      </c>
      <c r="G4864" s="9">
        <v>311</v>
      </c>
      <c r="H4864" s="5" t="s">
        <v>20</v>
      </c>
      <c r="I4864" s="5" t="s">
        <v>11068</v>
      </c>
      <c r="J4864" s="12" t="str">
        <f>HYPERLINK("https://www.boe.es/gazeta/dias/1805/04/09/pdfs/GMD-1805-29.pdf#page=7","Abrir facsímil")</f>
        <v>Abrir facsímil</v>
      </c>
      <c r="K4864" s="15" t="s">
        <v>22</v>
      </c>
    </row>
    <row r="4865" spans="1:11" ht="42" customHeight="1">
      <c r="A4865" s="4" t="s">
        <v>11066</v>
      </c>
      <c r="B4865" s="5" t="s">
        <v>11067</v>
      </c>
      <c r="C4865" s="5" t="s">
        <v>35</v>
      </c>
      <c r="D4865" s="5" t="s">
        <v>36</v>
      </c>
      <c r="E4865" s="5" t="s">
        <v>567</v>
      </c>
      <c r="F4865" s="9">
        <v>49</v>
      </c>
      <c r="G4865" s="9">
        <v>530</v>
      </c>
      <c r="H4865" s="5" t="s">
        <v>20</v>
      </c>
      <c r="I4865" s="5" t="s">
        <v>11069</v>
      </c>
      <c r="J4865" s="12" t="str">
        <f>HYPERLINK("https://www.boe.es/gazeta/dias/1805/06/18/pdfs/GMD-1805-49.pdf#page=6","Abrir facsímil")</f>
        <v>Abrir facsímil</v>
      </c>
      <c r="K4865" s="15" t="s">
        <v>22</v>
      </c>
    </row>
    <row r="4866" spans="1:11" ht="42" customHeight="1">
      <c r="A4866" s="4" t="s">
        <v>11070</v>
      </c>
      <c r="B4866" s="5" t="s">
        <v>11071</v>
      </c>
      <c r="C4866" s="5" t="s">
        <v>17</v>
      </c>
      <c r="D4866" s="5" t="s">
        <v>18</v>
      </c>
      <c r="E4866" s="5" t="s">
        <v>63</v>
      </c>
      <c r="F4866" s="9">
        <v>101</v>
      </c>
      <c r="G4866" s="9">
        <v>1093</v>
      </c>
      <c r="H4866" s="5" t="s">
        <v>20</v>
      </c>
      <c r="I4866" s="5" t="s">
        <v>11072</v>
      </c>
      <c r="J4866" s="12" t="str">
        <f>HYPERLINK("https://www.boe.es/gazeta/dias/1805/12/17/pdfs/GMD-1805-101.pdf#page=9","Abrir facsímil")</f>
        <v>Abrir facsímil</v>
      </c>
      <c r="K4866" s="15" t="s">
        <v>22</v>
      </c>
    </row>
    <row r="4867" spans="1:11" ht="42" customHeight="1">
      <c r="A4867" s="4" t="s">
        <v>11073</v>
      </c>
      <c r="B4867" s="5" t="s">
        <v>11074</v>
      </c>
      <c r="C4867" s="5" t="s">
        <v>35</v>
      </c>
      <c r="D4867" s="5" t="s">
        <v>36</v>
      </c>
      <c r="E4867" s="5" t="s">
        <v>1432</v>
      </c>
      <c r="F4867" s="9">
        <v>53</v>
      </c>
      <c r="G4867" s="9">
        <v>569</v>
      </c>
      <c r="H4867" s="5" t="s">
        <v>20</v>
      </c>
      <c r="I4867" s="5" t="s">
        <v>11075</v>
      </c>
      <c r="J4867" s="12" t="str">
        <f>HYPERLINK("https://www.boe.es/gazeta/dias/1805/07/02/pdfs/GMD-1805-53.pdf#page=5","Abrir facsímil")</f>
        <v>Abrir facsímil</v>
      </c>
      <c r="K4867" s="15" t="s">
        <v>22</v>
      </c>
    </row>
    <row r="4868" spans="1:11" ht="42" customHeight="1">
      <c r="A4868" s="4" t="s">
        <v>11076</v>
      </c>
      <c r="B4868" s="5" t="s">
        <v>11077</v>
      </c>
      <c r="C4868" s="5" t="s">
        <v>184</v>
      </c>
      <c r="D4868" s="5" t="s">
        <v>86</v>
      </c>
      <c r="E4868" s="5" t="s">
        <v>293</v>
      </c>
      <c r="F4868" s="9">
        <v>5</v>
      </c>
      <c r="G4868" s="9">
        <v>53</v>
      </c>
      <c r="H4868" s="5" t="s">
        <v>20</v>
      </c>
      <c r="I4868" s="5" t="s">
        <v>11078</v>
      </c>
      <c r="J4868" s="12" t="str">
        <f>HYPERLINK("https://www.boe.es/gazeta/dias/1805/01/15/pdfs/GMD-1805-5.pdf#page=9","Abrir facsímil")</f>
        <v>Abrir facsímil</v>
      </c>
      <c r="K4868" s="15" t="s">
        <v>22</v>
      </c>
    </row>
    <row r="4869" spans="1:11" ht="42" customHeight="1">
      <c r="A4869" s="4" t="s">
        <v>11079</v>
      </c>
      <c r="B4869" s="5" t="s">
        <v>11080</v>
      </c>
      <c r="C4869" s="5" t="s">
        <v>17</v>
      </c>
      <c r="D4869" s="5" t="s">
        <v>18</v>
      </c>
      <c r="E4869" s="5" t="s">
        <v>286</v>
      </c>
      <c r="F4869" s="9">
        <v>48</v>
      </c>
      <c r="G4869" s="9">
        <v>520</v>
      </c>
      <c r="H4869" s="5" t="s">
        <v>20</v>
      </c>
      <c r="I4869" s="5" t="s">
        <v>11081</v>
      </c>
      <c r="J4869" s="12" t="str">
        <f>HYPERLINK("https://www.boe.es/gazeta/dias/1805/06/14/pdfs/GMD-1805-48.pdf#page=8","Abrir facsímil")</f>
        <v>Abrir facsímil</v>
      </c>
      <c r="K4869" s="15" t="s">
        <v>22</v>
      </c>
    </row>
    <row r="4870" spans="1:11" ht="42" customHeight="1">
      <c r="A4870" s="4" t="s">
        <v>11082</v>
      </c>
      <c r="B4870" s="5" t="s">
        <v>11083</v>
      </c>
      <c r="C4870" s="5" t="s">
        <v>85</v>
      </c>
      <c r="D4870" s="5" t="s">
        <v>86</v>
      </c>
      <c r="E4870" s="5" t="s">
        <v>276</v>
      </c>
      <c r="F4870" s="9">
        <v>51</v>
      </c>
      <c r="G4870" s="9">
        <v>551</v>
      </c>
      <c r="H4870" s="5" t="s">
        <v>20</v>
      </c>
      <c r="I4870" s="5" t="s">
        <v>11084</v>
      </c>
      <c r="J4870" s="12" t="str">
        <f>HYPERLINK("https://www.boe.es/gazeta/dias/1805/06/25/pdfs/GMD-1805-51.pdf#page=7","Abrir facsímil")</f>
        <v>Abrir facsímil</v>
      </c>
      <c r="K4870" s="15" t="s">
        <v>22</v>
      </c>
    </row>
    <row r="4871" spans="1:11" ht="42" customHeight="1">
      <c r="A4871" s="4" t="s">
        <v>11085</v>
      </c>
      <c r="B4871" s="5" t="s">
        <v>11086</v>
      </c>
      <c r="C4871" s="5" t="s">
        <v>35</v>
      </c>
      <c r="D4871" s="5" t="s">
        <v>36</v>
      </c>
      <c r="E4871" s="5" t="s">
        <v>63</v>
      </c>
      <c r="F4871" s="9">
        <v>101</v>
      </c>
      <c r="G4871" s="9">
        <v>1093</v>
      </c>
      <c r="H4871" s="5" t="s">
        <v>20</v>
      </c>
      <c r="I4871" s="5" t="s">
        <v>11087</v>
      </c>
      <c r="J4871" s="12" t="str">
        <f>HYPERLINK("https://www.boe.es/gazeta/dias/1805/12/17/pdfs/GMD-1805-101.pdf#page=9","Abrir facsímil")</f>
        <v>Abrir facsímil</v>
      </c>
      <c r="K4871" s="15" t="s">
        <v>22</v>
      </c>
    </row>
    <row r="4872" spans="1:11" ht="42" customHeight="1">
      <c r="A4872" s="4" t="s">
        <v>11088</v>
      </c>
      <c r="B4872" s="5" t="s">
        <v>11089</v>
      </c>
      <c r="C4872" s="5" t="s">
        <v>35</v>
      </c>
      <c r="D4872" s="5" t="s">
        <v>36</v>
      </c>
      <c r="E4872" s="5" t="s">
        <v>48</v>
      </c>
      <c r="F4872" s="9">
        <v>35</v>
      </c>
      <c r="G4872" s="9">
        <v>378</v>
      </c>
      <c r="H4872" s="5" t="s">
        <v>20</v>
      </c>
      <c r="I4872" s="5" t="s">
        <v>11090</v>
      </c>
      <c r="J4872" s="12" t="str">
        <f>HYPERLINK("https://www.boe.es/gazeta/dias/1805/04/30/pdfs/GMD-1805-35.pdf#page=10","Abrir facsímil")</f>
        <v>Abrir facsímil</v>
      </c>
      <c r="K4872" s="15" t="s">
        <v>22</v>
      </c>
    </row>
    <row r="4873" spans="1:11" ht="42" customHeight="1">
      <c r="A4873" s="4" t="s">
        <v>11091</v>
      </c>
      <c r="B4873" s="5" t="s">
        <v>11092</v>
      </c>
      <c r="C4873" s="5" t="s">
        <v>29</v>
      </c>
      <c r="D4873" s="5" t="s">
        <v>30</v>
      </c>
      <c r="E4873" s="5" t="s">
        <v>188</v>
      </c>
      <c r="F4873" s="9">
        <v>68</v>
      </c>
      <c r="G4873" s="9">
        <v>730</v>
      </c>
      <c r="H4873" s="5" t="s">
        <v>20</v>
      </c>
      <c r="I4873" s="5" t="s">
        <v>11093</v>
      </c>
      <c r="J4873" s="12" t="str">
        <f>HYPERLINK("https://www.boe.es/gazeta/dias/1805/08/23/pdfs/GMD-1805-68.pdf#page=10","Abrir facsímil")</f>
        <v>Abrir facsímil</v>
      </c>
      <c r="K4873" s="15" t="s">
        <v>22</v>
      </c>
    </row>
    <row r="4874" spans="1:11" ht="42" customHeight="1">
      <c r="A4874" s="4" t="s">
        <v>11094</v>
      </c>
      <c r="B4874" s="5" t="s">
        <v>11095</v>
      </c>
      <c r="C4874" s="5" t="s">
        <v>29</v>
      </c>
      <c r="D4874" s="5" t="s">
        <v>30</v>
      </c>
      <c r="E4874" s="5" t="s">
        <v>393</v>
      </c>
      <c r="F4874" s="9">
        <v>44</v>
      </c>
      <c r="G4874" s="9">
        <v>476</v>
      </c>
      <c r="H4874" s="5" t="s">
        <v>20</v>
      </c>
      <c r="I4874" s="5" t="s">
        <v>11096</v>
      </c>
      <c r="J4874" s="12" t="str">
        <f>HYPERLINK("https://www.boe.es/gazeta/dias/1805/05/31/pdfs/GMD-1805-44.pdf#page=12","Abrir facsímil")</f>
        <v>Abrir facsímil</v>
      </c>
      <c r="K4874" s="15" t="s">
        <v>22</v>
      </c>
    </row>
    <row r="4875" spans="1:11" ht="42" customHeight="1">
      <c r="A4875" s="4" t="s">
        <v>11097</v>
      </c>
      <c r="B4875" s="5" t="s">
        <v>11098</v>
      </c>
      <c r="C4875" s="5" t="s">
        <v>35</v>
      </c>
      <c r="D4875" s="5" t="s">
        <v>36</v>
      </c>
      <c r="E4875" s="5" t="s">
        <v>40</v>
      </c>
      <c r="F4875" s="9">
        <v>59</v>
      </c>
      <c r="G4875" s="9">
        <v>631</v>
      </c>
      <c r="H4875" s="5" t="s">
        <v>20</v>
      </c>
      <c r="I4875" s="5" t="s">
        <v>11099</v>
      </c>
      <c r="J4875" s="12" t="str">
        <f>HYPERLINK("https://www.boe.es/gazeta/dias/1805/07/23/pdfs/GMD-1805-59.pdf#page=7","Abrir facsímil")</f>
        <v>Abrir facsímil</v>
      </c>
      <c r="K4875" s="15" t="s">
        <v>22</v>
      </c>
    </row>
    <row r="4876" spans="1:11" ht="42" customHeight="1">
      <c r="A4876" s="4" t="s">
        <v>11100</v>
      </c>
      <c r="B4876" s="5" t="s">
        <v>11101</v>
      </c>
      <c r="C4876" s="5" t="s">
        <v>35</v>
      </c>
      <c r="D4876" s="5" t="s">
        <v>36</v>
      </c>
      <c r="E4876" s="5" t="s">
        <v>132</v>
      </c>
      <c r="F4876" s="9">
        <v>2</v>
      </c>
      <c r="G4876" s="9">
        <v>21</v>
      </c>
      <c r="H4876" s="5" t="s">
        <v>20</v>
      </c>
      <c r="I4876" s="5" t="s">
        <v>11102</v>
      </c>
      <c r="J4876" s="12" t="str">
        <f>HYPERLINK("https://www.boe.es/gazeta/dias/1805/01/04/pdfs/GMD-1805-2.pdf#page=9","Abrir facsímil")</f>
        <v>Abrir facsímil</v>
      </c>
      <c r="K4876" s="15" t="s">
        <v>22</v>
      </c>
    </row>
    <row r="4877" spans="1:11" ht="42" customHeight="1">
      <c r="A4877" s="4" t="s">
        <v>11103</v>
      </c>
      <c r="B4877" s="5" t="s">
        <v>11104</v>
      </c>
      <c r="C4877" s="5" t="s">
        <v>17</v>
      </c>
      <c r="D4877" s="5" t="s">
        <v>18</v>
      </c>
      <c r="E4877" s="5" t="s">
        <v>273</v>
      </c>
      <c r="F4877" s="9">
        <v>8</v>
      </c>
      <c r="G4877" s="9">
        <v>89</v>
      </c>
      <c r="H4877" s="5" t="s">
        <v>20</v>
      </c>
      <c r="I4877" s="5" t="s">
        <v>11105</v>
      </c>
      <c r="J4877" s="12" t="str">
        <f>HYPERLINK("https://www.boe.es/gazeta/dias/1805/01/25/pdfs/GMD-1805-8.pdf#page=9","Abrir facsímil")</f>
        <v>Abrir facsímil</v>
      </c>
      <c r="K4877" s="15" t="s">
        <v>22</v>
      </c>
    </row>
    <row r="4878" spans="1:11" ht="42" customHeight="1">
      <c r="A4878" s="4" t="s">
        <v>11106</v>
      </c>
      <c r="B4878" s="5" t="s">
        <v>11107</v>
      </c>
      <c r="C4878" s="5" t="s">
        <v>35</v>
      </c>
      <c r="D4878" s="5" t="s">
        <v>36</v>
      </c>
      <c r="E4878" s="5" t="s">
        <v>539</v>
      </c>
      <c r="F4878" s="9">
        <v>97</v>
      </c>
      <c r="G4878" s="9">
        <v>1045</v>
      </c>
      <c r="H4878" s="5" t="s">
        <v>20</v>
      </c>
      <c r="I4878" s="5" t="s">
        <v>11108</v>
      </c>
      <c r="J4878" s="12" t="str">
        <f>HYPERLINK("https://www.boe.es/gazeta/dias/1805/12/03/pdfs/GMD-1805-97.pdf#page=9","Abrir facsímil")</f>
        <v>Abrir facsímil</v>
      </c>
      <c r="K4878" s="15" t="s">
        <v>22</v>
      </c>
    </row>
    <row r="4879" spans="1:11" ht="42" customHeight="1">
      <c r="A4879" s="4" t="s">
        <v>11109</v>
      </c>
      <c r="B4879" s="5" t="s">
        <v>11110</v>
      </c>
      <c r="C4879" s="5" t="s">
        <v>52</v>
      </c>
      <c r="D4879" s="5" t="s">
        <v>53</v>
      </c>
      <c r="E4879" s="5" t="s">
        <v>54</v>
      </c>
      <c r="F4879" s="9">
        <v>99</v>
      </c>
      <c r="G4879" s="9" t="s">
        <v>55</v>
      </c>
      <c r="H4879" s="5" t="s">
        <v>20</v>
      </c>
      <c r="I4879" s="5" t="s">
        <v>11111</v>
      </c>
      <c r="J4879" s="12" t="str">
        <f>HYPERLINK("https://www.boe.es/gazeta/dias/1805/12/10/pdfs/GMD-C-1805-99.pdf#page=4","Abrir facsímil")</f>
        <v>Abrir facsímil</v>
      </c>
      <c r="K4879" s="15" t="s">
        <v>22</v>
      </c>
    </row>
    <row r="4880" spans="1:11" ht="42" customHeight="1">
      <c r="A4880" s="4" t="s">
        <v>11112</v>
      </c>
      <c r="B4880" s="5" t="s">
        <v>11113</v>
      </c>
      <c r="C4880" s="5" t="s">
        <v>35</v>
      </c>
      <c r="D4880" s="5" t="s">
        <v>36</v>
      </c>
      <c r="E4880" s="5" t="s">
        <v>141</v>
      </c>
      <c r="F4880" s="9">
        <v>82</v>
      </c>
      <c r="G4880" s="9">
        <v>871</v>
      </c>
      <c r="H4880" s="5" t="s">
        <v>20</v>
      </c>
      <c r="I4880" s="5" t="s">
        <v>11114</v>
      </c>
      <c r="J4880" s="12" t="str">
        <f>HYPERLINK("https://www.boe.es/gazeta/dias/1805/10/11/pdfs/GMD-1805-82.pdf#page=11","Abrir facsímil")</f>
        <v>Abrir facsímil</v>
      </c>
      <c r="K4880" s="15" t="s">
        <v>22</v>
      </c>
    </row>
    <row r="4881" spans="1:11" ht="42" customHeight="1">
      <c r="A4881" s="4" t="s">
        <v>11115</v>
      </c>
      <c r="B4881" s="5" t="s">
        <v>11116</v>
      </c>
      <c r="C4881" s="5" t="s">
        <v>35</v>
      </c>
      <c r="D4881" s="5" t="s">
        <v>36</v>
      </c>
      <c r="E4881" s="5" t="s">
        <v>107</v>
      </c>
      <c r="F4881" s="9">
        <v>19</v>
      </c>
      <c r="G4881" s="9">
        <v>198</v>
      </c>
      <c r="H4881" s="5" t="s">
        <v>20</v>
      </c>
      <c r="I4881" s="5" t="s">
        <v>11117</v>
      </c>
      <c r="J4881" s="12" t="str">
        <f>HYPERLINK("https://www.boe.es/gazeta/dias/1805/03/05/pdfs/GMD-1805-19.pdf#page=10","Abrir facsímil")</f>
        <v>Abrir facsímil</v>
      </c>
      <c r="K4881" s="15" t="s">
        <v>22</v>
      </c>
    </row>
    <row r="4882" spans="1:11" ht="42" customHeight="1">
      <c r="A4882" s="4" t="s">
        <v>11118</v>
      </c>
      <c r="B4882" s="5" t="s">
        <v>11119</v>
      </c>
      <c r="C4882" s="5" t="s">
        <v>35</v>
      </c>
      <c r="D4882" s="5" t="s">
        <v>36</v>
      </c>
      <c r="E4882" s="5" t="s">
        <v>276</v>
      </c>
      <c r="F4882" s="9">
        <v>51</v>
      </c>
      <c r="G4882" s="9">
        <v>551</v>
      </c>
      <c r="H4882" s="5" t="s">
        <v>20</v>
      </c>
      <c r="I4882" s="5" t="s">
        <v>11120</v>
      </c>
      <c r="J4882" s="12" t="str">
        <f>HYPERLINK("https://www.boe.es/gazeta/dias/1805/06/25/pdfs/GMD-1805-51.pdf#page=7","Abrir facsímil")</f>
        <v>Abrir facsímil</v>
      </c>
      <c r="K4882" s="15" t="s">
        <v>22</v>
      </c>
    </row>
    <row r="4883" spans="1:11" ht="42" customHeight="1">
      <c r="A4883" s="4" t="s">
        <v>11121</v>
      </c>
      <c r="B4883" s="5" t="s">
        <v>11122</v>
      </c>
      <c r="C4883" s="5" t="s">
        <v>35</v>
      </c>
      <c r="D4883" s="5" t="s">
        <v>36</v>
      </c>
      <c r="E4883" s="5" t="s">
        <v>91</v>
      </c>
      <c r="F4883" s="9">
        <v>28</v>
      </c>
      <c r="G4883" s="9">
        <v>300</v>
      </c>
      <c r="H4883" s="5" t="s">
        <v>20</v>
      </c>
      <c r="I4883" s="5" t="s">
        <v>11123</v>
      </c>
      <c r="J4883" s="12" t="str">
        <f>HYPERLINK("https://www.boe.es/gazeta/dias/1805/04/05/pdfs/GMD-1805-28.pdf#page=8","Abrir facsímil")</f>
        <v>Abrir facsímil</v>
      </c>
      <c r="K4883" s="15" t="s">
        <v>22</v>
      </c>
    </row>
    <row r="4884" spans="1:11" ht="42" customHeight="1">
      <c r="A4884" s="4" t="s">
        <v>11124</v>
      </c>
      <c r="B4884" s="5" t="s">
        <v>11124</v>
      </c>
      <c r="C4884" s="5" t="s">
        <v>29</v>
      </c>
      <c r="D4884" s="5" t="s">
        <v>30</v>
      </c>
      <c r="E4884" s="5" t="s">
        <v>1494</v>
      </c>
      <c r="F4884" s="9">
        <v>31</v>
      </c>
      <c r="G4884" s="9">
        <v>336</v>
      </c>
      <c r="H4884" s="5" t="s">
        <v>20</v>
      </c>
      <c r="I4884" s="5" t="s">
        <v>11125</v>
      </c>
      <c r="J4884" s="12" t="str">
        <f>HYPERLINK("https://www.boe.es/gazeta/dias/1805/04/16/pdfs/GMD-1805-31.pdf#page=12","Abrir facsímil")</f>
        <v>Abrir facsímil</v>
      </c>
      <c r="K4884" s="15" t="s">
        <v>22</v>
      </c>
    </row>
    <row r="4885" spans="1:11" ht="42" customHeight="1">
      <c r="A4885" s="4" t="s">
        <v>11124</v>
      </c>
      <c r="B4885" s="5" t="s">
        <v>11124</v>
      </c>
      <c r="C4885" s="5" t="s">
        <v>17</v>
      </c>
      <c r="D4885" s="5" t="s">
        <v>18</v>
      </c>
      <c r="E4885" s="5" t="s">
        <v>733</v>
      </c>
      <c r="F4885" s="9">
        <v>45</v>
      </c>
      <c r="G4885" s="9">
        <v>488</v>
      </c>
      <c r="H4885" s="5" t="s">
        <v>20</v>
      </c>
      <c r="I4885" s="5" t="s">
        <v>11126</v>
      </c>
      <c r="J4885" s="12" t="str">
        <f>HYPERLINK("https://www.boe.es/gazeta/dias/1805/06/04/pdfs/GMD-1805-45.pdf#page=12","Abrir facsímil")</f>
        <v>Abrir facsímil</v>
      </c>
      <c r="K4885" s="15" t="s">
        <v>22</v>
      </c>
    </row>
    <row r="4886" spans="1:11" ht="42" customHeight="1">
      <c r="A4886" s="4" t="s">
        <v>11127</v>
      </c>
      <c r="B4886" s="5" t="s">
        <v>11128</v>
      </c>
      <c r="C4886" s="5" t="s">
        <v>80</v>
      </c>
      <c r="D4886" s="5" t="s">
        <v>81</v>
      </c>
      <c r="E4886" s="5" t="s">
        <v>217</v>
      </c>
      <c r="F4886" s="9">
        <v>96</v>
      </c>
      <c r="G4886" s="9">
        <v>1028</v>
      </c>
      <c r="H4886" s="5" t="s">
        <v>20</v>
      </c>
      <c r="I4886" s="5" t="s">
        <v>11129</v>
      </c>
      <c r="J4886" s="12" t="str">
        <f>HYPERLINK("https://www.boe.es/gazeta/dias/1805/11/29/pdfs/GMD-1805-96.pdf#page=4","Abrir facsímil")</f>
        <v>Abrir facsímil</v>
      </c>
      <c r="K4886" s="15" t="s">
        <v>22</v>
      </c>
    </row>
    <row r="4887" spans="1:11" ht="42" customHeight="1">
      <c r="A4887" s="4" t="s">
        <v>11127</v>
      </c>
      <c r="B4887" s="5" t="s">
        <v>11128</v>
      </c>
      <c r="C4887" s="5" t="s">
        <v>80</v>
      </c>
      <c r="D4887" s="5" t="s">
        <v>81</v>
      </c>
      <c r="E4887" s="5" t="s">
        <v>539</v>
      </c>
      <c r="F4887" s="9">
        <v>97</v>
      </c>
      <c r="G4887" s="9">
        <v>1040</v>
      </c>
      <c r="H4887" s="5" t="s">
        <v>20</v>
      </c>
      <c r="I4887" s="5" t="s">
        <v>11130</v>
      </c>
      <c r="J4887" s="12" t="str">
        <f>HYPERLINK("https://www.boe.es/gazeta/dias/1805/12/03/pdfs/GMD-1805-97.pdf#page=4","Abrir facsímil")</f>
        <v>Abrir facsímil</v>
      </c>
      <c r="K4887" s="15" t="s">
        <v>22</v>
      </c>
    </row>
    <row r="4888" spans="1:11" ht="42" customHeight="1">
      <c r="A4888" s="4" t="s">
        <v>11131</v>
      </c>
      <c r="B4888" s="5" t="s">
        <v>11132</v>
      </c>
      <c r="C4888" s="5" t="s">
        <v>80</v>
      </c>
      <c r="D4888" s="5" t="s">
        <v>81</v>
      </c>
      <c r="E4888" s="5" t="s">
        <v>512</v>
      </c>
      <c r="F4888" s="9">
        <v>100</v>
      </c>
      <c r="G4888" s="9">
        <v>1078</v>
      </c>
      <c r="H4888" s="5" t="s">
        <v>20</v>
      </c>
      <c r="I4888" s="5" t="s">
        <v>11133</v>
      </c>
      <c r="J4888" s="12" t="str">
        <f>HYPERLINK("https://www.boe.es/gazeta/dias/1805/12/13/pdfs/GMD-1805-100.pdf#page=6","Abrir facsímil")</f>
        <v>Abrir facsímil</v>
      </c>
      <c r="K4888" s="15" t="s">
        <v>22</v>
      </c>
    </row>
    <row r="4889" spans="1:11" ht="42" customHeight="1">
      <c r="A4889" s="4" t="s">
        <v>11134</v>
      </c>
      <c r="B4889" s="5" t="s">
        <v>11135</v>
      </c>
      <c r="C4889" s="5" t="s">
        <v>17</v>
      </c>
      <c r="D4889" s="5" t="s">
        <v>18</v>
      </c>
      <c r="E4889" s="5" t="s">
        <v>539</v>
      </c>
      <c r="F4889" s="9">
        <v>97</v>
      </c>
      <c r="G4889" s="9">
        <v>1043</v>
      </c>
      <c r="H4889" s="5" t="s">
        <v>20</v>
      </c>
      <c r="I4889" s="5" t="s">
        <v>11136</v>
      </c>
      <c r="J4889" s="12" t="str">
        <f>HYPERLINK("https://www.boe.es/gazeta/dias/1805/12/03/pdfs/GMD-1805-97.pdf#page=7","Abrir facsímil")</f>
        <v>Abrir facsímil</v>
      </c>
      <c r="K4889" s="15" t="s">
        <v>22</v>
      </c>
    </row>
    <row r="4890" spans="1:11" ht="42" customHeight="1">
      <c r="A4890" s="4" t="s">
        <v>11137</v>
      </c>
      <c r="B4890" s="5" t="s">
        <v>11138</v>
      </c>
      <c r="C4890" s="5" t="s">
        <v>17</v>
      </c>
      <c r="D4890" s="5" t="s">
        <v>18</v>
      </c>
      <c r="E4890" s="5" t="s">
        <v>63</v>
      </c>
      <c r="F4890" s="9">
        <v>101</v>
      </c>
      <c r="G4890" s="9">
        <v>1092</v>
      </c>
      <c r="H4890" s="5" t="s">
        <v>20</v>
      </c>
      <c r="I4890" s="5" t="s">
        <v>11139</v>
      </c>
      <c r="J4890" s="12" t="str">
        <f>HYPERLINK("https://www.boe.es/gazeta/dias/1805/12/17/pdfs/GMD-1805-101.pdf#page=8","Abrir facsímil")</f>
        <v>Abrir facsímil</v>
      </c>
      <c r="K4890" s="15" t="s">
        <v>22</v>
      </c>
    </row>
    <row r="4891" spans="1:11" ht="42" customHeight="1">
      <c r="A4891" s="4" t="s">
        <v>11140</v>
      </c>
      <c r="B4891" s="5" t="s">
        <v>11141</v>
      </c>
      <c r="C4891" s="5" t="s">
        <v>52</v>
      </c>
      <c r="D4891" s="5" t="s">
        <v>53</v>
      </c>
      <c r="E4891" s="5" t="s">
        <v>82</v>
      </c>
      <c r="F4891" s="9">
        <v>25</v>
      </c>
      <c r="G4891" s="9" t="s">
        <v>222</v>
      </c>
      <c r="H4891" s="5" t="s">
        <v>20</v>
      </c>
      <c r="I4891" s="5" t="s">
        <v>11142</v>
      </c>
      <c r="J4891" s="12" t="str">
        <f>HYPERLINK("https://www.boe.es/gazeta/dias/1805/03/26/pdfs/GMD-C-1805-25.pdf#page=1","Abrir facsímil")</f>
        <v>Abrir facsímil</v>
      </c>
      <c r="K4891" s="15" t="s">
        <v>22</v>
      </c>
    </row>
    <row r="4892" spans="1:11" ht="42" customHeight="1">
      <c r="A4892" s="4" t="s">
        <v>11143</v>
      </c>
      <c r="B4892" s="5" t="s">
        <v>11144</v>
      </c>
      <c r="C4892" s="5" t="s">
        <v>85</v>
      </c>
      <c r="D4892" s="5" t="s">
        <v>86</v>
      </c>
      <c r="E4892" s="5" t="s">
        <v>19</v>
      </c>
      <c r="F4892" s="9">
        <v>86</v>
      </c>
      <c r="G4892" s="9">
        <v>915</v>
      </c>
      <c r="H4892" s="5" t="s">
        <v>20</v>
      </c>
      <c r="I4892" s="5" t="s">
        <v>11145</v>
      </c>
      <c r="J4892" s="12" t="str">
        <f>HYPERLINK("https://www.boe.es/gazeta/dias/1805/10/25/pdfs/GMD-1805-86.pdf#page=11","Abrir facsímil")</f>
        <v>Abrir facsímil</v>
      </c>
      <c r="K4892" s="15" t="s">
        <v>22</v>
      </c>
    </row>
    <row r="4893" spans="1:11" ht="42" customHeight="1">
      <c r="A4893" s="4" t="s">
        <v>11146</v>
      </c>
      <c r="B4893" s="5" t="s">
        <v>11147</v>
      </c>
      <c r="C4893" s="5" t="s">
        <v>80</v>
      </c>
      <c r="D4893" s="5" t="s">
        <v>81</v>
      </c>
      <c r="E4893" s="5" t="s">
        <v>1022</v>
      </c>
      <c r="F4893" s="9">
        <v>52</v>
      </c>
      <c r="G4893" s="9">
        <v>555</v>
      </c>
      <c r="H4893" s="5" t="s">
        <v>20</v>
      </c>
      <c r="I4893" s="5" t="s">
        <v>11148</v>
      </c>
      <c r="J4893" s="12" t="str">
        <f>HYPERLINK("https://www.boe.es/gazeta/dias/1805/06/28/pdfs/GMD-1805-52.pdf#page=3","Abrir facsímil")</f>
        <v>Abrir facsímil</v>
      </c>
      <c r="K4893" s="15" t="s">
        <v>22</v>
      </c>
    </row>
    <row r="4894" spans="1:11" ht="42" customHeight="1">
      <c r="A4894" s="4" t="s">
        <v>11149</v>
      </c>
      <c r="B4894" s="5" t="s">
        <v>11150</v>
      </c>
      <c r="C4894" s="5" t="s">
        <v>80</v>
      </c>
      <c r="D4894" s="5" t="s">
        <v>81</v>
      </c>
      <c r="E4894" s="5" t="s">
        <v>67</v>
      </c>
      <c r="F4894" s="9">
        <v>98</v>
      </c>
      <c r="G4894" s="9">
        <v>1055</v>
      </c>
      <c r="H4894" s="5" t="s">
        <v>20</v>
      </c>
      <c r="I4894" s="5" t="s">
        <v>11151</v>
      </c>
      <c r="J4894" s="12" t="str">
        <f>HYPERLINK("https://www.boe.es/gazeta/dias/1805/12/06/pdfs/GMD-1805-98.pdf#page=7","Abrir facsímil")</f>
        <v>Abrir facsímil</v>
      </c>
      <c r="K4894" s="15" t="s">
        <v>22</v>
      </c>
    </row>
    <row r="4895" spans="1:11" ht="42" customHeight="1">
      <c r="A4895" s="4" t="s">
        <v>11152</v>
      </c>
      <c r="B4895" s="5" t="s">
        <v>11152</v>
      </c>
      <c r="C4895" s="5" t="s">
        <v>17</v>
      </c>
      <c r="D4895" s="5" t="s">
        <v>18</v>
      </c>
      <c r="E4895" s="5" t="s">
        <v>300</v>
      </c>
      <c r="F4895" s="9">
        <v>81</v>
      </c>
      <c r="G4895" s="9">
        <v>859</v>
      </c>
      <c r="H4895" s="5" t="s">
        <v>20</v>
      </c>
      <c r="I4895" s="5" t="s">
        <v>11153</v>
      </c>
      <c r="J4895" s="12" t="str">
        <f>HYPERLINK("https://www.boe.es/gazeta/dias/1805/10/08/pdfs/GMD-1805-81.pdf#page=7","Abrir facsímil")</f>
        <v>Abrir facsímil</v>
      </c>
      <c r="K4895" s="15" t="s">
        <v>22</v>
      </c>
    </row>
    <row r="4896" spans="1:11" ht="42" customHeight="1">
      <c r="A4896" s="4" t="s">
        <v>11154</v>
      </c>
      <c r="B4896" s="5" t="s">
        <v>11155</v>
      </c>
      <c r="C4896" s="5" t="s">
        <v>35</v>
      </c>
      <c r="D4896" s="5" t="s">
        <v>36</v>
      </c>
      <c r="E4896" s="5" t="s">
        <v>188</v>
      </c>
      <c r="F4896" s="9">
        <v>68</v>
      </c>
      <c r="G4896" s="9">
        <v>729</v>
      </c>
      <c r="H4896" s="5" t="s">
        <v>20</v>
      </c>
      <c r="I4896" s="5" t="s">
        <v>11156</v>
      </c>
      <c r="J4896" s="12" t="str">
        <f>HYPERLINK("https://www.boe.es/gazeta/dias/1805/08/23/pdfs/GMD-1805-68.pdf#page=9","Abrir facsímil")</f>
        <v>Abrir facsímil</v>
      </c>
      <c r="K4896" s="15" t="s">
        <v>22</v>
      </c>
    </row>
    <row r="4897" spans="1:11" ht="42" customHeight="1">
      <c r="A4897" s="4" t="s">
        <v>11157</v>
      </c>
      <c r="B4897" s="5" t="s">
        <v>11158</v>
      </c>
      <c r="C4897" s="5" t="s">
        <v>17</v>
      </c>
      <c r="D4897" s="5" t="s">
        <v>18</v>
      </c>
      <c r="E4897" s="5" t="s">
        <v>63</v>
      </c>
      <c r="F4897" s="9">
        <v>101</v>
      </c>
      <c r="G4897" s="9">
        <v>1092</v>
      </c>
      <c r="H4897" s="5" t="s">
        <v>20</v>
      </c>
      <c r="I4897" s="5" t="s">
        <v>11159</v>
      </c>
      <c r="J4897" s="12" t="str">
        <f>HYPERLINK("https://www.boe.es/gazeta/dias/1805/12/17/pdfs/GMD-1805-101.pdf#page=8","Abrir facsímil")</f>
        <v>Abrir facsímil</v>
      </c>
      <c r="K4897" s="15" t="s">
        <v>22</v>
      </c>
    </row>
    <row r="4898" spans="1:11" ht="42" customHeight="1">
      <c r="A4898" s="4" t="s">
        <v>11160</v>
      </c>
      <c r="B4898" s="5" t="s">
        <v>11161</v>
      </c>
      <c r="C4898" s="5" t="s">
        <v>35</v>
      </c>
      <c r="D4898" s="5" t="s">
        <v>36</v>
      </c>
      <c r="E4898" s="5" t="s">
        <v>63</v>
      </c>
      <c r="F4898" s="9">
        <v>101</v>
      </c>
      <c r="G4898" s="9">
        <v>1093</v>
      </c>
      <c r="H4898" s="5" t="s">
        <v>20</v>
      </c>
      <c r="I4898" s="5" t="s">
        <v>11162</v>
      </c>
      <c r="J4898" s="12" t="str">
        <f>HYPERLINK("https://www.boe.es/gazeta/dias/1805/12/17/pdfs/GMD-1805-101.pdf#page=9","Abrir facsímil")</f>
        <v>Abrir facsímil</v>
      </c>
      <c r="K4898" s="15" t="s">
        <v>22</v>
      </c>
    </row>
    <row r="4899" spans="1:11" ht="42" customHeight="1">
      <c r="A4899" s="4" t="s">
        <v>11163</v>
      </c>
      <c r="B4899" s="5" t="s">
        <v>11164</v>
      </c>
      <c r="C4899" s="5" t="s">
        <v>29</v>
      </c>
      <c r="D4899" s="5" t="s">
        <v>30</v>
      </c>
      <c r="E4899" s="5" t="s">
        <v>440</v>
      </c>
      <c r="F4899" s="9">
        <v>27</v>
      </c>
      <c r="G4899" s="9">
        <v>289</v>
      </c>
      <c r="H4899" s="5" t="s">
        <v>20</v>
      </c>
      <c r="I4899" s="5" t="s">
        <v>11165</v>
      </c>
      <c r="J4899" s="12" t="str">
        <f>HYPERLINK("https://www.boe.es/gazeta/dias/1805/04/02/pdfs/GMD-1805-27.pdf#page=9","Abrir facsímil")</f>
        <v>Abrir facsímil</v>
      </c>
      <c r="K4899" s="15" t="s">
        <v>22</v>
      </c>
    </row>
    <row r="4900" spans="1:11" ht="42" customHeight="1">
      <c r="A4900" s="4" t="s">
        <v>11166</v>
      </c>
      <c r="B4900" s="5" t="s">
        <v>11167</v>
      </c>
      <c r="C4900" s="5" t="s">
        <v>17</v>
      </c>
      <c r="D4900" s="5" t="s">
        <v>18</v>
      </c>
      <c r="E4900" s="5" t="s">
        <v>188</v>
      </c>
      <c r="F4900" s="9">
        <v>68</v>
      </c>
      <c r="G4900" s="9">
        <v>732</v>
      </c>
      <c r="H4900" s="5" t="s">
        <v>20</v>
      </c>
      <c r="I4900" s="5" t="s">
        <v>11168</v>
      </c>
      <c r="J4900" s="12" t="str">
        <f>HYPERLINK("https://www.boe.es/gazeta/dias/1805/08/23/pdfs/GMD-1805-68.pdf#page=12","Abrir facsímil")</f>
        <v>Abrir facsímil</v>
      </c>
      <c r="K4900" s="15" t="s">
        <v>22</v>
      </c>
    </row>
    <row r="4901" spans="1:11" ht="42" customHeight="1">
      <c r="A4901" s="4" t="s">
        <v>11169</v>
      </c>
      <c r="B4901" s="5" t="s">
        <v>11169</v>
      </c>
      <c r="C4901" s="5" t="s">
        <v>35</v>
      </c>
      <c r="D4901" s="5" t="s">
        <v>36</v>
      </c>
      <c r="E4901" s="5" t="s">
        <v>59</v>
      </c>
      <c r="F4901" s="9">
        <v>21</v>
      </c>
      <c r="G4901" s="9">
        <v>223</v>
      </c>
      <c r="H4901" s="5" t="s">
        <v>20</v>
      </c>
      <c r="I4901" s="5" t="s">
        <v>11170</v>
      </c>
      <c r="J4901" s="12" t="str">
        <f>HYPERLINK("https://www.boe.es/gazeta/dias/1805/03/12/pdfs/GMD-1805-21.pdf#page=11","Abrir facsímil")</f>
        <v>Abrir facsímil</v>
      </c>
      <c r="K4901" s="15" t="s">
        <v>22</v>
      </c>
    </row>
    <row r="4902" spans="1:11" ht="42" customHeight="1">
      <c r="A4902" s="4" t="s">
        <v>11171</v>
      </c>
      <c r="B4902" s="5" t="s">
        <v>11172</v>
      </c>
      <c r="C4902" s="5" t="s">
        <v>17</v>
      </c>
      <c r="D4902" s="5" t="s">
        <v>18</v>
      </c>
      <c r="E4902" s="5" t="s">
        <v>76</v>
      </c>
      <c r="F4902" s="9">
        <v>66</v>
      </c>
      <c r="G4902" s="9">
        <v>709</v>
      </c>
      <c r="H4902" s="5" t="s">
        <v>20</v>
      </c>
      <c r="I4902" s="5" t="s">
        <v>11173</v>
      </c>
      <c r="J4902" s="12" t="str">
        <f>HYPERLINK("https://www.boe.es/gazeta/dias/1805/08/16/pdfs/GMD-1805-66.pdf#page=9","Abrir facsímil")</f>
        <v>Abrir facsímil</v>
      </c>
      <c r="K4902" s="15" t="s">
        <v>22</v>
      </c>
    </row>
    <row r="4903" spans="1:11" ht="42" customHeight="1">
      <c r="A4903" s="4" t="s">
        <v>11174</v>
      </c>
      <c r="B4903" s="5" t="s">
        <v>11174</v>
      </c>
      <c r="C4903" s="5" t="s">
        <v>184</v>
      </c>
      <c r="D4903" s="5" t="s">
        <v>86</v>
      </c>
      <c r="E4903" s="5" t="s">
        <v>440</v>
      </c>
      <c r="F4903" s="9">
        <v>27</v>
      </c>
      <c r="G4903" s="9">
        <v>282</v>
      </c>
      <c r="H4903" s="5" t="s">
        <v>20</v>
      </c>
      <c r="I4903" s="5" t="s">
        <v>11175</v>
      </c>
      <c r="J4903" s="12" t="str">
        <f>HYPERLINK("https://www.boe.es/gazeta/dias/1805/04/02/pdfs/GMD-1805-27.pdf#page=2","Abrir facsímil")</f>
        <v>Abrir facsímil</v>
      </c>
      <c r="K4903" s="15" t="s">
        <v>22</v>
      </c>
    </row>
    <row r="4904" spans="1:11" ht="42" customHeight="1">
      <c r="A4904" s="4" t="s">
        <v>11174</v>
      </c>
      <c r="B4904" s="5" t="s">
        <v>11174</v>
      </c>
      <c r="C4904" s="5" t="s">
        <v>184</v>
      </c>
      <c r="D4904" s="5" t="s">
        <v>86</v>
      </c>
      <c r="E4904" s="5" t="s">
        <v>148</v>
      </c>
      <c r="F4904" s="9">
        <v>50</v>
      </c>
      <c r="G4904" s="9">
        <v>535</v>
      </c>
      <c r="H4904" s="5" t="s">
        <v>20</v>
      </c>
      <c r="I4904" s="5" t="s">
        <v>11176</v>
      </c>
      <c r="J4904" s="12" t="str">
        <f>HYPERLINK("https://www.boe.es/gazeta/dias/1805/06/21/pdfs/GMD-1805-50.pdf#page=3","Abrir facsímil")</f>
        <v>Abrir facsímil</v>
      </c>
      <c r="K4904" s="15" t="s">
        <v>22</v>
      </c>
    </row>
    <row r="4905" spans="1:11" ht="42" customHeight="1">
      <c r="A4905" s="4" t="s">
        <v>11174</v>
      </c>
      <c r="B4905" s="5" t="s">
        <v>11174</v>
      </c>
      <c r="C4905" s="5" t="s">
        <v>80</v>
      </c>
      <c r="D4905" s="5" t="s">
        <v>81</v>
      </c>
      <c r="E4905" s="5" t="s">
        <v>63</v>
      </c>
      <c r="F4905" s="9">
        <v>101</v>
      </c>
      <c r="G4905" s="9">
        <v>1088</v>
      </c>
      <c r="H4905" s="5" t="s">
        <v>20</v>
      </c>
      <c r="I4905" s="5" t="s">
        <v>11177</v>
      </c>
      <c r="J4905" s="12" t="str">
        <f>HYPERLINK("https://www.boe.es/gazeta/dias/1805/12/17/pdfs/GMD-1805-101.pdf#page=4","Abrir facsímil")</f>
        <v>Abrir facsímil</v>
      </c>
      <c r="K4905" s="15" t="s">
        <v>22</v>
      </c>
    </row>
    <row r="4906" spans="1:11" ht="42" customHeight="1">
      <c r="A4906" s="4" t="s">
        <v>11178</v>
      </c>
      <c r="B4906" s="5" t="s">
        <v>11179</v>
      </c>
      <c r="C4906" s="5" t="s">
        <v>17</v>
      </c>
      <c r="D4906" s="5" t="s">
        <v>18</v>
      </c>
      <c r="E4906" s="5" t="s">
        <v>196</v>
      </c>
      <c r="F4906" s="9">
        <v>67</v>
      </c>
      <c r="G4906" s="9">
        <v>718</v>
      </c>
      <c r="H4906" s="5" t="s">
        <v>20</v>
      </c>
      <c r="I4906" s="5" t="s">
        <v>11180</v>
      </c>
      <c r="J4906" s="12" t="str">
        <f>HYPERLINK("https://www.boe.es/gazeta/dias/1805/08/20/pdfs/GMD-1805-67.pdf#page=6","Abrir facsímil")</f>
        <v>Abrir facsímil</v>
      </c>
      <c r="K4906" s="15" t="s">
        <v>22</v>
      </c>
    </row>
    <row r="4907" spans="1:11" ht="42" customHeight="1">
      <c r="A4907" s="4" t="s">
        <v>11181</v>
      </c>
      <c r="B4907" s="5" t="s">
        <v>11182</v>
      </c>
      <c r="C4907" s="5" t="s">
        <v>17</v>
      </c>
      <c r="D4907" s="5" t="s">
        <v>18</v>
      </c>
      <c r="E4907" s="5" t="s">
        <v>293</v>
      </c>
      <c r="F4907" s="9">
        <v>5</v>
      </c>
      <c r="G4907" s="9">
        <v>53</v>
      </c>
      <c r="H4907" s="5" t="s">
        <v>20</v>
      </c>
      <c r="I4907" s="5" t="s">
        <v>11183</v>
      </c>
      <c r="J4907" s="12" t="str">
        <f>HYPERLINK("https://www.boe.es/gazeta/dias/1805/01/15/pdfs/GMD-1805-5.pdf#page=9","Abrir facsímil")</f>
        <v>Abrir facsímil</v>
      </c>
      <c r="K4907" s="15" t="s">
        <v>22</v>
      </c>
    </row>
    <row r="4908" spans="1:11" ht="42" customHeight="1">
      <c r="A4908" s="4" t="s">
        <v>11184</v>
      </c>
      <c r="B4908" s="5" t="s">
        <v>11185</v>
      </c>
      <c r="C4908" s="5" t="s">
        <v>35</v>
      </c>
      <c r="D4908" s="5" t="s">
        <v>36</v>
      </c>
      <c r="E4908" s="5" t="s">
        <v>19</v>
      </c>
      <c r="F4908" s="9">
        <v>86</v>
      </c>
      <c r="G4908" s="9">
        <v>913</v>
      </c>
      <c r="H4908" s="5" t="s">
        <v>20</v>
      </c>
      <c r="I4908" s="5" t="s">
        <v>11186</v>
      </c>
      <c r="J4908" s="12" t="str">
        <f>HYPERLINK("https://www.boe.es/gazeta/dias/1805/10/25/pdfs/GMD-1805-86.pdf#page=9","Abrir facsímil")</f>
        <v>Abrir facsímil</v>
      </c>
      <c r="K4908" s="15" t="s">
        <v>22</v>
      </c>
    </row>
    <row r="4909" spans="1:11" ht="42" customHeight="1">
      <c r="A4909" s="4" t="s">
        <v>11187</v>
      </c>
      <c r="B4909" s="5" t="s">
        <v>11188</v>
      </c>
      <c r="C4909" s="5" t="s">
        <v>35</v>
      </c>
      <c r="D4909" s="5" t="s">
        <v>36</v>
      </c>
      <c r="E4909" s="5" t="s">
        <v>393</v>
      </c>
      <c r="F4909" s="9">
        <v>44</v>
      </c>
      <c r="G4909" s="9">
        <v>474</v>
      </c>
      <c r="H4909" s="5" t="s">
        <v>20</v>
      </c>
      <c r="I4909" s="5" t="s">
        <v>11189</v>
      </c>
      <c r="J4909" s="12" t="str">
        <f>HYPERLINK("https://www.boe.es/gazeta/dias/1805/05/31/pdfs/GMD-1805-44.pdf#page=10","Abrir facsímil")</f>
        <v>Abrir facsímil</v>
      </c>
      <c r="K4909" s="15" t="s">
        <v>22</v>
      </c>
    </row>
    <row r="4910" spans="1:11" ht="42" customHeight="1">
      <c r="A4910" s="4" t="s">
        <v>11190</v>
      </c>
      <c r="B4910" s="5" t="s">
        <v>11191</v>
      </c>
      <c r="C4910" s="5" t="s">
        <v>35</v>
      </c>
      <c r="D4910" s="5" t="s">
        <v>36</v>
      </c>
      <c r="E4910" s="5" t="s">
        <v>471</v>
      </c>
      <c r="F4910" s="9">
        <v>22</v>
      </c>
      <c r="G4910" s="9">
        <v>233</v>
      </c>
      <c r="H4910" s="5" t="s">
        <v>20</v>
      </c>
      <c r="I4910" s="5" t="s">
        <v>11192</v>
      </c>
      <c r="J4910" s="12" t="str">
        <f>HYPERLINK("https://www.boe.es/gazeta/dias/1805/03/15/pdfs/GMD-1805-22.pdf#page=9","Abrir facsímil")</f>
        <v>Abrir facsímil</v>
      </c>
      <c r="K4910" s="15" t="s">
        <v>22</v>
      </c>
    </row>
    <row r="4911" spans="1:11" ht="42" customHeight="1">
      <c r="A4911" s="4" t="s">
        <v>11193</v>
      </c>
      <c r="B4911" s="5" t="s">
        <v>11194</v>
      </c>
      <c r="C4911" s="5" t="s">
        <v>85</v>
      </c>
      <c r="D4911" s="5" t="s">
        <v>86</v>
      </c>
      <c r="E4911" s="5" t="s">
        <v>864</v>
      </c>
      <c r="F4911" s="9">
        <v>88</v>
      </c>
      <c r="G4911" s="9">
        <v>938</v>
      </c>
      <c r="H4911" s="5" t="s">
        <v>20</v>
      </c>
      <c r="I4911" s="5" t="s">
        <v>11195</v>
      </c>
      <c r="J4911" s="12" t="str">
        <f>HYPERLINK("https://www.boe.es/gazeta/dias/1805/11/01/pdfs/GMD-1805-88.pdf#page=10","Abrir facsímil")</f>
        <v>Abrir facsímil</v>
      </c>
      <c r="K4911" s="15" t="s">
        <v>22</v>
      </c>
    </row>
    <row r="4912" spans="1:11" ht="42" customHeight="1">
      <c r="A4912" s="4" t="s">
        <v>11196</v>
      </c>
      <c r="B4912" s="5" t="s">
        <v>11197</v>
      </c>
      <c r="C4912" s="5" t="s">
        <v>35</v>
      </c>
      <c r="D4912" s="5" t="s">
        <v>36</v>
      </c>
      <c r="E4912" s="5" t="s">
        <v>226</v>
      </c>
      <c r="F4912" s="9">
        <v>73</v>
      </c>
      <c r="G4912" s="9">
        <v>773</v>
      </c>
      <c r="H4912" s="5" t="s">
        <v>20</v>
      </c>
      <c r="I4912" s="5" t="s">
        <v>11198</v>
      </c>
      <c r="J4912" s="12" t="str">
        <f>HYPERLINK("https://www.boe.es/gazeta/dias/1805/09/10/pdfs/GMD-1805-73.pdf#page=5","Abrir facsímil")</f>
        <v>Abrir facsímil</v>
      </c>
      <c r="K4912" s="15" t="s">
        <v>22</v>
      </c>
    </row>
    <row r="4913" spans="1:11" ht="42" customHeight="1">
      <c r="A4913" s="4" t="s">
        <v>11199</v>
      </c>
      <c r="B4913" s="5" t="s">
        <v>11200</v>
      </c>
      <c r="C4913" s="5" t="s">
        <v>35</v>
      </c>
      <c r="D4913" s="5" t="s">
        <v>36</v>
      </c>
      <c r="E4913" s="5" t="s">
        <v>904</v>
      </c>
      <c r="F4913" s="9">
        <v>47</v>
      </c>
      <c r="G4913" s="9">
        <v>510</v>
      </c>
      <c r="H4913" s="5" t="s">
        <v>20</v>
      </c>
      <c r="I4913" s="5" t="s">
        <v>11201</v>
      </c>
      <c r="J4913" s="12" t="str">
        <f>HYPERLINK("https://www.boe.es/gazeta/dias/1805/06/11/pdfs/GMD-1805-47.pdf#page=10","Abrir facsímil")</f>
        <v>Abrir facsímil</v>
      </c>
      <c r="K4913" s="15" t="s">
        <v>22</v>
      </c>
    </row>
    <row r="4914" spans="1:11" ht="42" customHeight="1">
      <c r="A4914" s="4" t="s">
        <v>11202</v>
      </c>
      <c r="B4914" s="5" t="s">
        <v>11203</v>
      </c>
      <c r="C4914" s="5" t="s">
        <v>85</v>
      </c>
      <c r="D4914" s="5" t="s">
        <v>86</v>
      </c>
      <c r="E4914" s="5" t="s">
        <v>567</v>
      </c>
      <c r="F4914" s="9">
        <v>49</v>
      </c>
      <c r="G4914" s="9">
        <v>530</v>
      </c>
      <c r="H4914" s="5" t="s">
        <v>20</v>
      </c>
      <c r="I4914" s="5" t="s">
        <v>11204</v>
      </c>
      <c r="J4914" s="12" t="str">
        <f>HYPERLINK("https://www.boe.es/gazeta/dias/1805/06/18/pdfs/GMD-1805-49.pdf#page=6","Abrir facsímil")</f>
        <v>Abrir facsímil</v>
      </c>
      <c r="K4914" s="15" t="s">
        <v>22</v>
      </c>
    </row>
    <row r="4915" spans="1:11" ht="42" customHeight="1">
      <c r="A4915" s="4" t="s">
        <v>11205</v>
      </c>
      <c r="B4915" s="5" t="s">
        <v>11206</v>
      </c>
      <c r="C4915" s="5" t="s">
        <v>52</v>
      </c>
      <c r="D4915" s="5" t="s">
        <v>53</v>
      </c>
      <c r="E4915" s="5" t="s">
        <v>54</v>
      </c>
      <c r="F4915" s="9">
        <v>99</v>
      </c>
      <c r="G4915" s="9" t="s">
        <v>55</v>
      </c>
      <c r="H4915" s="5" t="s">
        <v>20</v>
      </c>
      <c r="I4915" s="5" t="s">
        <v>11207</v>
      </c>
      <c r="J4915" s="12" t="str">
        <f>HYPERLINK("https://www.boe.es/gazeta/dias/1805/12/10/pdfs/GMD-C-1805-99.pdf#page=4","Abrir facsímil")</f>
        <v>Abrir facsímil</v>
      </c>
      <c r="K4915" s="15" t="s">
        <v>22</v>
      </c>
    </row>
    <row r="4916" spans="1:11" ht="42" customHeight="1">
      <c r="A4916" s="4" t="s">
        <v>11208</v>
      </c>
      <c r="B4916" s="5" t="s">
        <v>11208</v>
      </c>
      <c r="C4916" s="5" t="s">
        <v>80</v>
      </c>
      <c r="D4916" s="5" t="s">
        <v>81</v>
      </c>
      <c r="E4916" s="5" t="s">
        <v>82</v>
      </c>
      <c r="F4916" s="9">
        <v>25</v>
      </c>
      <c r="G4916" s="9">
        <v>266</v>
      </c>
      <c r="H4916" s="5" t="s">
        <v>20</v>
      </c>
      <c r="I4916" s="5" t="s">
        <v>11209</v>
      </c>
      <c r="J4916" s="12" t="str">
        <f>HYPERLINK("https://www.boe.es/gazeta/dias/1805/03/26/pdfs/GMD-1805-25.pdf#page=6","Abrir facsímil")</f>
        <v>Abrir facsímil</v>
      </c>
      <c r="K4916" s="15" t="s">
        <v>22</v>
      </c>
    </row>
    <row r="4917" spans="1:11" ht="42" customHeight="1">
      <c r="A4917" s="4" t="s">
        <v>11210</v>
      </c>
      <c r="B4917" s="5" t="s">
        <v>11211</v>
      </c>
      <c r="C4917" s="5" t="s">
        <v>17</v>
      </c>
      <c r="D4917" s="5" t="s">
        <v>18</v>
      </c>
      <c r="E4917" s="5" t="s">
        <v>132</v>
      </c>
      <c r="F4917" s="9">
        <v>2</v>
      </c>
      <c r="G4917" s="9">
        <v>21</v>
      </c>
      <c r="H4917" s="5" t="s">
        <v>20</v>
      </c>
      <c r="I4917" s="5" t="s">
        <v>11212</v>
      </c>
      <c r="J4917" s="12" t="str">
        <f>HYPERLINK("https://www.boe.es/gazeta/dias/1805/01/04/pdfs/GMD-1805-2.pdf#page=9","Abrir facsímil")</f>
        <v>Abrir facsímil</v>
      </c>
      <c r="K4917" s="15" t="s">
        <v>22</v>
      </c>
    </row>
    <row r="4918" spans="1:11" ht="42" customHeight="1">
      <c r="A4918" s="4" t="s">
        <v>11213</v>
      </c>
      <c r="B4918" s="5" t="s">
        <v>11214</v>
      </c>
      <c r="C4918" s="5" t="s">
        <v>35</v>
      </c>
      <c r="D4918" s="5" t="s">
        <v>36</v>
      </c>
      <c r="E4918" s="5" t="s">
        <v>135</v>
      </c>
      <c r="F4918" s="9">
        <v>71</v>
      </c>
      <c r="G4918" s="9">
        <v>757</v>
      </c>
      <c r="H4918" s="5" t="s">
        <v>20</v>
      </c>
      <c r="I4918" s="5" t="s">
        <v>11215</v>
      </c>
      <c r="J4918" s="12" t="str">
        <f>HYPERLINK("https://www.boe.es/gazeta/dias/1805/09/03/pdfs/GMD-1805-71.pdf#page=9","Abrir facsímil")</f>
        <v>Abrir facsímil</v>
      </c>
      <c r="K4918" s="15" t="s">
        <v>22</v>
      </c>
    </row>
    <row r="4919" spans="1:11" ht="42" customHeight="1">
      <c r="A4919" s="4" t="s">
        <v>11216</v>
      </c>
      <c r="B4919" s="5" t="s">
        <v>11217</v>
      </c>
      <c r="C4919" s="5" t="s">
        <v>17</v>
      </c>
      <c r="D4919" s="5" t="s">
        <v>18</v>
      </c>
      <c r="E4919" s="5" t="s">
        <v>63</v>
      </c>
      <c r="F4919" s="9">
        <v>101</v>
      </c>
      <c r="G4919" s="9">
        <v>1092</v>
      </c>
      <c r="H4919" s="5" t="s">
        <v>20</v>
      </c>
      <c r="I4919" s="5" t="s">
        <v>11218</v>
      </c>
      <c r="J4919" s="12" t="str">
        <f>HYPERLINK("https://www.boe.es/gazeta/dias/1805/12/17/pdfs/GMD-1805-101.pdf#page=8","Abrir facsímil")</f>
        <v>Abrir facsímil</v>
      </c>
      <c r="K4919" s="15" t="s">
        <v>22</v>
      </c>
    </row>
    <row r="4920" spans="1:11" ht="42" customHeight="1">
      <c r="A4920" s="4" t="s">
        <v>11219</v>
      </c>
      <c r="B4920" s="5" t="s">
        <v>11219</v>
      </c>
      <c r="C4920" s="5" t="s">
        <v>35</v>
      </c>
      <c r="D4920" s="5" t="s">
        <v>36</v>
      </c>
      <c r="E4920" s="5" t="s">
        <v>48</v>
      </c>
      <c r="F4920" s="9">
        <v>35</v>
      </c>
      <c r="G4920" s="9">
        <v>379</v>
      </c>
      <c r="H4920" s="5" t="s">
        <v>20</v>
      </c>
      <c r="I4920" s="5" t="s">
        <v>11220</v>
      </c>
      <c r="J4920" s="12" t="str">
        <f>HYPERLINK("https://www.boe.es/gazeta/dias/1805/04/30/pdfs/GMD-1805-35.pdf#page=11","Abrir facsímil")</f>
        <v>Abrir facsímil</v>
      </c>
      <c r="K4920" s="15" t="s">
        <v>22</v>
      </c>
    </row>
    <row r="4921" spans="1:11" ht="42" customHeight="1">
      <c r="A4921" s="4" t="s">
        <v>11221</v>
      </c>
      <c r="B4921" s="5" t="s">
        <v>11221</v>
      </c>
      <c r="C4921" s="5" t="s">
        <v>35</v>
      </c>
      <c r="D4921" s="5" t="s">
        <v>36</v>
      </c>
      <c r="E4921" s="5" t="s">
        <v>114</v>
      </c>
      <c r="F4921" s="9">
        <v>17</v>
      </c>
      <c r="G4921" s="9">
        <v>176</v>
      </c>
      <c r="H4921" s="5" t="s">
        <v>20</v>
      </c>
      <c r="I4921" s="5" t="s">
        <v>11222</v>
      </c>
      <c r="J4921" s="12" t="str">
        <f>HYPERLINK("https://www.boe.es/gazeta/dias/1805/02/26/pdfs/GMD-1805-17.pdf#page=8","Abrir facsímil")</f>
        <v>Abrir facsímil</v>
      </c>
      <c r="K4921" s="15" t="s">
        <v>22</v>
      </c>
    </row>
    <row r="4922" spans="1:11" ht="42" customHeight="1">
      <c r="A4922" s="4" t="s">
        <v>11223</v>
      </c>
      <c r="B4922" s="5" t="s">
        <v>11224</v>
      </c>
      <c r="C4922" s="5" t="s">
        <v>35</v>
      </c>
      <c r="D4922" s="5" t="s">
        <v>36</v>
      </c>
      <c r="E4922" s="5" t="s">
        <v>82</v>
      </c>
      <c r="F4922" s="9">
        <v>25</v>
      </c>
      <c r="G4922" s="9">
        <v>267</v>
      </c>
      <c r="H4922" s="5" t="s">
        <v>20</v>
      </c>
      <c r="I4922" s="5" t="s">
        <v>11225</v>
      </c>
      <c r="J4922" s="12" t="str">
        <f>HYPERLINK("https://www.boe.es/gazeta/dias/1805/03/26/pdfs/GMD-1805-25.pdf#page=7","Abrir facsímil")</f>
        <v>Abrir facsímil</v>
      </c>
      <c r="K4922" s="15" t="s">
        <v>22</v>
      </c>
    </row>
    <row r="4923" spans="1:11" ht="42" customHeight="1">
      <c r="A4923" s="4" t="s">
        <v>11226</v>
      </c>
      <c r="B4923" s="5" t="s">
        <v>11226</v>
      </c>
      <c r="C4923" s="5" t="s">
        <v>80</v>
      </c>
      <c r="D4923" s="5" t="s">
        <v>81</v>
      </c>
      <c r="E4923" s="5" t="s">
        <v>117</v>
      </c>
      <c r="F4923" s="9">
        <v>20</v>
      </c>
      <c r="G4923" s="9">
        <v>202</v>
      </c>
      <c r="H4923" s="5" t="s">
        <v>20</v>
      </c>
      <c r="I4923" s="5" t="s">
        <v>11227</v>
      </c>
      <c r="J4923" s="12" t="str">
        <f>HYPERLINK("https://www.boe.es/gazeta/dias/1805/03/08/pdfs/GMD-1805-20.pdf#page=2","Abrir facsímil")</f>
        <v>Abrir facsímil</v>
      </c>
      <c r="K4923" s="15" t="s">
        <v>22</v>
      </c>
    </row>
    <row r="4924" spans="1:11" ht="42" customHeight="1">
      <c r="A4924" s="4" t="s">
        <v>11226</v>
      </c>
      <c r="B4924" s="5" t="s">
        <v>11226</v>
      </c>
      <c r="C4924" s="5" t="s">
        <v>17</v>
      </c>
      <c r="D4924" s="5" t="s">
        <v>18</v>
      </c>
      <c r="E4924" s="5" t="s">
        <v>59</v>
      </c>
      <c r="F4924" s="9">
        <v>21</v>
      </c>
      <c r="G4924" s="9">
        <v>218</v>
      </c>
      <c r="H4924" s="5" t="s">
        <v>20</v>
      </c>
      <c r="I4924" s="5" t="s">
        <v>11228</v>
      </c>
      <c r="J4924" s="12" t="str">
        <f>HYPERLINK("https://www.boe.es/gazeta/dias/1805/03/12/pdfs/GMD-1805-21.pdf#page=6","Abrir facsímil")</f>
        <v>Abrir facsímil</v>
      </c>
      <c r="K4924" s="15" t="s">
        <v>22</v>
      </c>
    </row>
    <row r="4925" spans="1:11" ht="42" customHeight="1">
      <c r="A4925" s="4" t="s">
        <v>11226</v>
      </c>
      <c r="B4925" s="5" t="s">
        <v>11226</v>
      </c>
      <c r="C4925" s="5" t="s">
        <v>184</v>
      </c>
      <c r="D4925" s="5" t="s">
        <v>86</v>
      </c>
      <c r="E4925" s="5" t="s">
        <v>352</v>
      </c>
      <c r="F4925" s="9">
        <v>60</v>
      </c>
      <c r="G4925" s="9">
        <v>639</v>
      </c>
      <c r="H4925" s="5" t="s">
        <v>20</v>
      </c>
      <c r="I4925" s="5" t="s">
        <v>11229</v>
      </c>
      <c r="J4925" s="12" t="str">
        <f>HYPERLINK("https://www.boe.es/gazeta/dias/1805/07/26/pdfs/GMD-1805-60.pdf#page=3","Abrir facsímil")</f>
        <v>Abrir facsímil</v>
      </c>
      <c r="K4925" s="15" t="s">
        <v>22</v>
      </c>
    </row>
    <row r="4926" spans="1:11" ht="42" customHeight="1">
      <c r="A4926" s="4" t="s">
        <v>11226</v>
      </c>
      <c r="B4926" s="5" t="s">
        <v>11226</v>
      </c>
      <c r="C4926" s="5" t="s">
        <v>80</v>
      </c>
      <c r="D4926" s="5" t="s">
        <v>81</v>
      </c>
      <c r="E4926" s="5" t="s">
        <v>729</v>
      </c>
      <c r="F4926" s="9">
        <v>61</v>
      </c>
      <c r="G4926" s="9">
        <v>650</v>
      </c>
      <c r="H4926" s="5" t="s">
        <v>20</v>
      </c>
      <c r="I4926" s="5" t="s">
        <v>11230</v>
      </c>
      <c r="J4926" s="12" t="str">
        <f>HYPERLINK("https://www.boe.es/gazeta/dias/1805/07/30/pdfs/GMD-1805-61.pdf#page=2","Abrir facsímil")</f>
        <v>Abrir facsímil</v>
      </c>
      <c r="K4926" s="15" t="s">
        <v>22</v>
      </c>
    </row>
    <row r="4927" spans="1:11" ht="42" customHeight="1">
      <c r="A4927" s="4" t="s">
        <v>11231</v>
      </c>
      <c r="B4927" s="5" t="s">
        <v>11232</v>
      </c>
      <c r="C4927" s="5" t="s">
        <v>17</v>
      </c>
      <c r="D4927" s="5" t="s">
        <v>18</v>
      </c>
      <c r="E4927" s="5" t="s">
        <v>567</v>
      </c>
      <c r="F4927" s="9">
        <v>49</v>
      </c>
      <c r="G4927" s="9">
        <v>531</v>
      </c>
      <c r="H4927" s="5" t="s">
        <v>20</v>
      </c>
      <c r="I4927" s="5" t="s">
        <v>11233</v>
      </c>
      <c r="J4927" s="12" t="str">
        <f>HYPERLINK("https://www.boe.es/gazeta/dias/1805/06/18/pdfs/GMD-1805-49.pdf#page=7","Abrir facsímil")</f>
        <v>Abrir facsímil</v>
      </c>
      <c r="K4927" s="15" t="s">
        <v>22</v>
      </c>
    </row>
    <row r="4928" spans="1:11" ht="42" customHeight="1">
      <c r="A4928" s="4" t="s">
        <v>11234</v>
      </c>
      <c r="B4928" s="5" t="s">
        <v>11235</v>
      </c>
      <c r="C4928" s="5" t="s">
        <v>35</v>
      </c>
      <c r="D4928" s="5" t="s">
        <v>36</v>
      </c>
      <c r="E4928" s="5" t="s">
        <v>87</v>
      </c>
      <c r="F4928" s="9">
        <v>14</v>
      </c>
      <c r="G4928" s="9">
        <v>146</v>
      </c>
      <c r="H4928" s="5" t="s">
        <v>20</v>
      </c>
      <c r="I4928" s="5" t="s">
        <v>11236</v>
      </c>
      <c r="J4928" s="12" t="str">
        <f>HYPERLINK("https://www.boe.es/gazeta/dias/1805/02/15/pdfs/GMD-1805-14.pdf#page=6","Abrir facsímil")</f>
        <v>Abrir facsímil</v>
      </c>
      <c r="K4928" s="15" t="s">
        <v>22</v>
      </c>
    </row>
    <row r="4929" spans="1:11" ht="42" customHeight="1">
      <c r="A4929" s="4" t="s">
        <v>11237</v>
      </c>
      <c r="B4929" s="5" t="s">
        <v>11238</v>
      </c>
      <c r="C4929" s="5" t="s">
        <v>52</v>
      </c>
      <c r="D4929" s="5" t="s">
        <v>53</v>
      </c>
      <c r="E4929" s="5" t="s">
        <v>144</v>
      </c>
      <c r="F4929" s="9">
        <v>85</v>
      </c>
      <c r="G4929" s="9" t="s">
        <v>1002</v>
      </c>
      <c r="H4929" s="5" t="s">
        <v>20</v>
      </c>
      <c r="I4929" s="5" t="s">
        <v>11239</v>
      </c>
      <c r="J4929" s="12" t="str">
        <f>HYPERLINK("https://www.boe.es/gazeta/dias/1805/10/22/pdfs/GMD-C-1805-85.pdf#page=7","Abrir facsímil")</f>
        <v>Abrir facsímil</v>
      </c>
      <c r="K4929" s="15" t="s">
        <v>22</v>
      </c>
    </row>
    <row r="4930" spans="1:11" ht="42" customHeight="1">
      <c r="A4930" s="4" t="s">
        <v>11240</v>
      </c>
      <c r="B4930" s="5" t="s">
        <v>11241</v>
      </c>
      <c r="C4930" s="5" t="s">
        <v>35</v>
      </c>
      <c r="D4930" s="5" t="s">
        <v>36</v>
      </c>
      <c r="E4930" s="5" t="s">
        <v>303</v>
      </c>
      <c r="F4930" s="9">
        <v>57</v>
      </c>
      <c r="G4930" s="9">
        <v>611</v>
      </c>
      <c r="H4930" s="5" t="s">
        <v>20</v>
      </c>
      <c r="I4930" s="5" t="s">
        <v>11242</v>
      </c>
      <c r="J4930" s="12" t="str">
        <f>HYPERLINK("https://www.boe.es/gazeta/dias/1805/07/16/pdfs/GMD-1805-57.pdf#page=7","Abrir facsímil")</f>
        <v>Abrir facsímil</v>
      </c>
      <c r="K4930" s="15" t="s">
        <v>22</v>
      </c>
    </row>
    <row r="4931" spans="1:11" ht="42" customHeight="1">
      <c r="A4931" s="4" t="s">
        <v>11243</v>
      </c>
      <c r="B4931" s="5" t="s">
        <v>11244</v>
      </c>
      <c r="C4931" s="5" t="s">
        <v>35</v>
      </c>
      <c r="D4931" s="5" t="s">
        <v>36</v>
      </c>
      <c r="E4931" s="5" t="s">
        <v>19</v>
      </c>
      <c r="F4931" s="9">
        <v>86</v>
      </c>
      <c r="G4931" s="9">
        <v>913</v>
      </c>
      <c r="H4931" s="5" t="s">
        <v>20</v>
      </c>
      <c r="I4931" s="5" t="s">
        <v>11245</v>
      </c>
      <c r="J4931" s="12" t="str">
        <f>HYPERLINK("https://www.boe.es/gazeta/dias/1805/10/25/pdfs/GMD-1805-86.pdf#page=9","Abrir facsímil")</f>
        <v>Abrir facsímil</v>
      </c>
      <c r="K4931" s="15" t="s">
        <v>22</v>
      </c>
    </row>
    <row r="4932" spans="1:11" ht="42" customHeight="1">
      <c r="A4932" s="4" t="s">
        <v>11246</v>
      </c>
      <c r="B4932" s="5" t="s">
        <v>11247</v>
      </c>
      <c r="C4932" s="5" t="s">
        <v>17</v>
      </c>
      <c r="D4932" s="5" t="s">
        <v>18</v>
      </c>
      <c r="E4932" s="5" t="s">
        <v>192</v>
      </c>
      <c r="F4932" s="9">
        <v>105</v>
      </c>
      <c r="G4932" s="9">
        <v>1138</v>
      </c>
      <c r="H4932" s="5" t="s">
        <v>20</v>
      </c>
      <c r="I4932" s="5" t="s">
        <v>11248</v>
      </c>
      <c r="J4932" s="12" t="str">
        <f>HYPERLINK("https://www.boe.es/gazeta/dias/1805/12/31/pdfs/GMD-1805-105.pdf#page=10","Abrir facsímil")</f>
        <v>Abrir facsímil</v>
      </c>
      <c r="K4932" s="15" t="s">
        <v>22</v>
      </c>
    </row>
    <row r="4933" spans="1:11" ht="42" customHeight="1">
      <c r="A4933" s="4" t="s">
        <v>11249</v>
      </c>
      <c r="B4933" s="5" t="s">
        <v>11250</v>
      </c>
      <c r="C4933" s="5" t="s">
        <v>35</v>
      </c>
      <c r="D4933" s="5" t="s">
        <v>36</v>
      </c>
      <c r="E4933" s="5" t="s">
        <v>226</v>
      </c>
      <c r="F4933" s="9">
        <v>73</v>
      </c>
      <c r="G4933" s="9">
        <v>774</v>
      </c>
      <c r="H4933" s="5" t="s">
        <v>20</v>
      </c>
      <c r="I4933" s="5" t="s">
        <v>11251</v>
      </c>
      <c r="J4933" s="12" t="str">
        <f>HYPERLINK("https://www.boe.es/gazeta/dias/1805/09/10/pdfs/GMD-1805-73.pdf#page=6","Abrir facsímil")</f>
        <v>Abrir facsímil</v>
      </c>
      <c r="K4933" s="15" t="s">
        <v>22</v>
      </c>
    </row>
    <row r="4934" spans="1:11" ht="42" customHeight="1">
      <c r="A4934" s="4" t="s">
        <v>11252</v>
      </c>
      <c r="B4934" s="5" t="s">
        <v>11253</v>
      </c>
      <c r="C4934" s="5" t="s">
        <v>35</v>
      </c>
      <c r="D4934" s="5" t="s">
        <v>36</v>
      </c>
      <c r="E4934" s="5" t="s">
        <v>138</v>
      </c>
      <c r="F4934" s="9">
        <v>102</v>
      </c>
      <c r="G4934" s="9">
        <v>1104</v>
      </c>
      <c r="H4934" s="5" t="s">
        <v>20</v>
      </c>
      <c r="I4934" s="5" t="s">
        <v>11254</v>
      </c>
      <c r="J4934" s="12" t="str">
        <f>HYPERLINK("https://www.boe.es/gazeta/dias/1805/12/20/pdfs/GMD-1805-102.pdf#page=8","Abrir facsímil")</f>
        <v>Abrir facsímil</v>
      </c>
      <c r="K4934" s="15" t="s">
        <v>22</v>
      </c>
    </row>
    <row r="4935" spans="1:11" ht="42" customHeight="1">
      <c r="A4935" s="4" t="s">
        <v>11255</v>
      </c>
      <c r="B4935" s="5" t="s">
        <v>11256</v>
      </c>
      <c r="C4935" s="5" t="s">
        <v>17</v>
      </c>
      <c r="D4935" s="5" t="s">
        <v>18</v>
      </c>
      <c r="E4935" s="5" t="s">
        <v>200</v>
      </c>
      <c r="F4935" s="9">
        <v>91</v>
      </c>
      <c r="G4935" s="9">
        <v>977</v>
      </c>
      <c r="H4935" s="5" t="s">
        <v>20</v>
      </c>
      <c r="I4935" s="5" t="s">
        <v>11257</v>
      </c>
      <c r="J4935" s="12" t="str">
        <f>HYPERLINK("https://www.boe.es/gazeta/dias/1805/11/12/pdfs/GMD-1805-91.pdf#page=9","Abrir facsímil")</f>
        <v>Abrir facsímil</v>
      </c>
      <c r="K4935" s="15" t="s">
        <v>22</v>
      </c>
    </row>
    <row r="4936" spans="1:11" ht="42" customHeight="1">
      <c r="A4936" s="4" t="s">
        <v>11258</v>
      </c>
      <c r="B4936" s="5" t="s">
        <v>11259</v>
      </c>
      <c r="C4936" s="5" t="s">
        <v>29</v>
      </c>
      <c r="D4936" s="5" t="s">
        <v>30</v>
      </c>
      <c r="E4936" s="5" t="s">
        <v>365</v>
      </c>
      <c r="F4936" s="9">
        <v>3</v>
      </c>
      <c r="G4936" s="9">
        <v>30</v>
      </c>
      <c r="H4936" s="5" t="s">
        <v>20</v>
      </c>
      <c r="I4936" s="5" t="s">
        <v>11260</v>
      </c>
      <c r="J4936" s="12" t="str">
        <f>HYPERLINK("https://www.boe.es/gazeta/dias/1805/01/08/pdfs/GMD-1805-3.pdf#page=6","Abrir facsímil")</f>
        <v>Abrir facsímil</v>
      </c>
      <c r="K4936" s="15" t="s">
        <v>22</v>
      </c>
    </row>
    <row r="4937" spans="1:11" ht="42" customHeight="1">
      <c r="A4937" s="4" t="s">
        <v>11261</v>
      </c>
      <c r="B4937" s="5" t="s">
        <v>11261</v>
      </c>
      <c r="C4937" s="5" t="s">
        <v>29</v>
      </c>
      <c r="D4937" s="5" t="s">
        <v>30</v>
      </c>
      <c r="E4937" s="5" t="s">
        <v>99</v>
      </c>
      <c r="F4937" s="9">
        <v>83</v>
      </c>
      <c r="G4937" s="9">
        <v>884</v>
      </c>
      <c r="H4937" s="5" t="s">
        <v>20</v>
      </c>
      <c r="I4937" s="5" t="s">
        <v>11262</v>
      </c>
      <c r="J4937" s="12" t="str">
        <f>HYPERLINK("https://www.boe.es/gazeta/dias/1805/10/15/pdfs/GMD-1805-83.pdf#page=12","Abrir facsímil")</f>
        <v>Abrir facsímil</v>
      </c>
      <c r="K4937" s="15" t="s">
        <v>22</v>
      </c>
    </row>
    <row r="4938" spans="1:11" ht="42" customHeight="1">
      <c r="A4938" s="4" t="s">
        <v>11263</v>
      </c>
      <c r="B4938" s="5" t="s">
        <v>11264</v>
      </c>
      <c r="C4938" s="5" t="s">
        <v>17</v>
      </c>
      <c r="D4938" s="5" t="s">
        <v>18</v>
      </c>
      <c r="E4938" s="5" t="s">
        <v>71</v>
      </c>
      <c r="F4938" s="9">
        <v>33</v>
      </c>
      <c r="G4938" s="9">
        <v>352</v>
      </c>
      <c r="H4938" s="5" t="s">
        <v>20</v>
      </c>
      <c r="I4938" s="5" t="s">
        <v>11265</v>
      </c>
      <c r="J4938" s="12" t="str">
        <f>HYPERLINK("https://www.boe.es/gazeta/dias/1805/04/23/pdfs/GMD-1805-33.pdf#page=8","Abrir facsímil")</f>
        <v>Abrir facsímil</v>
      </c>
      <c r="K4938" s="15" t="s">
        <v>22</v>
      </c>
    </row>
    <row r="4939" spans="1:11" ht="42" customHeight="1">
      <c r="A4939" s="4" t="s">
        <v>11266</v>
      </c>
      <c r="B4939" s="5" t="s">
        <v>11267</v>
      </c>
      <c r="C4939" s="5" t="s">
        <v>35</v>
      </c>
      <c r="D4939" s="5" t="s">
        <v>36</v>
      </c>
      <c r="E4939" s="5" t="s">
        <v>1132</v>
      </c>
      <c r="F4939" s="9">
        <v>72</v>
      </c>
      <c r="G4939" s="9">
        <v>767</v>
      </c>
      <c r="H4939" s="5" t="s">
        <v>20</v>
      </c>
      <c r="I4939" s="5" t="s">
        <v>11268</v>
      </c>
      <c r="J4939" s="12" t="str">
        <f>HYPERLINK("https://www.boe.es/gazeta/dias/1805/09/06/pdfs/GMD-1805-72.pdf#page=7","Abrir facsímil")</f>
        <v>Abrir facsímil</v>
      </c>
      <c r="K4939" s="15" t="s">
        <v>22</v>
      </c>
    </row>
    <row r="4940" spans="1:11" ht="42" customHeight="1">
      <c r="A4940" s="4" t="s">
        <v>11269</v>
      </c>
      <c r="B4940" s="5" t="s">
        <v>11270</v>
      </c>
      <c r="C4940" s="5" t="s">
        <v>52</v>
      </c>
      <c r="D4940" s="5" t="s">
        <v>53</v>
      </c>
      <c r="E4940" s="5" t="s">
        <v>82</v>
      </c>
      <c r="F4940" s="9">
        <v>25</v>
      </c>
      <c r="G4940" s="9" t="s">
        <v>222</v>
      </c>
      <c r="H4940" s="5" t="s">
        <v>20</v>
      </c>
      <c r="I4940" s="5" t="s">
        <v>11271</v>
      </c>
      <c r="J4940" s="12" t="str">
        <f>HYPERLINK("https://www.boe.es/gazeta/dias/1805/03/26/pdfs/GMD-C-1805-25.pdf#page=1","Abrir facsímil")</f>
        <v>Abrir facsímil</v>
      </c>
      <c r="K4940" s="15" t="s">
        <v>22</v>
      </c>
    </row>
    <row r="4941" spans="1:11" ht="42" customHeight="1">
      <c r="A4941" s="4" t="s">
        <v>11272</v>
      </c>
      <c r="B4941" s="5" t="s">
        <v>11273</v>
      </c>
      <c r="C4941" s="5" t="s">
        <v>80</v>
      </c>
      <c r="D4941" s="5" t="s">
        <v>81</v>
      </c>
      <c r="E4941" s="5" t="s">
        <v>886</v>
      </c>
      <c r="F4941" s="9">
        <v>93</v>
      </c>
      <c r="G4941" s="9">
        <v>996</v>
      </c>
      <c r="H4941" s="5" t="s">
        <v>20</v>
      </c>
      <c r="I4941" s="5" t="s">
        <v>11274</v>
      </c>
      <c r="J4941" s="12" t="str">
        <f>HYPERLINK("https://www.boe.es/gazeta/dias/1805/11/19/pdfs/GMD-1805-93.pdf#page=8","Abrir facsímil")</f>
        <v>Abrir facsímil</v>
      </c>
      <c r="K4941" s="15" t="s">
        <v>22</v>
      </c>
    </row>
    <row r="4942" spans="1:11" ht="42" customHeight="1">
      <c r="A4942" s="4" t="s">
        <v>11272</v>
      </c>
      <c r="B4942" s="5" t="s">
        <v>11273</v>
      </c>
      <c r="C4942" s="5" t="s">
        <v>80</v>
      </c>
      <c r="D4942" s="5" t="s">
        <v>81</v>
      </c>
      <c r="E4942" s="5" t="s">
        <v>138</v>
      </c>
      <c r="F4942" s="9">
        <v>102</v>
      </c>
      <c r="G4942" s="9">
        <v>1099</v>
      </c>
      <c r="H4942" s="5" t="s">
        <v>20</v>
      </c>
      <c r="I4942" s="5" t="s">
        <v>11275</v>
      </c>
      <c r="J4942" s="12" t="str">
        <f>HYPERLINK("https://www.boe.es/gazeta/dias/1805/12/20/pdfs/GMD-1805-102.pdf#page=3","Abrir facsímil")</f>
        <v>Abrir facsímil</v>
      </c>
      <c r="K4942" s="15" t="s">
        <v>22</v>
      </c>
    </row>
    <row r="4943" spans="1:11" ht="42" customHeight="1">
      <c r="A4943" s="4" t="s">
        <v>11276</v>
      </c>
      <c r="B4943" s="5" t="s">
        <v>11276</v>
      </c>
      <c r="C4943" s="5" t="s">
        <v>52</v>
      </c>
      <c r="D4943" s="5" t="s">
        <v>53</v>
      </c>
      <c r="E4943" s="5" t="s">
        <v>54</v>
      </c>
      <c r="F4943" s="9">
        <v>99</v>
      </c>
      <c r="G4943" s="9" t="s">
        <v>55</v>
      </c>
      <c r="H4943" s="5" t="s">
        <v>20</v>
      </c>
      <c r="I4943" s="5" t="s">
        <v>11277</v>
      </c>
      <c r="J4943" s="12" t="str">
        <f>HYPERLINK("https://www.boe.es/gazeta/dias/1805/12/10/pdfs/GMD-C-1805-99.pdf#page=4","Abrir facsímil")</f>
        <v>Abrir facsímil</v>
      </c>
      <c r="K4943" s="15" t="s">
        <v>22</v>
      </c>
    </row>
    <row r="4944" spans="1:11" ht="42" customHeight="1">
      <c r="A4944" s="4" t="s">
        <v>11278</v>
      </c>
      <c r="B4944" s="5" t="s">
        <v>11278</v>
      </c>
      <c r="C4944" s="5" t="s">
        <v>17</v>
      </c>
      <c r="D4944" s="5" t="s">
        <v>18</v>
      </c>
      <c r="E4944" s="5" t="s">
        <v>99</v>
      </c>
      <c r="F4944" s="9">
        <v>83</v>
      </c>
      <c r="G4944" s="9">
        <v>883</v>
      </c>
      <c r="H4944" s="5" t="s">
        <v>20</v>
      </c>
      <c r="I4944" s="5" t="s">
        <v>11279</v>
      </c>
      <c r="J4944" s="12" t="str">
        <f>HYPERLINK("https://www.boe.es/gazeta/dias/1805/10/15/pdfs/GMD-1805-83.pdf#page=11","Abrir facsímil")</f>
        <v>Abrir facsímil</v>
      </c>
      <c r="K4944" s="15" t="s">
        <v>22</v>
      </c>
    </row>
    <row r="4945" spans="1:11" ht="42" customHeight="1">
      <c r="A4945" s="4" t="s">
        <v>11280</v>
      </c>
      <c r="B4945" s="5" t="s">
        <v>11281</v>
      </c>
      <c r="C4945" s="5" t="s">
        <v>17</v>
      </c>
      <c r="D4945" s="5" t="s">
        <v>18</v>
      </c>
      <c r="E4945" s="5" t="s">
        <v>539</v>
      </c>
      <c r="F4945" s="9">
        <v>97</v>
      </c>
      <c r="G4945" s="9">
        <v>1043</v>
      </c>
      <c r="H4945" s="5" t="s">
        <v>20</v>
      </c>
      <c r="I4945" s="5" t="s">
        <v>11282</v>
      </c>
      <c r="J4945" s="12" t="str">
        <f>HYPERLINK("https://www.boe.es/gazeta/dias/1805/12/03/pdfs/GMD-1805-97.pdf#page=7","Abrir facsímil")</f>
        <v>Abrir facsímil</v>
      </c>
      <c r="K4945" s="15" t="s">
        <v>22</v>
      </c>
    </row>
    <row r="4946" spans="1:11" ht="42" customHeight="1">
      <c r="A4946" s="4" t="s">
        <v>11283</v>
      </c>
      <c r="B4946" s="5" t="s">
        <v>11284</v>
      </c>
      <c r="C4946" s="5" t="s">
        <v>17</v>
      </c>
      <c r="D4946" s="5" t="s">
        <v>18</v>
      </c>
      <c r="E4946" s="5" t="s">
        <v>107</v>
      </c>
      <c r="F4946" s="9">
        <v>19</v>
      </c>
      <c r="G4946" s="9">
        <v>199</v>
      </c>
      <c r="H4946" s="5" t="s">
        <v>20</v>
      </c>
      <c r="I4946" s="5" t="s">
        <v>11285</v>
      </c>
      <c r="J4946" s="12" t="str">
        <f>HYPERLINK("https://www.boe.es/gazeta/dias/1805/03/05/pdfs/GMD-1805-19.pdf#page=11","Abrir facsímil")</f>
        <v>Abrir facsímil</v>
      </c>
      <c r="K4946" s="15" t="s">
        <v>22</v>
      </c>
    </row>
    <row r="4947" spans="1:11" ht="42" customHeight="1">
      <c r="A4947" s="4" t="s">
        <v>11286</v>
      </c>
      <c r="B4947" s="5" t="s">
        <v>11287</v>
      </c>
      <c r="C4947" s="5" t="s">
        <v>184</v>
      </c>
      <c r="D4947" s="5" t="s">
        <v>86</v>
      </c>
      <c r="E4947" s="5" t="s">
        <v>711</v>
      </c>
      <c r="F4947" s="9">
        <v>63</v>
      </c>
      <c r="G4947" s="9">
        <v>674</v>
      </c>
      <c r="H4947" s="5" t="s">
        <v>20</v>
      </c>
      <c r="I4947" s="5" t="s">
        <v>11288</v>
      </c>
      <c r="J4947" s="12" t="str">
        <f>HYPERLINK("https://www.boe.es/gazeta/dias/1805/08/06/pdfs/GMD-1805-63.pdf#page=10","Abrir facsímil")</f>
        <v>Abrir facsímil</v>
      </c>
      <c r="K4947" s="15" t="s">
        <v>22</v>
      </c>
    </row>
    <row r="4948" spans="1:11" ht="42" customHeight="1">
      <c r="A4948" s="4" t="s">
        <v>11289</v>
      </c>
      <c r="B4948" s="5" t="s">
        <v>11290</v>
      </c>
      <c r="C4948" s="5" t="s">
        <v>85</v>
      </c>
      <c r="D4948" s="5" t="s">
        <v>86</v>
      </c>
      <c r="E4948" s="5" t="s">
        <v>539</v>
      </c>
      <c r="F4948" s="9">
        <v>97</v>
      </c>
      <c r="G4948" s="9">
        <v>1044</v>
      </c>
      <c r="H4948" s="5" t="s">
        <v>20</v>
      </c>
      <c r="I4948" s="5" t="s">
        <v>11291</v>
      </c>
      <c r="J4948" s="12" t="str">
        <f>HYPERLINK("https://www.boe.es/gazeta/dias/1805/12/03/pdfs/GMD-1805-97.pdf#page=8","Abrir facsímil")</f>
        <v>Abrir facsímil</v>
      </c>
      <c r="K4948" s="15" t="s">
        <v>22</v>
      </c>
    </row>
    <row r="4949" spans="1:11" ht="42" customHeight="1">
      <c r="A4949" s="4" t="s">
        <v>11292</v>
      </c>
      <c r="B4949" s="5" t="s">
        <v>11292</v>
      </c>
      <c r="C4949" s="5" t="s">
        <v>85</v>
      </c>
      <c r="D4949" s="5" t="s">
        <v>86</v>
      </c>
      <c r="E4949" s="5" t="s">
        <v>399</v>
      </c>
      <c r="F4949" s="9">
        <v>39</v>
      </c>
      <c r="G4949" s="9">
        <v>421</v>
      </c>
      <c r="H4949" s="5" t="s">
        <v>20</v>
      </c>
      <c r="I4949" s="5" t="s">
        <v>11293</v>
      </c>
      <c r="J4949" s="12" t="str">
        <f>HYPERLINK("https://www.boe.es/gazeta/dias/1805/05/14/pdfs/GMD-1805-39.pdf#page=9","Abrir facsímil")</f>
        <v>Abrir facsímil</v>
      </c>
      <c r="K4949" s="15" t="s">
        <v>22</v>
      </c>
    </row>
    <row r="4950" spans="1:11" ht="42" customHeight="1">
      <c r="A4950" s="4" t="s">
        <v>11294</v>
      </c>
      <c r="B4950" s="5" t="s">
        <v>11294</v>
      </c>
      <c r="C4950" s="5" t="s">
        <v>35</v>
      </c>
      <c r="D4950" s="5" t="s">
        <v>36</v>
      </c>
      <c r="E4950" s="5" t="s">
        <v>200</v>
      </c>
      <c r="F4950" s="9">
        <v>91</v>
      </c>
      <c r="G4950" s="9">
        <v>979</v>
      </c>
      <c r="H4950" s="5" t="s">
        <v>20</v>
      </c>
      <c r="I4950" s="5" t="s">
        <v>11295</v>
      </c>
      <c r="J4950" s="12" t="str">
        <f>HYPERLINK("https://www.boe.es/gazeta/dias/1805/11/12/pdfs/GMD-1805-91.pdf#page=11","Abrir facsímil")</f>
        <v>Abrir facsímil</v>
      </c>
      <c r="K4950" s="15" t="s">
        <v>22</v>
      </c>
    </row>
    <row r="4951" spans="1:11" ht="42" customHeight="1">
      <c r="A4951" s="4" t="s">
        <v>11296</v>
      </c>
      <c r="B4951" s="5" t="s">
        <v>11297</v>
      </c>
      <c r="C4951" s="5" t="s">
        <v>35</v>
      </c>
      <c r="D4951" s="5" t="s">
        <v>36</v>
      </c>
      <c r="E4951" s="5" t="s">
        <v>112</v>
      </c>
      <c r="F4951" s="9">
        <v>16</v>
      </c>
      <c r="G4951" s="9">
        <v>166</v>
      </c>
      <c r="H4951" s="5" t="s">
        <v>20</v>
      </c>
      <c r="I4951" s="5" t="s">
        <v>11298</v>
      </c>
      <c r="J4951" s="12" t="str">
        <f>HYPERLINK("https://www.boe.es/gazeta/dias/1805/02/22/pdfs/GMD-1805-16.pdf#page=6","Abrir facsímil")</f>
        <v>Abrir facsímil</v>
      </c>
      <c r="K4951" s="15" t="s">
        <v>22</v>
      </c>
    </row>
    <row r="4952" spans="1:11" ht="42" customHeight="1">
      <c r="A4952" s="4" t="s">
        <v>11299</v>
      </c>
      <c r="B4952" s="5" t="s">
        <v>11299</v>
      </c>
      <c r="C4952" s="5" t="s">
        <v>17</v>
      </c>
      <c r="D4952" s="5" t="s">
        <v>18</v>
      </c>
      <c r="E4952" s="5" t="s">
        <v>506</v>
      </c>
      <c r="F4952" s="9">
        <v>80</v>
      </c>
      <c r="G4952" s="9">
        <v>848</v>
      </c>
      <c r="H4952" s="5" t="s">
        <v>20</v>
      </c>
      <c r="I4952" s="5" t="s">
        <v>11300</v>
      </c>
      <c r="J4952" s="12" t="str">
        <f>HYPERLINK("https://www.boe.es/gazeta/dias/1805/10/04/pdfs/GMD-1805-80.pdf#page=8","Abrir facsímil")</f>
        <v>Abrir facsímil</v>
      </c>
      <c r="K4952" s="15" t="s">
        <v>22</v>
      </c>
    </row>
    <row r="4953" spans="1:11" ht="42" customHeight="1">
      <c r="A4953" s="4" t="s">
        <v>11301</v>
      </c>
      <c r="B4953" s="5" t="s">
        <v>11301</v>
      </c>
      <c r="C4953" s="5" t="s">
        <v>52</v>
      </c>
      <c r="D4953" s="5" t="s">
        <v>53</v>
      </c>
      <c r="E4953" s="5" t="s">
        <v>144</v>
      </c>
      <c r="F4953" s="9">
        <v>85</v>
      </c>
      <c r="G4953" s="9" t="s">
        <v>1153</v>
      </c>
      <c r="H4953" s="5" t="s">
        <v>20</v>
      </c>
      <c r="I4953" s="5" t="s">
        <v>11302</v>
      </c>
      <c r="J4953" s="12" t="str">
        <f>HYPERLINK("https://www.boe.es/gazeta/dias/1805/10/22/pdfs/GMD-C-1805-85.pdf#page=8","Abrir facsímil")</f>
        <v>Abrir facsímil</v>
      </c>
      <c r="K4953" s="15" t="s">
        <v>22</v>
      </c>
    </row>
    <row r="4954" spans="1:11" ht="42" customHeight="1">
      <c r="A4954" s="4" t="s">
        <v>11303</v>
      </c>
      <c r="B4954" s="5" t="s">
        <v>11304</v>
      </c>
      <c r="C4954" s="5" t="s">
        <v>35</v>
      </c>
      <c r="D4954" s="5" t="s">
        <v>36</v>
      </c>
      <c r="E4954" s="5" t="s">
        <v>103</v>
      </c>
      <c r="F4954" s="9">
        <v>30</v>
      </c>
      <c r="G4954" s="9">
        <v>323</v>
      </c>
      <c r="H4954" s="5" t="s">
        <v>20</v>
      </c>
      <c r="I4954" s="5" t="s">
        <v>11305</v>
      </c>
      <c r="J4954" s="12" t="str">
        <f>HYPERLINK("https://www.boe.es/gazeta/dias/1805/04/12/pdfs/GMD-1805-30.pdf#page=7","Abrir facsímil")</f>
        <v>Abrir facsímil</v>
      </c>
      <c r="K4954" s="15" t="s">
        <v>22</v>
      </c>
    </row>
    <row r="4955" spans="1:11" ht="42" customHeight="1">
      <c r="A4955" s="4" t="s">
        <v>11306</v>
      </c>
      <c r="B4955" s="5" t="s">
        <v>11306</v>
      </c>
      <c r="C4955" s="5" t="s">
        <v>52</v>
      </c>
      <c r="D4955" s="5" t="s">
        <v>53</v>
      </c>
      <c r="E4955" s="5" t="s">
        <v>144</v>
      </c>
      <c r="F4955" s="9">
        <v>85</v>
      </c>
      <c r="G4955" s="9" t="s">
        <v>159</v>
      </c>
      <c r="H4955" s="5" t="s">
        <v>20</v>
      </c>
      <c r="I4955" s="5" t="s">
        <v>11307</v>
      </c>
      <c r="J4955" s="12" t="str">
        <f>HYPERLINK("https://www.boe.es/gazeta/dias/1805/10/22/pdfs/GMD-C-1805-85.pdf#page=3","Abrir facsímil")</f>
        <v>Abrir facsímil</v>
      </c>
      <c r="K4955" s="15" t="s">
        <v>22</v>
      </c>
    </row>
    <row r="4956" spans="1:11" ht="42" customHeight="1">
      <c r="A4956" s="4" t="s">
        <v>11308</v>
      </c>
      <c r="B4956" s="5" t="s">
        <v>11308</v>
      </c>
      <c r="C4956" s="5" t="s">
        <v>17</v>
      </c>
      <c r="D4956" s="5" t="s">
        <v>18</v>
      </c>
      <c r="E4956" s="5" t="s">
        <v>363</v>
      </c>
      <c r="F4956" s="9">
        <v>1</v>
      </c>
      <c r="G4956" s="9">
        <v>10</v>
      </c>
      <c r="H4956" s="5" t="s">
        <v>20</v>
      </c>
      <c r="I4956" s="5" t="s">
        <v>11309</v>
      </c>
      <c r="J4956" s="12" t="str">
        <f>HYPERLINK("https://www.boe.es/gazeta/dias/1805/01/01/pdfs/GMD-1805-1.pdf#page=10","Abrir facsímil")</f>
        <v>Abrir facsímil</v>
      </c>
      <c r="K4956" s="15" t="s">
        <v>22</v>
      </c>
    </row>
    <row r="4957" spans="1:11" ht="42" customHeight="1">
      <c r="A4957" s="4" t="s">
        <v>11310</v>
      </c>
      <c r="B4957" s="5" t="s">
        <v>11310</v>
      </c>
      <c r="C4957" s="5" t="s">
        <v>17</v>
      </c>
      <c r="D4957" s="5" t="s">
        <v>18</v>
      </c>
      <c r="E4957" s="5" t="s">
        <v>63</v>
      </c>
      <c r="F4957" s="9">
        <v>101</v>
      </c>
      <c r="G4957" s="9">
        <v>1092</v>
      </c>
      <c r="H4957" s="5" t="s">
        <v>20</v>
      </c>
      <c r="I4957" s="5" t="s">
        <v>11311</v>
      </c>
      <c r="J4957" s="12" t="str">
        <f>HYPERLINK("https://www.boe.es/gazeta/dias/1805/12/17/pdfs/GMD-1805-101.pdf#page=8","Abrir facsímil")</f>
        <v>Abrir facsímil</v>
      </c>
      <c r="K4957" s="15" t="s">
        <v>22</v>
      </c>
    </row>
    <row r="4958" spans="1:11" ht="42" customHeight="1">
      <c r="A4958" s="4" t="s">
        <v>11312</v>
      </c>
      <c r="B4958" s="5" t="s">
        <v>11312</v>
      </c>
      <c r="C4958" s="5" t="s">
        <v>17</v>
      </c>
      <c r="D4958" s="5" t="s">
        <v>18</v>
      </c>
      <c r="E4958" s="5" t="s">
        <v>71</v>
      </c>
      <c r="F4958" s="9">
        <v>33</v>
      </c>
      <c r="G4958" s="9">
        <v>352</v>
      </c>
      <c r="H4958" s="5" t="s">
        <v>20</v>
      </c>
      <c r="I4958" s="5" t="s">
        <v>11313</v>
      </c>
      <c r="J4958" s="12" t="str">
        <f>HYPERLINK("https://www.boe.es/gazeta/dias/1805/04/23/pdfs/GMD-1805-33.pdf#page=8","Abrir facsímil")</f>
        <v>Abrir facsímil</v>
      </c>
      <c r="K4958" s="15" t="s">
        <v>22</v>
      </c>
    </row>
    <row r="4959" spans="1:11" ht="42" customHeight="1">
      <c r="A4959" s="4" t="s">
        <v>11314</v>
      </c>
      <c r="B4959" s="5" t="s">
        <v>11315</v>
      </c>
      <c r="C4959" s="5" t="s">
        <v>17</v>
      </c>
      <c r="D4959" s="5" t="s">
        <v>18</v>
      </c>
      <c r="E4959" s="5" t="s">
        <v>196</v>
      </c>
      <c r="F4959" s="9">
        <v>67</v>
      </c>
      <c r="G4959" s="9">
        <v>718</v>
      </c>
      <c r="H4959" s="5" t="s">
        <v>20</v>
      </c>
      <c r="I4959" s="5" t="s">
        <v>11316</v>
      </c>
      <c r="J4959" s="12" t="str">
        <f>HYPERLINK("https://www.boe.es/gazeta/dias/1805/08/20/pdfs/GMD-1805-67.pdf#page=6","Abrir facsímil")</f>
        <v>Abrir facsímil</v>
      </c>
      <c r="K4959" s="15" t="s">
        <v>22</v>
      </c>
    </row>
    <row r="4960" spans="1:11" ht="42" customHeight="1">
      <c r="A4960" s="4" t="s">
        <v>11317</v>
      </c>
      <c r="B4960" s="5" t="s">
        <v>11318</v>
      </c>
      <c r="C4960" s="5" t="s">
        <v>35</v>
      </c>
      <c r="D4960" s="5" t="s">
        <v>36</v>
      </c>
      <c r="E4960" s="5" t="s">
        <v>181</v>
      </c>
      <c r="F4960" s="9">
        <v>90</v>
      </c>
      <c r="G4960" s="9">
        <v>964</v>
      </c>
      <c r="H4960" s="5" t="s">
        <v>20</v>
      </c>
      <c r="I4960" s="5" t="s">
        <v>11319</v>
      </c>
      <c r="J4960" s="12" t="str">
        <f>HYPERLINK("https://www.boe.es/gazeta/dias/1805/11/08/pdfs/GMD-1805-90.pdf#page=8","Abrir facsímil")</f>
        <v>Abrir facsímil</v>
      </c>
      <c r="K4960" s="15" t="s">
        <v>22</v>
      </c>
    </row>
    <row r="4961" spans="1:11" ht="42" customHeight="1">
      <c r="A4961" s="4" t="s">
        <v>11320</v>
      </c>
      <c r="B4961" s="5" t="s">
        <v>11321</v>
      </c>
      <c r="C4961" s="5" t="s">
        <v>35</v>
      </c>
      <c r="D4961" s="5" t="s">
        <v>36</v>
      </c>
      <c r="E4961" s="5" t="s">
        <v>327</v>
      </c>
      <c r="F4961" s="9">
        <v>10</v>
      </c>
      <c r="G4961" s="9">
        <v>109</v>
      </c>
      <c r="H4961" s="5" t="s">
        <v>20</v>
      </c>
      <c r="I4961" s="5" t="s">
        <v>11322</v>
      </c>
      <c r="J4961" s="12" t="str">
        <f>HYPERLINK("https://www.boe.es/gazeta/dias/1805/02/01/pdfs/GMD-1805-10.pdf#page=5","Abrir facsímil")</f>
        <v>Abrir facsímil</v>
      </c>
      <c r="K4961" s="15" t="s">
        <v>22</v>
      </c>
    </row>
    <row r="4962" spans="1:11" ht="42" customHeight="1">
      <c r="A4962" s="4" t="s">
        <v>11323</v>
      </c>
      <c r="B4962" s="5" t="s">
        <v>11324</v>
      </c>
      <c r="C4962" s="5" t="s">
        <v>17</v>
      </c>
      <c r="D4962" s="5" t="s">
        <v>18</v>
      </c>
      <c r="E4962" s="5" t="s">
        <v>539</v>
      </c>
      <c r="F4962" s="9">
        <v>97</v>
      </c>
      <c r="G4962" s="9">
        <v>1042</v>
      </c>
      <c r="H4962" s="5" t="s">
        <v>20</v>
      </c>
      <c r="I4962" s="5" t="s">
        <v>11325</v>
      </c>
      <c r="J4962" s="12" t="str">
        <f>HYPERLINK("https://www.boe.es/gazeta/dias/1805/12/03/pdfs/GMD-1805-97.pdf#page=6","Abrir facsímil")</f>
        <v>Abrir facsímil</v>
      </c>
      <c r="K4962" s="15" t="s">
        <v>22</v>
      </c>
    </row>
    <row r="4963" spans="1:11" ht="42" customHeight="1">
      <c r="A4963" s="4" t="s">
        <v>11326</v>
      </c>
      <c r="B4963" s="5" t="s">
        <v>11326</v>
      </c>
      <c r="C4963" s="5" t="s">
        <v>80</v>
      </c>
      <c r="D4963" s="5" t="s">
        <v>81</v>
      </c>
      <c r="E4963" s="5" t="s">
        <v>387</v>
      </c>
      <c r="F4963" s="9">
        <v>4</v>
      </c>
      <c r="G4963" s="9">
        <v>34</v>
      </c>
      <c r="H4963" s="5" t="s">
        <v>20</v>
      </c>
      <c r="I4963" s="5" t="s">
        <v>11327</v>
      </c>
      <c r="J4963" s="12" t="str">
        <f>HYPERLINK("https://www.boe.es/gazeta/dias/1805/01/11/pdfs/GMD-1805-4.pdf#page=2","Abrir facsímil")</f>
        <v>Abrir facsímil</v>
      </c>
      <c r="K4963" s="15" t="s">
        <v>22</v>
      </c>
    </row>
    <row r="4964" spans="1:11" ht="42" customHeight="1">
      <c r="A4964" s="4" t="s">
        <v>11326</v>
      </c>
      <c r="B4964" s="5" t="s">
        <v>11326</v>
      </c>
      <c r="C4964" s="5" t="s">
        <v>80</v>
      </c>
      <c r="D4964" s="5" t="s">
        <v>81</v>
      </c>
      <c r="E4964" s="5" t="s">
        <v>426</v>
      </c>
      <c r="F4964" s="9">
        <v>75</v>
      </c>
      <c r="G4964" s="9">
        <v>791</v>
      </c>
      <c r="H4964" s="5" t="s">
        <v>20</v>
      </c>
      <c r="I4964" s="5" t="s">
        <v>11328</v>
      </c>
      <c r="J4964" s="12" t="str">
        <f>HYPERLINK("https://www.boe.es/gazeta/dias/1805/09/17/pdfs/GMD-1805-75.pdf#page=3","Abrir facsímil")</f>
        <v>Abrir facsímil</v>
      </c>
      <c r="K4964" s="15" t="s">
        <v>22</v>
      </c>
    </row>
    <row r="4965" spans="1:11" ht="42" customHeight="1">
      <c r="A4965" s="4" t="s">
        <v>11329</v>
      </c>
      <c r="B4965" s="5" t="s">
        <v>11329</v>
      </c>
      <c r="C4965" s="5" t="s">
        <v>85</v>
      </c>
      <c r="D4965" s="5" t="s">
        <v>86</v>
      </c>
      <c r="E4965" s="5" t="s">
        <v>196</v>
      </c>
      <c r="F4965" s="9">
        <v>67</v>
      </c>
      <c r="G4965" s="9">
        <v>720</v>
      </c>
      <c r="H4965" s="5" t="s">
        <v>20</v>
      </c>
      <c r="I4965" s="5" t="s">
        <v>11330</v>
      </c>
      <c r="J4965" s="12" t="str">
        <f>HYPERLINK("https://www.boe.es/gazeta/dias/1805/08/20/pdfs/GMD-1805-67.pdf#page=8","Abrir facsímil")</f>
        <v>Abrir facsímil</v>
      </c>
      <c r="K4965" s="15" t="s">
        <v>22</v>
      </c>
    </row>
    <row r="4966" spans="1:11" ht="42" customHeight="1">
      <c r="A4966" s="4" t="s">
        <v>11331</v>
      </c>
      <c r="B4966" s="5" t="s">
        <v>11331</v>
      </c>
      <c r="C4966" s="5" t="s">
        <v>29</v>
      </c>
      <c r="D4966" s="5" t="s">
        <v>30</v>
      </c>
      <c r="E4966" s="5" t="s">
        <v>1494</v>
      </c>
      <c r="F4966" s="9">
        <v>31</v>
      </c>
      <c r="G4966" s="9">
        <v>335</v>
      </c>
      <c r="H4966" s="5" t="s">
        <v>20</v>
      </c>
      <c r="I4966" s="5" t="s">
        <v>11332</v>
      </c>
      <c r="J4966" s="12" t="str">
        <f>HYPERLINK("https://www.boe.es/gazeta/dias/1805/04/16/pdfs/GMD-1805-31.pdf#page=11","Abrir facsímil")</f>
        <v>Abrir facsímil</v>
      </c>
      <c r="K4966" s="15" t="s">
        <v>22</v>
      </c>
    </row>
    <row r="4967" spans="1:11" ht="42" customHeight="1">
      <c r="A4967" s="4" t="s">
        <v>11333</v>
      </c>
      <c r="B4967" s="5" t="s">
        <v>11334</v>
      </c>
      <c r="C4967" s="5" t="s">
        <v>35</v>
      </c>
      <c r="D4967" s="5" t="s">
        <v>36</v>
      </c>
      <c r="E4967" s="5" t="s">
        <v>904</v>
      </c>
      <c r="F4967" s="9">
        <v>47</v>
      </c>
      <c r="G4967" s="9">
        <v>509</v>
      </c>
      <c r="H4967" s="5" t="s">
        <v>20</v>
      </c>
      <c r="I4967" s="5" t="s">
        <v>11335</v>
      </c>
      <c r="J4967" s="12" t="str">
        <f>HYPERLINK("https://www.boe.es/gazeta/dias/1805/06/11/pdfs/GMD-1805-47.pdf#page=9","Abrir facsímil")</f>
        <v>Abrir facsímil</v>
      </c>
      <c r="K4967" s="15" t="s">
        <v>22</v>
      </c>
    </row>
    <row r="4968" spans="1:11" ht="42" customHeight="1">
      <c r="A4968" s="4" t="s">
        <v>11336</v>
      </c>
      <c r="B4968" s="5" t="s">
        <v>11336</v>
      </c>
      <c r="C4968" s="5" t="s">
        <v>35</v>
      </c>
      <c r="D4968" s="5" t="s">
        <v>36</v>
      </c>
      <c r="E4968" s="5" t="s">
        <v>188</v>
      </c>
      <c r="F4968" s="9">
        <v>68</v>
      </c>
      <c r="G4968" s="9">
        <v>728</v>
      </c>
      <c r="H4968" s="5" t="s">
        <v>20</v>
      </c>
      <c r="I4968" s="5" t="s">
        <v>11337</v>
      </c>
      <c r="J4968" s="12" t="str">
        <f>HYPERLINK("https://www.boe.es/gazeta/dias/1805/08/23/pdfs/GMD-1805-68.pdf#page=8","Abrir facsímil")</f>
        <v>Abrir facsímil</v>
      </c>
      <c r="K4968" s="15" t="s">
        <v>22</v>
      </c>
    </row>
    <row r="4969" spans="1:11" ht="42" customHeight="1">
      <c r="A4969" s="4" t="s">
        <v>11338</v>
      </c>
      <c r="B4969" s="5" t="s">
        <v>11338</v>
      </c>
      <c r="C4969" s="5" t="s">
        <v>35</v>
      </c>
      <c r="D4969" s="5" t="s">
        <v>36</v>
      </c>
      <c r="E4969" s="5" t="s">
        <v>303</v>
      </c>
      <c r="F4969" s="9">
        <v>57</v>
      </c>
      <c r="G4969" s="9">
        <v>611</v>
      </c>
      <c r="H4969" s="5" t="s">
        <v>20</v>
      </c>
      <c r="I4969" s="5" t="s">
        <v>11339</v>
      </c>
      <c r="J4969" s="12" t="str">
        <f>HYPERLINK("https://www.boe.es/gazeta/dias/1805/07/16/pdfs/GMD-1805-57.pdf#page=7","Abrir facsímil")</f>
        <v>Abrir facsímil</v>
      </c>
      <c r="K4969" s="15" t="s">
        <v>22</v>
      </c>
    </row>
    <row r="4970" spans="1:11" ht="42" customHeight="1">
      <c r="A4970" s="4" t="s">
        <v>11340</v>
      </c>
      <c r="B4970" s="5" t="s">
        <v>11340</v>
      </c>
      <c r="C4970" s="5" t="s">
        <v>17</v>
      </c>
      <c r="D4970" s="5" t="s">
        <v>18</v>
      </c>
      <c r="E4970" s="5" t="s">
        <v>300</v>
      </c>
      <c r="F4970" s="9">
        <v>81</v>
      </c>
      <c r="G4970" s="9">
        <v>859</v>
      </c>
      <c r="H4970" s="5" t="s">
        <v>20</v>
      </c>
      <c r="I4970" s="5" t="s">
        <v>11341</v>
      </c>
      <c r="J4970" s="12" t="str">
        <f>HYPERLINK("https://www.boe.es/gazeta/dias/1805/10/08/pdfs/GMD-1805-81.pdf#page=7","Abrir facsímil")</f>
        <v>Abrir facsímil</v>
      </c>
      <c r="K4970" s="15" t="s">
        <v>22</v>
      </c>
    </row>
    <row r="4971" spans="1:11" ht="42" customHeight="1">
      <c r="A4971" s="4" t="s">
        <v>11342</v>
      </c>
      <c r="B4971" s="5" t="s">
        <v>11342</v>
      </c>
      <c r="C4971" s="5" t="s">
        <v>80</v>
      </c>
      <c r="D4971" s="5" t="s">
        <v>81</v>
      </c>
      <c r="E4971" s="5" t="s">
        <v>831</v>
      </c>
      <c r="F4971" s="9">
        <v>62</v>
      </c>
      <c r="G4971" s="9">
        <v>658</v>
      </c>
      <c r="H4971" s="5" t="s">
        <v>20</v>
      </c>
      <c r="I4971" s="5" t="s">
        <v>11343</v>
      </c>
      <c r="J4971" s="12" t="str">
        <f>HYPERLINK("https://www.boe.es/gazeta/dias/1805/08/02/pdfs/GMD-1805-62.pdf#page=2","Abrir facsímil")</f>
        <v>Abrir facsímil</v>
      </c>
      <c r="K4971" s="15" t="s">
        <v>22</v>
      </c>
    </row>
    <row r="4972" spans="1:11" ht="42" customHeight="1">
      <c r="A4972" s="4" t="s">
        <v>11342</v>
      </c>
      <c r="B4972" s="5" t="s">
        <v>11342</v>
      </c>
      <c r="C4972" s="5" t="s">
        <v>80</v>
      </c>
      <c r="D4972" s="5" t="s">
        <v>81</v>
      </c>
      <c r="E4972" s="5" t="s">
        <v>831</v>
      </c>
      <c r="F4972" s="9">
        <v>62</v>
      </c>
      <c r="G4972" s="9">
        <v>659</v>
      </c>
      <c r="H4972" s="5" t="s">
        <v>20</v>
      </c>
      <c r="I4972" s="5" t="s">
        <v>11344</v>
      </c>
      <c r="J4972" s="12" t="str">
        <f>HYPERLINK("https://www.boe.es/gazeta/dias/1805/08/02/pdfs/GMD-1805-62.pdf#page=3","Abrir facsímil")</f>
        <v>Abrir facsímil</v>
      </c>
      <c r="K4972" s="15" t="s">
        <v>22</v>
      </c>
    </row>
    <row r="4973" spans="1:11" ht="42" customHeight="1">
      <c r="A4973" s="4" t="s">
        <v>11345</v>
      </c>
      <c r="B4973" s="5" t="s">
        <v>11345</v>
      </c>
      <c r="C4973" s="5" t="s">
        <v>35</v>
      </c>
      <c r="D4973" s="5" t="s">
        <v>36</v>
      </c>
      <c r="E4973" s="5" t="s">
        <v>817</v>
      </c>
      <c r="F4973" s="9">
        <v>92</v>
      </c>
      <c r="G4973" s="9">
        <v>987</v>
      </c>
      <c r="H4973" s="5" t="s">
        <v>20</v>
      </c>
      <c r="I4973" s="5" t="s">
        <v>11346</v>
      </c>
      <c r="J4973" s="12" t="str">
        <f>HYPERLINK("https://www.boe.es/gazeta/dias/1805/11/15/pdfs/GMD-1805-92.pdf#page=7","Abrir facsímil")</f>
        <v>Abrir facsímil</v>
      </c>
      <c r="K4973" s="15" t="s">
        <v>22</v>
      </c>
    </row>
    <row r="4974" spans="1:11" ht="42" customHeight="1">
      <c r="A4974" s="4" t="s">
        <v>11347</v>
      </c>
      <c r="B4974" s="5" t="s">
        <v>11347</v>
      </c>
      <c r="C4974" s="5" t="s">
        <v>17</v>
      </c>
      <c r="D4974" s="5" t="s">
        <v>18</v>
      </c>
      <c r="E4974" s="5" t="s">
        <v>63</v>
      </c>
      <c r="F4974" s="9">
        <v>101</v>
      </c>
      <c r="G4974" s="9">
        <v>1091</v>
      </c>
      <c r="H4974" s="5" t="s">
        <v>20</v>
      </c>
      <c r="I4974" s="5" t="s">
        <v>11348</v>
      </c>
      <c r="J4974" s="12" t="str">
        <f>HYPERLINK("https://www.boe.es/gazeta/dias/1805/12/17/pdfs/GMD-1805-101.pdf#page=7","Abrir facsímil")</f>
        <v>Abrir facsímil</v>
      </c>
      <c r="K4974" s="15" t="s">
        <v>22</v>
      </c>
    </row>
    <row r="4975" spans="1:11" ht="42" customHeight="1">
      <c r="A4975" s="4" t="s">
        <v>11349</v>
      </c>
      <c r="B4975" s="5" t="s">
        <v>11349</v>
      </c>
      <c r="C4975" s="5" t="s">
        <v>17</v>
      </c>
      <c r="D4975" s="5" t="s">
        <v>18</v>
      </c>
      <c r="E4975" s="5" t="s">
        <v>135</v>
      </c>
      <c r="F4975" s="9">
        <v>71</v>
      </c>
      <c r="G4975" s="9">
        <v>758</v>
      </c>
      <c r="H4975" s="5" t="s">
        <v>20</v>
      </c>
      <c r="I4975" s="5" t="s">
        <v>11350</v>
      </c>
      <c r="J4975" s="12" t="str">
        <f>HYPERLINK("https://www.boe.es/gazeta/dias/1805/09/03/pdfs/GMD-1805-71.pdf#page=10","Abrir facsímil")</f>
        <v>Abrir facsímil</v>
      </c>
      <c r="K4975" s="15" t="s">
        <v>22</v>
      </c>
    </row>
    <row r="4976" spans="1:11" ht="42" customHeight="1">
      <c r="A4976" s="4" t="s">
        <v>11351</v>
      </c>
      <c r="B4976" s="5" t="s">
        <v>11351</v>
      </c>
      <c r="C4976" s="5" t="s">
        <v>35</v>
      </c>
      <c r="D4976" s="5" t="s">
        <v>36</v>
      </c>
      <c r="E4976" s="5" t="s">
        <v>63</v>
      </c>
      <c r="F4976" s="9">
        <v>101</v>
      </c>
      <c r="G4976" s="9">
        <v>1093</v>
      </c>
      <c r="H4976" s="5" t="s">
        <v>20</v>
      </c>
      <c r="I4976" s="5" t="s">
        <v>11352</v>
      </c>
      <c r="J4976" s="12" t="str">
        <f>HYPERLINK("https://www.boe.es/gazeta/dias/1805/12/17/pdfs/GMD-1805-101.pdf#page=9","Abrir facsímil")</f>
        <v>Abrir facsímil</v>
      </c>
      <c r="K4976" s="15" t="s">
        <v>22</v>
      </c>
    </row>
    <row r="4977" spans="1:11" ht="42" customHeight="1">
      <c r="A4977" s="4" t="s">
        <v>11353</v>
      </c>
      <c r="B4977" s="5" t="s">
        <v>11354</v>
      </c>
      <c r="C4977" s="5" t="s">
        <v>80</v>
      </c>
      <c r="D4977" s="5" t="s">
        <v>81</v>
      </c>
      <c r="E4977" s="5" t="s">
        <v>71</v>
      </c>
      <c r="F4977" s="9">
        <v>33</v>
      </c>
      <c r="G4977" s="9">
        <v>347</v>
      </c>
      <c r="H4977" s="5" t="s">
        <v>20</v>
      </c>
      <c r="I4977" s="5" t="s">
        <v>11355</v>
      </c>
      <c r="J4977" s="12" t="str">
        <f>HYPERLINK("https://www.boe.es/gazeta/dias/1805/04/23/pdfs/GMD-1805-33.pdf#page=3","Abrir facsímil")</f>
        <v>Abrir facsímil</v>
      </c>
      <c r="K4977" s="15" t="s">
        <v>22</v>
      </c>
    </row>
    <row r="4978" spans="1:11" ht="42" customHeight="1">
      <c r="A4978" s="4" t="s">
        <v>11356</v>
      </c>
      <c r="B4978" s="5" t="s">
        <v>11357</v>
      </c>
      <c r="C4978" s="5" t="s">
        <v>80</v>
      </c>
      <c r="D4978" s="5" t="s">
        <v>81</v>
      </c>
      <c r="E4978" s="5" t="s">
        <v>1494</v>
      </c>
      <c r="F4978" s="9">
        <v>31</v>
      </c>
      <c r="G4978" s="9">
        <v>325</v>
      </c>
      <c r="H4978" s="5" t="s">
        <v>20</v>
      </c>
      <c r="I4978" s="5" t="s">
        <v>11358</v>
      </c>
      <c r="J4978" s="12" t="str">
        <f>HYPERLINK("https://www.boe.es/gazeta/dias/1805/04/16/pdfs/GMD-1805-31.pdf#page=1","Abrir facsímil")</f>
        <v>Abrir facsímil</v>
      </c>
      <c r="K4978" s="15" t="s">
        <v>22</v>
      </c>
    </row>
    <row r="4979" spans="1:11" ht="42" customHeight="1">
      <c r="A4979" s="4" t="s">
        <v>11359</v>
      </c>
      <c r="B4979" s="5" t="s">
        <v>11360</v>
      </c>
      <c r="C4979" s="5" t="s">
        <v>17</v>
      </c>
      <c r="D4979" s="5" t="s">
        <v>18</v>
      </c>
      <c r="E4979" s="5" t="s">
        <v>135</v>
      </c>
      <c r="F4979" s="9">
        <v>71</v>
      </c>
      <c r="G4979" s="9">
        <v>756</v>
      </c>
      <c r="H4979" s="5" t="s">
        <v>20</v>
      </c>
      <c r="I4979" s="5" t="s">
        <v>11361</v>
      </c>
      <c r="J4979" s="12" t="str">
        <f>HYPERLINK("https://www.boe.es/gazeta/dias/1805/09/03/pdfs/GMD-1805-71.pdf#page=8","Abrir facsímil")</f>
        <v>Abrir facsímil</v>
      </c>
      <c r="K4979" s="15" t="s">
        <v>22</v>
      </c>
    </row>
    <row r="4980" spans="1:11" ht="42" customHeight="1">
      <c r="A4980" s="4" t="s">
        <v>11362</v>
      </c>
      <c r="B4980" s="5" t="s">
        <v>11363</v>
      </c>
      <c r="C4980" s="5" t="s">
        <v>35</v>
      </c>
      <c r="D4980" s="5" t="s">
        <v>36</v>
      </c>
      <c r="E4980" s="5" t="s">
        <v>63</v>
      </c>
      <c r="F4980" s="9">
        <v>101</v>
      </c>
      <c r="G4980" s="9">
        <v>1091</v>
      </c>
      <c r="H4980" s="5" t="s">
        <v>20</v>
      </c>
      <c r="I4980" s="5" t="s">
        <v>11364</v>
      </c>
      <c r="J4980" s="12" t="str">
        <f>HYPERLINK("https://www.boe.es/gazeta/dias/1805/12/17/pdfs/GMD-1805-101.pdf#page=7","Abrir facsímil")</f>
        <v>Abrir facsímil</v>
      </c>
      <c r="K4980" s="15" t="s">
        <v>22</v>
      </c>
    </row>
    <row r="4981" spans="1:11" ht="42" customHeight="1">
      <c r="A4981" s="4" t="s">
        <v>11365</v>
      </c>
      <c r="B4981" s="5" t="s">
        <v>11366</v>
      </c>
      <c r="C4981" s="5" t="s">
        <v>35</v>
      </c>
      <c r="D4981" s="5" t="s">
        <v>36</v>
      </c>
      <c r="E4981" s="5" t="s">
        <v>673</v>
      </c>
      <c r="F4981" s="9">
        <v>32</v>
      </c>
      <c r="G4981" s="9">
        <v>342</v>
      </c>
      <c r="H4981" s="5" t="s">
        <v>20</v>
      </c>
      <c r="I4981" s="5" t="s">
        <v>11367</v>
      </c>
      <c r="J4981" s="12" t="str">
        <f>HYPERLINK("https://www.boe.es/gazeta/dias/1805/04/19/pdfs/GMD-1805-32.pdf#page=6","Abrir facsímil")</f>
        <v>Abrir facsímil</v>
      </c>
      <c r="K4981" s="15" t="s">
        <v>22</v>
      </c>
    </row>
    <row r="4982" spans="1:11" ht="42" customHeight="1">
      <c r="A4982" s="4" t="s">
        <v>11368</v>
      </c>
      <c r="B4982" s="5" t="s">
        <v>11369</v>
      </c>
      <c r="C4982" s="5" t="s">
        <v>35</v>
      </c>
      <c r="D4982" s="5" t="s">
        <v>36</v>
      </c>
      <c r="E4982" s="5" t="s">
        <v>854</v>
      </c>
      <c r="F4982" s="9">
        <v>46</v>
      </c>
      <c r="G4982" s="9">
        <v>499</v>
      </c>
      <c r="H4982" s="5" t="s">
        <v>20</v>
      </c>
      <c r="I4982" s="5" t="s">
        <v>11370</v>
      </c>
      <c r="J4982" s="12" t="str">
        <f>HYPERLINK("https://www.boe.es/gazeta/dias/1805/06/07/pdfs/GMD-1805-46.pdf#page=11","Abrir facsímil")</f>
        <v>Abrir facsímil</v>
      </c>
      <c r="K4982" s="15" t="s">
        <v>22</v>
      </c>
    </row>
    <row r="4983" spans="1:11" ht="42" customHeight="1">
      <c r="A4983" s="4" t="s">
        <v>11371</v>
      </c>
      <c r="B4983" s="5" t="s">
        <v>11371</v>
      </c>
      <c r="C4983" s="5" t="s">
        <v>35</v>
      </c>
      <c r="D4983" s="5" t="s">
        <v>36</v>
      </c>
      <c r="E4983" s="5" t="s">
        <v>54</v>
      </c>
      <c r="F4983" s="9">
        <v>99</v>
      </c>
      <c r="G4983" s="9">
        <v>1066</v>
      </c>
      <c r="H4983" s="5" t="s">
        <v>20</v>
      </c>
      <c r="I4983" s="5" t="s">
        <v>11372</v>
      </c>
      <c r="J4983" s="12" t="str">
        <f>HYPERLINK("https://www.boe.es/gazeta/dias/1805/12/10/pdfs/GMD-1805-99.pdf#page=6","Abrir facsímil")</f>
        <v>Abrir facsímil</v>
      </c>
      <c r="K4983" s="15" t="s">
        <v>22</v>
      </c>
    </row>
    <row r="4984" spans="1:11" ht="42" customHeight="1">
      <c r="A4984" s="4" t="s">
        <v>11373</v>
      </c>
      <c r="B4984" s="5" t="s">
        <v>11374</v>
      </c>
      <c r="C4984" s="5" t="s">
        <v>35</v>
      </c>
      <c r="D4984" s="5" t="s">
        <v>36</v>
      </c>
      <c r="E4984" s="5" t="s">
        <v>296</v>
      </c>
      <c r="F4984" s="9">
        <v>26</v>
      </c>
      <c r="G4984" s="9">
        <v>277</v>
      </c>
      <c r="H4984" s="5" t="s">
        <v>20</v>
      </c>
      <c r="I4984" s="5" t="s">
        <v>11375</v>
      </c>
      <c r="J4984" s="12" t="str">
        <f>HYPERLINK("https://www.boe.es/gazeta/dias/1805/03/29/pdfs/GMD-1805-26.pdf#page=9","Abrir facsímil")</f>
        <v>Abrir facsímil</v>
      </c>
      <c r="K4984" s="15" t="s">
        <v>22</v>
      </c>
    </row>
    <row r="4985" spans="1:11" ht="42" customHeight="1">
      <c r="A4985" s="4" t="s">
        <v>11376</v>
      </c>
      <c r="B4985" s="5" t="s">
        <v>11376</v>
      </c>
      <c r="C4985" s="5" t="s">
        <v>184</v>
      </c>
      <c r="D4985" s="5" t="s">
        <v>86</v>
      </c>
      <c r="E4985" s="5" t="s">
        <v>1471</v>
      </c>
      <c r="F4985" s="9">
        <v>34</v>
      </c>
      <c r="G4985" s="9">
        <v>363</v>
      </c>
      <c r="H4985" s="5" t="s">
        <v>20</v>
      </c>
      <c r="I4985" s="5" t="s">
        <v>11377</v>
      </c>
      <c r="J4985" s="12" t="str">
        <f>HYPERLINK("https://www.boe.es/gazeta/dias/1805/04/26/pdfs/GMD-1805-34.pdf#page=7","Abrir facsímil")</f>
        <v>Abrir facsímil</v>
      </c>
      <c r="K4985" s="15" t="s">
        <v>22</v>
      </c>
    </row>
    <row r="4986" spans="1:11" ht="42" customHeight="1">
      <c r="A4986" s="4" t="s">
        <v>11378</v>
      </c>
      <c r="B4986" s="5" t="s">
        <v>11378</v>
      </c>
      <c r="C4986" s="5" t="s">
        <v>17</v>
      </c>
      <c r="D4986" s="5" t="s">
        <v>18</v>
      </c>
      <c r="E4986" s="5" t="s">
        <v>63</v>
      </c>
      <c r="F4986" s="9">
        <v>101</v>
      </c>
      <c r="G4986" s="9">
        <v>1093</v>
      </c>
      <c r="H4986" s="5" t="s">
        <v>20</v>
      </c>
      <c r="I4986" s="5" t="s">
        <v>11379</v>
      </c>
      <c r="J4986" s="12" t="str">
        <f>HYPERLINK("https://www.boe.es/gazeta/dias/1805/12/17/pdfs/GMD-1805-101.pdf#page=9","Abrir facsímil")</f>
        <v>Abrir facsímil</v>
      </c>
      <c r="K4986" s="15" t="s">
        <v>22</v>
      </c>
    </row>
    <row r="4987" spans="1:11" ht="42" customHeight="1">
      <c r="A4987" s="4" t="s">
        <v>11380</v>
      </c>
      <c r="B4987" s="5" t="s">
        <v>11380</v>
      </c>
      <c r="C4987" s="5" t="s">
        <v>17</v>
      </c>
      <c r="D4987" s="5" t="s">
        <v>18</v>
      </c>
      <c r="E4987" s="5" t="s">
        <v>117</v>
      </c>
      <c r="F4987" s="9">
        <v>20</v>
      </c>
      <c r="G4987" s="9">
        <v>211</v>
      </c>
      <c r="H4987" s="5" t="s">
        <v>20</v>
      </c>
      <c r="I4987" s="5" t="s">
        <v>11381</v>
      </c>
      <c r="J4987" s="12" t="str">
        <f>HYPERLINK("https://www.boe.es/gazeta/dias/1805/03/08/pdfs/GMD-1805-20.pdf#page=11","Abrir facsímil")</f>
        <v>Abrir facsímil</v>
      </c>
      <c r="K4987" s="15" t="s">
        <v>22</v>
      </c>
    </row>
    <row r="4988" spans="1:11" ht="42" customHeight="1">
      <c r="A4988" s="4" t="s">
        <v>11382</v>
      </c>
      <c r="B4988" s="5" t="s">
        <v>11382</v>
      </c>
      <c r="C4988" s="5" t="s">
        <v>17</v>
      </c>
      <c r="D4988" s="5" t="s">
        <v>18</v>
      </c>
      <c r="E4988" s="5" t="s">
        <v>276</v>
      </c>
      <c r="F4988" s="9">
        <v>51</v>
      </c>
      <c r="G4988" s="9">
        <v>550</v>
      </c>
      <c r="H4988" s="5" t="s">
        <v>20</v>
      </c>
      <c r="I4988" s="5" t="s">
        <v>11383</v>
      </c>
      <c r="J4988" s="12" t="str">
        <f>HYPERLINK("https://www.boe.es/gazeta/dias/1805/06/25/pdfs/GMD-1805-51.pdf#page=6","Abrir facsímil")</f>
        <v>Abrir facsímil</v>
      </c>
      <c r="K4988" s="15" t="s">
        <v>22</v>
      </c>
    </row>
    <row r="4989" spans="1:11" ht="42" customHeight="1">
      <c r="A4989" s="4" t="s">
        <v>11384</v>
      </c>
      <c r="B4989" s="5" t="s">
        <v>11384</v>
      </c>
      <c r="C4989" s="5" t="s">
        <v>52</v>
      </c>
      <c r="D4989" s="5" t="s">
        <v>53</v>
      </c>
      <c r="E4989" s="5" t="s">
        <v>54</v>
      </c>
      <c r="F4989" s="9">
        <v>99</v>
      </c>
      <c r="G4989" s="9" t="s">
        <v>55</v>
      </c>
      <c r="H4989" s="5" t="s">
        <v>20</v>
      </c>
      <c r="I4989" s="5" t="s">
        <v>11385</v>
      </c>
      <c r="J4989" s="12" t="str">
        <f>HYPERLINK("https://www.boe.es/gazeta/dias/1805/12/10/pdfs/GMD-C-1805-99.pdf#page=4","Abrir facsímil")</f>
        <v>Abrir facsímil</v>
      </c>
      <c r="K4989" s="15" t="s">
        <v>22</v>
      </c>
    </row>
    <row r="4990" spans="1:11" ht="42" customHeight="1">
      <c r="A4990" s="4" t="s">
        <v>11386</v>
      </c>
      <c r="B4990" s="5" t="s">
        <v>11386</v>
      </c>
      <c r="C4990" s="5" t="s">
        <v>184</v>
      </c>
      <c r="D4990" s="5" t="s">
        <v>86</v>
      </c>
      <c r="E4990" s="5" t="s">
        <v>512</v>
      </c>
      <c r="F4990" s="9">
        <v>100</v>
      </c>
      <c r="G4990" s="9">
        <v>1083</v>
      </c>
      <c r="H4990" s="5" t="s">
        <v>20</v>
      </c>
      <c r="I4990" s="5" t="s">
        <v>11387</v>
      </c>
      <c r="J4990" s="12" t="str">
        <f>HYPERLINK("https://www.boe.es/gazeta/dias/1805/12/13/pdfs/GMD-1805-100.pdf#page=11","Abrir facsímil")</f>
        <v>Abrir facsímil</v>
      </c>
      <c r="K4990" s="15" t="s">
        <v>22</v>
      </c>
    </row>
    <row r="4991" spans="1:11" ht="42" customHeight="1">
      <c r="A4991" s="4" t="s">
        <v>11388</v>
      </c>
      <c r="B4991" s="5" t="s">
        <v>11388</v>
      </c>
      <c r="C4991" s="5" t="s">
        <v>264</v>
      </c>
      <c r="D4991" s="5" t="s">
        <v>265</v>
      </c>
      <c r="E4991" s="5" t="s">
        <v>1471</v>
      </c>
      <c r="F4991" s="9">
        <v>34</v>
      </c>
      <c r="G4991" s="9">
        <v>367</v>
      </c>
      <c r="H4991" s="5" t="s">
        <v>20</v>
      </c>
      <c r="I4991" s="5" t="s">
        <v>11389</v>
      </c>
      <c r="J4991" s="12" t="str">
        <f>HYPERLINK("https://www.boe.es/gazeta/dias/1805/04/26/pdfs/GMD-C-1805-34.pdf#page=3","Abrir facsímil")</f>
        <v>Abrir facsímil</v>
      </c>
      <c r="K4991" s="15" t="s">
        <v>22</v>
      </c>
    </row>
    <row r="4992" spans="1:11" ht="42" customHeight="1">
      <c r="A4992" s="4" t="s">
        <v>11390</v>
      </c>
      <c r="B4992" s="5" t="s">
        <v>11391</v>
      </c>
      <c r="C4992" s="5" t="s">
        <v>17</v>
      </c>
      <c r="D4992" s="5" t="s">
        <v>18</v>
      </c>
      <c r="E4992" s="5" t="s">
        <v>649</v>
      </c>
      <c r="F4992" s="9">
        <v>7</v>
      </c>
      <c r="G4992" s="9">
        <v>77</v>
      </c>
      <c r="H4992" s="5" t="s">
        <v>20</v>
      </c>
      <c r="I4992" s="5" t="s">
        <v>11392</v>
      </c>
      <c r="J4992" s="12" t="str">
        <f>HYPERLINK("https://www.boe.es/gazeta/dias/1805/01/22/pdfs/GMD-1805-7.pdf#page=9","Abrir facsímil")</f>
        <v>Abrir facsímil</v>
      </c>
      <c r="K4992" s="15" t="s">
        <v>22</v>
      </c>
    </row>
    <row r="4993" spans="1:11" ht="42" customHeight="1">
      <c r="A4993" s="4" t="s">
        <v>11393</v>
      </c>
      <c r="B4993" s="5" t="s">
        <v>11394</v>
      </c>
      <c r="C4993" s="5" t="s">
        <v>85</v>
      </c>
      <c r="D4993" s="5" t="s">
        <v>86</v>
      </c>
      <c r="E4993" s="5" t="s">
        <v>649</v>
      </c>
      <c r="F4993" s="9">
        <v>7</v>
      </c>
      <c r="G4993" s="9">
        <v>74</v>
      </c>
      <c r="H4993" s="5" t="s">
        <v>20</v>
      </c>
      <c r="I4993" s="5" t="s">
        <v>11395</v>
      </c>
      <c r="J4993" s="12" t="str">
        <f>HYPERLINK("https://www.boe.es/gazeta/dias/1805/01/22/pdfs/GMD-1805-7.pdf#page=6","Abrir facsímil")</f>
        <v>Abrir facsímil</v>
      </c>
      <c r="K4993" s="15" t="s">
        <v>22</v>
      </c>
    </row>
    <row r="4994" spans="1:11" ht="42" customHeight="1">
      <c r="A4994" s="4" t="s">
        <v>11396</v>
      </c>
      <c r="B4994" s="5" t="s">
        <v>11397</v>
      </c>
      <c r="C4994" s="5" t="s">
        <v>17</v>
      </c>
      <c r="D4994" s="5" t="s">
        <v>18</v>
      </c>
      <c r="E4994" s="5" t="s">
        <v>170</v>
      </c>
      <c r="F4994" s="9">
        <v>9</v>
      </c>
      <c r="G4994" s="9">
        <v>103</v>
      </c>
      <c r="H4994" s="5" t="s">
        <v>20</v>
      </c>
      <c r="I4994" s="5" t="s">
        <v>11398</v>
      </c>
      <c r="J4994" s="12" t="str">
        <f>HYPERLINK("https://www.boe.es/gazeta/dias/1805/01/29/pdfs/GMD-1805-9.pdf#page=11","Abrir facsímil")</f>
        <v>Abrir facsímil</v>
      </c>
      <c r="K4994" s="15" t="s">
        <v>22</v>
      </c>
    </row>
    <row r="4995" spans="1:11" ht="42" customHeight="1">
      <c r="A4995" s="4" t="s">
        <v>11399</v>
      </c>
      <c r="B4995" s="5" t="s">
        <v>11400</v>
      </c>
      <c r="C4995" s="5" t="s">
        <v>35</v>
      </c>
      <c r="D4995" s="5" t="s">
        <v>36</v>
      </c>
      <c r="E4995" s="5" t="s">
        <v>67</v>
      </c>
      <c r="F4995" s="9">
        <v>98</v>
      </c>
      <c r="G4995" s="9">
        <v>1060</v>
      </c>
      <c r="H4995" s="5" t="s">
        <v>20</v>
      </c>
      <c r="I4995" s="5" t="s">
        <v>11401</v>
      </c>
      <c r="J4995" s="12" t="str">
        <f>HYPERLINK("https://www.boe.es/gazeta/dias/1805/12/06/pdfs/GMD-1805-98.pdf#page=12","Abrir facsímil")</f>
        <v>Abrir facsímil</v>
      </c>
      <c r="K4995" s="15" t="s">
        <v>22</v>
      </c>
    </row>
    <row r="4996" spans="1:11" ht="42" customHeight="1">
      <c r="A4996" s="4" t="s">
        <v>11402</v>
      </c>
      <c r="B4996" s="5" t="s">
        <v>11403</v>
      </c>
      <c r="C4996" s="5" t="s">
        <v>85</v>
      </c>
      <c r="D4996" s="5" t="s">
        <v>86</v>
      </c>
      <c r="E4996" s="5" t="s">
        <v>276</v>
      </c>
      <c r="F4996" s="9">
        <v>51</v>
      </c>
      <c r="G4996" s="9">
        <v>551</v>
      </c>
      <c r="H4996" s="5" t="s">
        <v>20</v>
      </c>
      <c r="I4996" s="5" t="s">
        <v>11404</v>
      </c>
      <c r="J4996" s="12" t="str">
        <f>HYPERLINK("https://www.boe.es/gazeta/dias/1805/06/25/pdfs/GMD-1805-51.pdf#page=7","Abrir facsímil")</f>
        <v>Abrir facsímil</v>
      </c>
      <c r="K4996" s="15" t="s">
        <v>22</v>
      </c>
    </row>
    <row r="4997" spans="1:11" ht="42" customHeight="1">
      <c r="A4997" s="4" t="s">
        <v>11405</v>
      </c>
      <c r="B4997" s="5" t="s">
        <v>11406</v>
      </c>
      <c r="C4997" s="5" t="s">
        <v>35</v>
      </c>
      <c r="D4997" s="5" t="s">
        <v>36</v>
      </c>
      <c r="E4997" s="5" t="s">
        <v>215</v>
      </c>
      <c r="F4997" s="9">
        <v>87</v>
      </c>
      <c r="G4997" s="9">
        <v>927</v>
      </c>
      <c r="H4997" s="5" t="s">
        <v>20</v>
      </c>
      <c r="I4997" s="5" t="s">
        <v>11407</v>
      </c>
      <c r="J4997" s="12" t="str">
        <f>HYPERLINK("https://www.boe.es/gazeta/dias/1805/10/29/pdfs/GMD-1805-87.pdf#page=11","Abrir facsímil")</f>
        <v>Abrir facsímil</v>
      </c>
      <c r="K4997" s="15" t="s">
        <v>22</v>
      </c>
    </row>
    <row r="4998" spans="1:11" ht="42" customHeight="1">
      <c r="A4998" s="4" t="s">
        <v>11408</v>
      </c>
      <c r="B4998" s="5" t="s">
        <v>11409</v>
      </c>
      <c r="C4998" s="5" t="s">
        <v>17</v>
      </c>
      <c r="D4998" s="5" t="s">
        <v>18</v>
      </c>
      <c r="E4998" s="5" t="s">
        <v>352</v>
      </c>
      <c r="F4998" s="9">
        <v>60</v>
      </c>
      <c r="G4998" s="9">
        <v>645</v>
      </c>
      <c r="H4998" s="5" t="s">
        <v>20</v>
      </c>
      <c r="I4998" s="5" t="s">
        <v>11410</v>
      </c>
      <c r="J4998" s="12" t="str">
        <f>HYPERLINK("https://www.boe.es/gazeta/dias/1805/07/26/pdfs/GMD-1805-60.pdf#page=9","Abrir facsímil")</f>
        <v>Abrir facsímil</v>
      </c>
      <c r="K4998" s="15" t="s">
        <v>22</v>
      </c>
    </row>
    <row r="4999" spans="1:11" ht="42" customHeight="1">
      <c r="A4999" s="4" t="s">
        <v>11411</v>
      </c>
      <c r="B4999" s="5" t="s">
        <v>11412</v>
      </c>
      <c r="C4999" s="5" t="s">
        <v>35</v>
      </c>
      <c r="D4999" s="5" t="s">
        <v>36</v>
      </c>
      <c r="E4999" s="5" t="s">
        <v>138</v>
      </c>
      <c r="F4999" s="9">
        <v>102</v>
      </c>
      <c r="G4999" s="9">
        <v>1104</v>
      </c>
      <c r="H4999" s="5" t="s">
        <v>20</v>
      </c>
      <c r="I4999" s="5" t="s">
        <v>11413</v>
      </c>
      <c r="J4999" s="12" t="str">
        <f>HYPERLINK("https://www.boe.es/gazeta/dias/1805/12/20/pdfs/GMD-1805-102.pdf#page=8","Abrir facsímil")</f>
        <v>Abrir facsímil</v>
      </c>
      <c r="K4999" s="15" t="s">
        <v>22</v>
      </c>
    </row>
    <row r="5000" spans="1:11" ht="42" customHeight="1">
      <c r="A5000" s="4" t="s">
        <v>11414</v>
      </c>
      <c r="B5000" s="5" t="s">
        <v>11415</v>
      </c>
      <c r="C5000" s="5" t="s">
        <v>35</v>
      </c>
      <c r="D5000" s="5" t="s">
        <v>36</v>
      </c>
      <c r="E5000" s="5" t="s">
        <v>138</v>
      </c>
      <c r="F5000" s="9">
        <v>102</v>
      </c>
      <c r="G5000" s="9">
        <v>1104</v>
      </c>
      <c r="H5000" s="5" t="s">
        <v>20</v>
      </c>
      <c r="I5000" s="5" t="s">
        <v>11416</v>
      </c>
      <c r="J5000" s="12" t="str">
        <f>HYPERLINK("https://www.boe.es/gazeta/dias/1805/12/20/pdfs/GMD-1805-102.pdf#page=8","Abrir facsímil")</f>
        <v>Abrir facsímil</v>
      </c>
      <c r="K5000" s="15" t="s">
        <v>22</v>
      </c>
    </row>
    <row r="5001" spans="1:11" ht="42" customHeight="1">
      <c r="A5001" s="4" t="s">
        <v>11417</v>
      </c>
      <c r="B5001" s="5" t="s">
        <v>11418</v>
      </c>
      <c r="C5001" s="5" t="s">
        <v>85</v>
      </c>
      <c r="D5001" s="5" t="s">
        <v>86</v>
      </c>
      <c r="E5001" s="5" t="s">
        <v>19</v>
      </c>
      <c r="F5001" s="9">
        <v>86</v>
      </c>
      <c r="G5001" s="9">
        <v>913</v>
      </c>
      <c r="H5001" s="5" t="s">
        <v>20</v>
      </c>
      <c r="I5001" s="5" t="s">
        <v>11419</v>
      </c>
      <c r="J5001" s="12" t="str">
        <f>HYPERLINK("https://www.boe.es/gazeta/dias/1805/10/25/pdfs/GMD-1805-86.pdf#page=9","Abrir facsímil")</f>
        <v>Abrir facsímil</v>
      </c>
      <c r="K5001" s="15" t="s">
        <v>22</v>
      </c>
    </row>
    <row r="5002" spans="1:11" ht="42" customHeight="1">
      <c r="A5002" s="4" t="s">
        <v>11420</v>
      </c>
      <c r="B5002" s="5" t="s">
        <v>11420</v>
      </c>
      <c r="C5002" s="5" t="s">
        <v>80</v>
      </c>
      <c r="D5002" s="5" t="s">
        <v>81</v>
      </c>
      <c r="E5002" s="5" t="s">
        <v>213</v>
      </c>
      <c r="F5002" s="9">
        <v>56</v>
      </c>
      <c r="G5002" s="9">
        <v>597</v>
      </c>
      <c r="H5002" s="5" t="s">
        <v>20</v>
      </c>
      <c r="I5002" s="5" t="s">
        <v>11421</v>
      </c>
      <c r="J5002" s="12" t="str">
        <f>HYPERLINK("https://www.boe.es/gazeta/dias/1805/07/12/pdfs/GMD-1805-56.pdf#page=5","Abrir facsímil")</f>
        <v>Abrir facsímil</v>
      </c>
      <c r="K5002" s="15" t="s">
        <v>22</v>
      </c>
    </row>
    <row r="5003" spans="1:11" ht="42" customHeight="1">
      <c r="A5003" s="4" t="s">
        <v>11422</v>
      </c>
      <c r="B5003" s="5" t="s">
        <v>11422</v>
      </c>
      <c r="C5003" s="5" t="s">
        <v>17</v>
      </c>
      <c r="D5003" s="5" t="s">
        <v>18</v>
      </c>
      <c r="E5003" s="5" t="s">
        <v>196</v>
      </c>
      <c r="F5003" s="9">
        <v>67</v>
      </c>
      <c r="G5003" s="9">
        <v>717</v>
      </c>
      <c r="H5003" s="5" t="s">
        <v>20</v>
      </c>
      <c r="I5003" s="5" t="s">
        <v>11423</v>
      </c>
      <c r="J5003" s="12" t="str">
        <f>HYPERLINK("https://www.boe.es/gazeta/dias/1805/08/20/pdfs/GMD-1805-67.pdf#page=5","Abrir facsímil")</f>
        <v>Abrir facsímil</v>
      </c>
      <c r="K5003" s="15" t="s">
        <v>22</v>
      </c>
    </row>
    <row r="5004" spans="1:11" ht="42" customHeight="1">
      <c r="A5004" s="4" t="s">
        <v>11424</v>
      </c>
      <c r="B5004" s="5" t="s">
        <v>11425</v>
      </c>
      <c r="C5004" s="5" t="s">
        <v>85</v>
      </c>
      <c r="D5004" s="5" t="s">
        <v>86</v>
      </c>
      <c r="E5004" s="5" t="s">
        <v>290</v>
      </c>
      <c r="F5004" s="9">
        <v>36</v>
      </c>
      <c r="G5004" s="9">
        <v>388</v>
      </c>
      <c r="H5004" s="5" t="s">
        <v>20</v>
      </c>
      <c r="I5004" s="5" t="s">
        <v>11426</v>
      </c>
      <c r="J5004" s="12" t="str">
        <f>HYPERLINK("https://www.boe.es/gazeta/dias/1805/05/03/pdfs/GMD-1805-36.pdf#page=8","Abrir facsímil")</f>
        <v>Abrir facsímil</v>
      </c>
      <c r="K5004" s="15" t="s">
        <v>22</v>
      </c>
    </row>
    <row r="5005" spans="1:11" ht="42" customHeight="1">
      <c r="A5005" s="4" t="s">
        <v>11427</v>
      </c>
      <c r="B5005" s="5" t="s">
        <v>11428</v>
      </c>
      <c r="C5005" s="5" t="s">
        <v>35</v>
      </c>
      <c r="D5005" s="5" t="s">
        <v>36</v>
      </c>
      <c r="E5005" s="5" t="s">
        <v>365</v>
      </c>
      <c r="F5005" s="9">
        <v>3</v>
      </c>
      <c r="G5005" s="9">
        <v>29</v>
      </c>
      <c r="H5005" s="5" t="s">
        <v>20</v>
      </c>
      <c r="I5005" s="5" t="s">
        <v>11429</v>
      </c>
      <c r="J5005" s="12" t="str">
        <f>HYPERLINK("https://www.boe.es/gazeta/dias/1805/01/08/pdfs/GMD-1805-3.pdf#page=5","Abrir facsímil")</f>
        <v>Abrir facsímil</v>
      </c>
      <c r="K5005" s="15" t="s">
        <v>22</v>
      </c>
    </row>
    <row r="5006" spans="1:11" ht="42" customHeight="1">
      <c r="A5006" s="4" t="s">
        <v>11430</v>
      </c>
      <c r="B5006" s="5" t="s">
        <v>11431</v>
      </c>
      <c r="C5006" s="5" t="s">
        <v>17</v>
      </c>
      <c r="D5006" s="5" t="s">
        <v>18</v>
      </c>
      <c r="E5006" s="5" t="s">
        <v>1292</v>
      </c>
      <c r="F5006" s="9">
        <v>43</v>
      </c>
      <c r="G5006" s="9">
        <v>464</v>
      </c>
      <c r="H5006" s="5" t="s">
        <v>20</v>
      </c>
      <c r="I5006" s="5" t="s">
        <v>11432</v>
      </c>
      <c r="J5006" s="12" t="str">
        <f>HYPERLINK("https://www.boe.es/gazeta/dias/1805/05/28/pdfs/GMD-1805-43.pdf#page=8","Abrir facsímil")</f>
        <v>Abrir facsímil</v>
      </c>
      <c r="K5006" s="15" t="s">
        <v>22</v>
      </c>
    </row>
    <row r="5007" spans="1:11" ht="42" customHeight="1">
      <c r="A5007" s="4" t="s">
        <v>11433</v>
      </c>
      <c r="B5007" s="5" t="s">
        <v>11434</v>
      </c>
      <c r="C5007" s="5" t="s">
        <v>35</v>
      </c>
      <c r="D5007" s="5" t="s">
        <v>36</v>
      </c>
      <c r="E5007" s="5" t="s">
        <v>1221</v>
      </c>
      <c r="F5007" s="9">
        <v>41</v>
      </c>
      <c r="G5007" s="9">
        <v>444</v>
      </c>
      <c r="H5007" s="5" t="s">
        <v>20</v>
      </c>
      <c r="I5007" s="5" t="s">
        <v>11435</v>
      </c>
      <c r="J5007" s="12" t="str">
        <f>HYPERLINK("https://www.boe.es/gazeta/dias/1805/05/21/pdfs/GMD-1805-41.pdf#page=12","Abrir facsímil")</f>
        <v>Abrir facsímil</v>
      </c>
      <c r="K5007" s="15" t="s">
        <v>22</v>
      </c>
    </row>
    <row r="5008" spans="1:11" ht="42" customHeight="1">
      <c r="A5008" s="4" t="s">
        <v>11436</v>
      </c>
      <c r="B5008" s="5" t="s">
        <v>11437</v>
      </c>
      <c r="C5008" s="5" t="s">
        <v>85</v>
      </c>
      <c r="D5008" s="5" t="s">
        <v>86</v>
      </c>
      <c r="E5008" s="5" t="s">
        <v>426</v>
      </c>
      <c r="F5008" s="9">
        <v>75</v>
      </c>
      <c r="G5008" s="9">
        <v>798</v>
      </c>
      <c r="H5008" s="5" t="s">
        <v>20</v>
      </c>
      <c r="I5008" s="5" t="s">
        <v>11438</v>
      </c>
      <c r="J5008" s="12" t="str">
        <f>HYPERLINK("https://www.boe.es/gazeta/dias/1805/09/17/pdfs/GMD-1805-75.pdf#page=10","Abrir facsímil")</f>
        <v>Abrir facsímil</v>
      </c>
      <c r="K5008" s="15" t="s">
        <v>22</v>
      </c>
    </row>
    <row r="5009" spans="1:11" ht="42" customHeight="1">
      <c r="A5009" s="4" t="s">
        <v>11439</v>
      </c>
      <c r="B5009" s="5" t="s">
        <v>11440</v>
      </c>
      <c r="C5009" s="5" t="s">
        <v>29</v>
      </c>
      <c r="D5009" s="5" t="s">
        <v>30</v>
      </c>
      <c r="E5009" s="5" t="s">
        <v>958</v>
      </c>
      <c r="F5009" s="9">
        <v>58</v>
      </c>
      <c r="G5009" s="9">
        <v>624</v>
      </c>
      <c r="H5009" s="5" t="s">
        <v>20</v>
      </c>
      <c r="I5009" s="5" t="s">
        <v>11441</v>
      </c>
      <c r="J5009" s="12" t="str">
        <f>HYPERLINK("https://www.boe.es/gazeta/dias/1805/07/19/pdfs/GMD-1805-58.pdf#page=8","Abrir facsímil")</f>
        <v>Abrir facsímil</v>
      </c>
      <c r="K5009" s="15" t="s">
        <v>22</v>
      </c>
    </row>
    <row r="5010" spans="1:11" ht="42" customHeight="1">
      <c r="A5010" s="4" t="s">
        <v>11442</v>
      </c>
      <c r="B5010" s="5" t="s">
        <v>11443</v>
      </c>
      <c r="C5010" s="5" t="s">
        <v>17</v>
      </c>
      <c r="D5010" s="5" t="s">
        <v>18</v>
      </c>
      <c r="E5010" s="5" t="s">
        <v>196</v>
      </c>
      <c r="F5010" s="9">
        <v>67</v>
      </c>
      <c r="G5010" s="9">
        <v>718</v>
      </c>
      <c r="H5010" s="5" t="s">
        <v>20</v>
      </c>
      <c r="I5010" s="5" t="s">
        <v>11444</v>
      </c>
      <c r="J5010" s="12" t="str">
        <f>HYPERLINK("https://www.boe.es/gazeta/dias/1805/08/20/pdfs/GMD-1805-67.pdf#page=6","Abrir facsímil")</f>
        <v>Abrir facsímil</v>
      </c>
      <c r="K5010" s="15" t="s">
        <v>22</v>
      </c>
    </row>
    <row r="5011" spans="1:11" ht="42" customHeight="1">
      <c r="A5011" s="4" t="s">
        <v>11445</v>
      </c>
      <c r="B5011" s="5" t="s">
        <v>11446</v>
      </c>
      <c r="C5011" s="5" t="s">
        <v>35</v>
      </c>
      <c r="D5011" s="5" t="s">
        <v>36</v>
      </c>
      <c r="E5011" s="5" t="s">
        <v>128</v>
      </c>
      <c r="F5011" s="9">
        <v>23</v>
      </c>
      <c r="G5011" s="9">
        <v>246</v>
      </c>
      <c r="H5011" s="5" t="s">
        <v>20</v>
      </c>
      <c r="I5011" s="5" t="s">
        <v>11447</v>
      </c>
      <c r="J5011" s="12" t="str">
        <f>HYPERLINK("https://www.boe.es/gazeta/dias/1805/03/19/pdfs/GMD-1805-23.pdf#page=10","Abrir facsímil")</f>
        <v>Abrir facsímil</v>
      </c>
      <c r="K5011" s="15" t="s">
        <v>22</v>
      </c>
    </row>
    <row r="5012" spans="1:11" ht="42" customHeight="1">
      <c r="A5012" s="4" t="s">
        <v>11448</v>
      </c>
      <c r="B5012" s="5" t="s">
        <v>11449</v>
      </c>
      <c r="C5012" s="5" t="s">
        <v>29</v>
      </c>
      <c r="D5012" s="5" t="s">
        <v>30</v>
      </c>
      <c r="E5012" s="5" t="s">
        <v>440</v>
      </c>
      <c r="F5012" s="9">
        <v>27</v>
      </c>
      <c r="G5012" s="9">
        <v>291</v>
      </c>
      <c r="H5012" s="5" t="s">
        <v>20</v>
      </c>
      <c r="I5012" s="5" t="s">
        <v>11450</v>
      </c>
      <c r="J5012" s="12" t="str">
        <f>HYPERLINK("https://www.boe.es/gazeta/dias/1805/04/02/pdfs/GMD-1805-27.pdf#page=11","Abrir facsímil")</f>
        <v>Abrir facsímil</v>
      </c>
      <c r="K5012" s="15" t="s">
        <v>22</v>
      </c>
    </row>
    <row r="5013" spans="1:11" ht="42" customHeight="1">
      <c r="A5013" s="4" t="s">
        <v>11451</v>
      </c>
      <c r="B5013" s="5" t="s">
        <v>11452</v>
      </c>
      <c r="C5013" s="5" t="s">
        <v>17</v>
      </c>
      <c r="D5013" s="5" t="s">
        <v>18</v>
      </c>
      <c r="E5013" s="5" t="s">
        <v>281</v>
      </c>
      <c r="F5013" s="9">
        <v>15</v>
      </c>
      <c r="G5013" s="9">
        <v>160</v>
      </c>
      <c r="H5013" s="5" t="s">
        <v>20</v>
      </c>
      <c r="I5013" s="5" t="s">
        <v>11453</v>
      </c>
      <c r="J5013" s="12" t="str">
        <f>HYPERLINK("https://www.boe.es/gazeta/dias/1805/02/19/pdfs/GMD-1805-15.pdf#page=12","Abrir facsímil")</f>
        <v>Abrir facsímil</v>
      </c>
      <c r="K5013" s="15" t="s">
        <v>22</v>
      </c>
    </row>
    <row r="5014" spans="1:11" ht="42" customHeight="1">
      <c r="A5014" s="4" t="s">
        <v>11454</v>
      </c>
      <c r="B5014" s="5" t="s">
        <v>11455</v>
      </c>
      <c r="C5014" s="5" t="s">
        <v>85</v>
      </c>
      <c r="D5014" s="5" t="s">
        <v>86</v>
      </c>
      <c r="E5014" s="5" t="s">
        <v>281</v>
      </c>
      <c r="F5014" s="9">
        <v>15</v>
      </c>
      <c r="G5014" s="9">
        <v>156</v>
      </c>
      <c r="H5014" s="5" t="s">
        <v>20</v>
      </c>
      <c r="I5014" s="5" t="s">
        <v>11456</v>
      </c>
      <c r="J5014" s="12" t="str">
        <f>HYPERLINK("https://www.boe.es/gazeta/dias/1805/02/19/pdfs/GMD-1805-15.pdf#page=8","Abrir facsímil")</f>
        <v>Abrir facsímil</v>
      </c>
      <c r="K5014" s="15" t="s">
        <v>22</v>
      </c>
    </row>
    <row r="5015" spans="1:11" ht="42" customHeight="1">
      <c r="A5015" s="4" t="s">
        <v>11457</v>
      </c>
      <c r="B5015" s="5" t="s">
        <v>11458</v>
      </c>
      <c r="C5015" s="5" t="s">
        <v>17</v>
      </c>
      <c r="D5015" s="5" t="s">
        <v>18</v>
      </c>
      <c r="E5015" s="5" t="s">
        <v>120</v>
      </c>
      <c r="F5015" s="9">
        <v>24</v>
      </c>
      <c r="G5015" s="9">
        <v>258</v>
      </c>
      <c r="H5015" s="5" t="s">
        <v>20</v>
      </c>
      <c r="I5015" s="5" t="s">
        <v>11459</v>
      </c>
      <c r="J5015" s="12" t="str">
        <f>HYPERLINK("https://www.boe.es/gazeta/dias/1805/03/22/pdfs/GMD-1805-24.pdf#page=10","Abrir facsímil")</f>
        <v>Abrir facsímil</v>
      </c>
      <c r="K5015" s="15" t="s">
        <v>22</v>
      </c>
    </row>
    <row r="5016" spans="1:11" ht="42" customHeight="1">
      <c r="A5016" s="4" t="s">
        <v>11460</v>
      </c>
      <c r="B5016" s="5" t="s">
        <v>11461</v>
      </c>
      <c r="C5016" s="5" t="s">
        <v>35</v>
      </c>
      <c r="D5016" s="5" t="s">
        <v>36</v>
      </c>
      <c r="E5016" s="5" t="s">
        <v>209</v>
      </c>
      <c r="F5016" s="9">
        <v>89</v>
      </c>
      <c r="G5016" s="9">
        <v>956</v>
      </c>
      <c r="H5016" s="5" t="s">
        <v>20</v>
      </c>
      <c r="I5016" s="5" t="s">
        <v>11462</v>
      </c>
      <c r="J5016" s="12" t="str">
        <f>HYPERLINK("https://www.boe.es/gazeta/dias/1805/11/05/pdfs/GMD-1805-89.pdf#page=16","Abrir facsímil")</f>
        <v>Abrir facsímil</v>
      </c>
      <c r="K5016" s="15" t="s">
        <v>22</v>
      </c>
    </row>
    <row r="5017" spans="1:11" ht="42" customHeight="1">
      <c r="A5017" s="4" t="s">
        <v>11460</v>
      </c>
      <c r="B5017" s="5" t="s">
        <v>11461</v>
      </c>
      <c r="C5017" s="5" t="s">
        <v>35</v>
      </c>
      <c r="D5017" s="5" t="s">
        <v>36</v>
      </c>
      <c r="E5017" s="5" t="s">
        <v>200</v>
      </c>
      <c r="F5017" s="9">
        <v>91</v>
      </c>
      <c r="G5017" s="9">
        <v>977</v>
      </c>
      <c r="H5017" s="5" t="s">
        <v>20</v>
      </c>
      <c r="I5017" s="5" t="s">
        <v>11463</v>
      </c>
      <c r="J5017" s="12" t="str">
        <f>HYPERLINK("https://www.boe.es/gazeta/dias/1805/11/12/pdfs/GMD-1805-91.pdf#page=9","Abrir facsímil")</f>
        <v>Abrir facsímil</v>
      </c>
      <c r="K5017" s="15" t="s">
        <v>22</v>
      </c>
    </row>
    <row r="5018" spans="1:11" ht="42" customHeight="1">
      <c r="A5018" s="4" t="s">
        <v>11464</v>
      </c>
      <c r="B5018" s="5" t="s">
        <v>11465</v>
      </c>
      <c r="C5018" s="5" t="s">
        <v>17</v>
      </c>
      <c r="D5018" s="5" t="s">
        <v>18</v>
      </c>
      <c r="E5018" s="5" t="s">
        <v>148</v>
      </c>
      <c r="F5018" s="9">
        <v>50</v>
      </c>
      <c r="G5018" s="9">
        <v>541</v>
      </c>
      <c r="H5018" s="5" t="s">
        <v>20</v>
      </c>
      <c r="I5018" s="5" t="s">
        <v>11466</v>
      </c>
      <c r="J5018" s="12" t="str">
        <f>HYPERLINK("https://www.boe.es/gazeta/dias/1805/06/21/pdfs/GMD-1805-50.pdf#page=9","Abrir facsímil")</f>
        <v>Abrir facsímil</v>
      </c>
      <c r="K5018" s="15" t="s">
        <v>22</v>
      </c>
    </row>
    <row r="5019" spans="1:11" ht="42" customHeight="1">
      <c r="A5019" s="4" t="s">
        <v>11467</v>
      </c>
      <c r="B5019" s="5" t="s">
        <v>11468</v>
      </c>
      <c r="C5019" s="5" t="s">
        <v>85</v>
      </c>
      <c r="D5019" s="5" t="s">
        <v>86</v>
      </c>
      <c r="E5019" s="5" t="s">
        <v>281</v>
      </c>
      <c r="F5019" s="9">
        <v>15</v>
      </c>
      <c r="G5019" s="9">
        <v>156</v>
      </c>
      <c r="H5019" s="5" t="s">
        <v>20</v>
      </c>
      <c r="I5019" s="5" t="s">
        <v>11469</v>
      </c>
      <c r="J5019" s="12" t="str">
        <f>HYPERLINK("https://www.boe.es/gazeta/dias/1805/02/19/pdfs/GMD-1805-15.pdf#page=8","Abrir facsímil")</f>
        <v>Abrir facsímil</v>
      </c>
      <c r="K5019" s="15" t="s">
        <v>22</v>
      </c>
    </row>
    <row r="5020" spans="1:11" ht="42" customHeight="1">
      <c r="A5020" s="4" t="s">
        <v>11470</v>
      </c>
      <c r="B5020" s="5" t="s">
        <v>11471</v>
      </c>
      <c r="C5020" s="5" t="s">
        <v>85</v>
      </c>
      <c r="D5020" s="5" t="s">
        <v>86</v>
      </c>
      <c r="E5020" s="5" t="s">
        <v>181</v>
      </c>
      <c r="F5020" s="9">
        <v>90</v>
      </c>
      <c r="G5020" s="9">
        <v>966</v>
      </c>
      <c r="H5020" s="5" t="s">
        <v>20</v>
      </c>
      <c r="I5020" s="5" t="s">
        <v>11472</v>
      </c>
      <c r="J5020" s="12" t="str">
        <f>HYPERLINK("https://www.boe.es/gazeta/dias/1805/11/08/pdfs/GMD-1805-90.pdf#page=10","Abrir facsímil")</f>
        <v>Abrir facsímil</v>
      </c>
      <c r="K5020" s="15" t="s">
        <v>22</v>
      </c>
    </row>
    <row r="5021" spans="1:11" ht="42" customHeight="1">
      <c r="A5021" s="4" t="s">
        <v>11473</v>
      </c>
      <c r="B5021" s="5" t="s">
        <v>11474</v>
      </c>
      <c r="C5021" s="5" t="s">
        <v>35</v>
      </c>
      <c r="D5021" s="5" t="s">
        <v>36</v>
      </c>
      <c r="E5021" s="5" t="s">
        <v>44</v>
      </c>
      <c r="F5021" s="9">
        <v>29</v>
      </c>
      <c r="G5021" s="9">
        <v>311</v>
      </c>
      <c r="H5021" s="5" t="s">
        <v>20</v>
      </c>
      <c r="I5021" s="5" t="s">
        <v>11475</v>
      </c>
      <c r="J5021" s="12" t="str">
        <f>HYPERLINK("https://www.boe.es/gazeta/dias/1805/04/09/pdfs/GMD-1805-29.pdf#page=7","Abrir facsímil")</f>
        <v>Abrir facsímil</v>
      </c>
      <c r="K5021" s="15" t="s">
        <v>22</v>
      </c>
    </row>
    <row r="5022" spans="1:11" ht="42" customHeight="1">
      <c r="A5022" s="4" t="s">
        <v>11476</v>
      </c>
      <c r="B5022" s="5" t="s">
        <v>11477</v>
      </c>
      <c r="C5022" s="5" t="s">
        <v>29</v>
      </c>
      <c r="D5022" s="5" t="s">
        <v>30</v>
      </c>
      <c r="E5022" s="5" t="s">
        <v>440</v>
      </c>
      <c r="F5022" s="9">
        <v>27</v>
      </c>
      <c r="G5022" s="9">
        <v>289</v>
      </c>
      <c r="H5022" s="5" t="s">
        <v>20</v>
      </c>
      <c r="I5022" s="5" t="s">
        <v>11478</v>
      </c>
      <c r="J5022" s="12" t="str">
        <f>HYPERLINK("https://www.boe.es/gazeta/dias/1805/04/02/pdfs/GMD-1805-27.pdf#page=9","Abrir facsímil")</f>
        <v>Abrir facsímil</v>
      </c>
      <c r="K5022" s="15" t="s">
        <v>22</v>
      </c>
    </row>
    <row r="5023" spans="1:11" ht="42" customHeight="1">
      <c r="A5023" s="4" t="s">
        <v>11476</v>
      </c>
      <c r="B5023" s="5" t="s">
        <v>11477</v>
      </c>
      <c r="C5023" s="5" t="s">
        <v>35</v>
      </c>
      <c r="D5023" s="5" t="s">
        <v>36</v>
      </c>
      <c r="E5023" s="5" t="s">
        <v>54</v>
      </c>
      <c r="F5023" s="9">
        <v>99</v>
      </c>
      <c r="G5023" s="9">
        <v>1070</v>
      </c>
      <c r="H5023" s="5" t="s">
        <v>20</v>
      </c>
      <c r="I5023" s="5" t="s">
        <v>11479</v>
      </c>
      <c r="J5023" s="12" t="str">
        <f>HYPERLINK("https://www.boe.es/gazeta/dias/1805/12/10/pdfs/GMD-1805-99.pdf#page=10","Abrir facsímil")</f>
        <v>Abrir facsímil</v>
      </c>
      <c r="K5023" s="15" t="s">
        <v>22</v>
      </c>
    </row>
    <row r="5024" spans="1:11" ht="42" customHeight="1">
      <c r="A5024" s="4" t="s">
        <v>11480</v>
      </c>
      <c r="B5024" s="5" t="s">
        <v>11481</v>
      </c>
      <c r="C5024" s="5" t="s">
        <v>85</v>
      </c>
      <c r="D5024" s="5" t="s">
        <v>86</v>
      </c>
      <c r="E5024" s="5" t="s">
        <v>539</v>
      </c>
      <c r="F5024" s="9">
        <v>97</v>
      </c>
      <c r="G5024" s="9">
        <v>1043</v>
      </c>
      <c r="H5024" s="5" t="s">
        <v>20</v>
      </c>
      <c r="I5024" s="5" t="s">
        <v>11482</v>
      </c>
      <c r="J5024" s="12" t="str">
        <f>HYPERLINK("https://www.boe.es/gazeta/dias/1805/12/03/pdfs/GMD-1805-97.pdf#page=7","Abrir facsímil")</f>
        <v>Abrir facsímil</v>
      </c>
      <c r="K5024" s="15" t="s">
        <v>22</v>
      </c>
    </row>
    <row r="5025" spans="1:11" ht="42" customHeight="1">
      <c r="A5025" s="4" t="s">
        <v>11483</v>
      </c>
      <c r="B5025" s="5" t="s">
        <v>11484</v>
      </c>
      <c r="C5025" s="5" t="s">
        <v>85</v>
      </c>
      <c r="D5025" s="5" t="s">
        <v>86</v>
      </c>
      <c r="E5025" s="5" t="s">
        <v>71</v>
      </c>
      <c r="F5025" s="9">
        <v>33</v>
      </c>
      <c r="G5025" s="9">
        <v>351</v>
      </c>
      <c r="H5025" s="5" t="s">
        <v>20</v>
      </c>
      <c r="I5025" s="5" t="s">
        <v>11485</v>
      </c>
      <c r="J5025" s="12" t="str">
        <f>HYPERLINK("https://www.boe.es/gazeta/dias/1805/04/23/pdfs/GMD-1805-33.pdf#page=7","Abrir facsímil")</f>
        <v>Abrir facsímil</v>
      </c>
      <c r="K5025" s="15" t="s">
        <v>22</v>
      </c>
    </row>
    <row r="5026" spans="1:11" ht="42" customHeight="1">
      <c r="A5026" s="4" t="s">
        <v>11486</v>
      </c>
      <c r="B5026" s="5" t="s">
        <v>11487</v>
      </c>
      <c r="C5026" s="5" t="s">
        <v>85</v>
      </c>
      <c r="D5026" s="5" t="s">
        <v>86</v>
      </c>
      <c r="E5026" s="5" t="s">
        <v>296</v>
      </c>
      <c r="F5026" s="9">
        <v>26</v>
      </c>
      <c r="G5026" s="9">
        <v>277</v>
      </c>
      <c r="H5026" s="5" t="s">
        <v>20</v>
      </c>
      <c r="I5026" s="5" t="s">
        <v>11488</v>
      </c>
      <c r="J5026" s="12" t="str">
        <f>HYPERLINK("https://www.boe.es/gazeta/dias/1805/03/29/pdfs/GMD-1805-26.pdf#page=9","Abrir facsímil")</f>
        <v>Abrir facsímil</v>
      </c>
      <c r="K5026" s="15" t="s">
        <v>22</v>
      </c>
    </row>
    <row r="5027" spans="1:11" ht="42" customHeight="1">
      <c r="A5027" s="4" t="s">
        <v>11489</v>
      </c>
      <c r="B5027" s="5" t="s">
        <v>11490</v>
      </c>
      <c r="C5027" s="5" t="s">
        <v>35</v>
      </c>
      <c r="D5027" s="5" t="s">
        <v>36</v>
      </c>
      <c r="E5027" s="5" t="s">
        <v>19</v>
      </c>
      <c r="F5027" s="9">
        <v>86</v>
      </c>
      <c r="G5027" s="9">
        <v>914</v>
      </c>
      <c r="H5027" s="5" t="s">
        <v>20</v>
      </c>
      <c r="I5027" s="5" t="s">
        <v>11491</v>
      </c>
      <c r="J5027" s="12" t="str">
        <f>HYPERLINK("https://www.boe.es/gazeta/dias/1805/10/25/pdfs/GMD-1805-86.pdf#page=10","Abrir facsímil")</f>
        <v>Abrir facsímil</v>
      </c>
      <c r="K5027" s="15" t="s">
        <v>22</v>
      </c>
    </row>
    <row r="5028" spans="1:11" ht="42" customHeight="1">
      <c r="A5028" s="4" t="s">
        <v>11492</v>
      </c>
      <c r="B5028" s="5" t="s">
        <v>11493</v>
      </c>
      <c r="C5028" s="5" t="s">
        <v>85</v>
      </c>
      <c r="D5028" s="5" t="s">
        <v>86</v>
      </c>
      <c r="E5028" s="5" t="s">
        <v>426</v>
      </c>
      <c r="F5028" s="9">
        <v>75</v>
      </c>
      <c r="G5028" s="9">
        <v>798</v>
      </c>
      <c r="H5028" s="5" t="s">
        <v>20</v>
      </c>
      <c r="I5028" s="5" t="s">
        <v>11494</v>
      </c>
      <c r="J5028" s="12" t="str">
        <f>HYPERLINK("https://www.boe.es/gazeta/dias/1805/09/17/pdfs/GMD-1805-75.pdf#page=10","Abrir facsímil")</f>
        <v>Abrir facsímil</v>
      </c>
      <c r="K5028" s="15" t="s">
        <v>22</v>
      </c>
    </row>
    <row r="5029" spans="1:11" ht="42" customHeight="1">
      <c r="A5029" s="4" t="s">
        <v>11492</v>
      </c>
      <c r="B5029" s="5" t="s">
        <v>11493</v>
      </c>
      <c r="C5029" s="5" t="s">
        <v>85</v>
      </c>
      <c r="D5029" s="5" t="s">
        <v>86</v>
      </c>
      <c r="E5029" s="5" t="s">
        <v>215</v>
      </c>
      <c r="F5029" s="9">
        <v>87</v>
      </c>
      <c r="G5029" s="9">
        <v>927</v>
      </c>
      <c r="H5029" s="5" t="s">
        <v>20</v>
      </c>
      <c r="I5029" s="5" t="s">
        <v>11495</v>
      </c>
      <c r="J5029" s="12" t="str">
        <f>HYPERLINK("https://www.boe.es/gazeta/dias/1805/10/29/pdfs/GMD-1805-87.pdf#page=11","Abrir facsímil")</f>
        <v>Abrir facsímil</v>
      </c>
      <c r="K5029" s="15" t="s">
        <v>22</v>
      </c>
    </row>
    <row r="5030" spans="1:11" ht="42" customHeight="1">
      <c r="A5030" s="4" t="s">
        <v>11496</v>
      </c>
      <c r="B5030" s="5" t="s">
        <v>11497</v>
      </c>
      <c r="C5030" s="5" t="s">
        <v>29</v>
      </c>
      <c r="D5030" s="5" t="s">
        <v>30</v>
      </c>
      <c r="E5030" s="5" t="s">
        <v>273</v>
      </c>
      <c r="F5030" s="9">
        <v>8</v>
      </c>
      <c r="G5030" s="9">
        <v>92</v>
      </c>
      <c r="H5030" s="5" t="s">
        <v>20</v>
      </c>
      <c r="I5030" s="5" t="s">
        <v>11498</v>
      </c>
      <c r="J5030" s="12" t="str">
        <f>HYPERLINK("https://www.boe.es/gazeta/dias/1805/01/25/pdfs/GMD-1805-8.pdf#page=12","Abrir facsímil")</f>
        <v>Abrir facsímil</v>
      </c>
      <c r="K5030" s="15" t="s">
        <v>22</v>
      </c>
    </row>
    <row r="5031" spans="1:11" ht="42" customHeight="1">
      <c r="A5031" s="4" t="s">
        <v>11496</v>
      </c>
      <c r="B5031" s="5" t="s">
        <v>11497</v>
      </c>
      <c r="C5031" s="5" t="s">
        <v>52</v>
      </c>
      <c r="D5031" s="5" t="s">
        <v>53</v>
      </c>
      <c r="E5031" s="5" t="s">
        <v>144</v>
      </c>
      <c r="F5031" s="9">
        <v>85</v>
      </c>
      <c r="G5031" s="9" t="s">
        <v>55</v>
      </c>
      <c r="H5031" s="5" t="s">
        <v>20</v>
      </c>
      <c r="I5031" s="5" t="s">
        <v>11499</v>
      </c>
      <c r="J5031" s="12" t="str">
        <f>HYPERLINK("https://www.boe.es/gazeta/dias/1805/10/22/pdfs/GMD-C-1805-85.pdf#page=4","Abrir facsímil")</f>
        <v>Abrir facsímil</v>
      </c>
      <c r="K5031" s="15" t="s">
        <v>22</v>
      </c>
    </row>
    <row r="5032" spans="1:11" ht="42" customHeight="1">
      <c r="A5032" s="4" t="s">
        <v>11496</v>
      </c>
      <c r="B5032" s="5" t="s">
        <v>11497</v>
      </c>
      <c r="C5032" s="5" t="s">
        <v>52</v>
      </c>
      <c r="D5032" s="5" t="s">
        <v>53</v>
      </c>
      <c r="E5032" s="5" t="s">
        <v>144</v>
      </c>
      <c r="F5032" s="9">
        <v>85</v>
      </c>
      <c r="G5032" s="9" t="s">
        <v>55</v>
      </c>
      <c r="H5032" s="5" t="s">
        <v>20</v>
      </c>
      <c r="I5032" s="5" t="s">
        <v>11500</v>
      </c>
      <c r="J5032" s="12" t="str">
        <f>HYPERLINK("https://www.boe.es/gazeta/dias/1805/10/22/pdfs/GMD-C-1805-85.pdf#page=4","Abrir facsímil")</f>
        <v>Abrir facsímil</v>
      </c>
      <c r="K5032" s="15" t="s">
        <v>22</v>
      </c>
    </row>
    <row r="5033" spans="1:11" ht="42" customHeight="1">
      <c r="A5033" s="4" t="s">
        <v>11501</v>
      </c>
      <c r="B5033" s="5" t="s">
        <v>11502</v>
      </c>
      <c r="C5033" s="5" t="s">
        <v>35</v>
      </c>
      <c r="D5033" s="5" t="s">
        <v>36</v>
      </c>
      <c r="E5033" s="5" t="s">
        <v>19</v>
      </c>
      <c r="F5033" s="9">
        <v>86</v>
      </c>
      <c r="G5033" s="9">
        <v>913</v>
      </c>
      <c r="H5033" s="5" t="s">
        <v>20</v>
      </c>
      <c r="I5033" s="5" t="s">
        <v>11503</v>
      </c>
      <c r="J5033" s="12" t="str">
        <f>HYPERLINK("https://www.boe.es/gazeta/dias/1805/10/25/pdfs/GMD-1805-86.pdf#page=9","Abrir facsímil")</f>
        <v>Abrir facsímil</v>
      </c>
      <c r="K5033" s="15" t="s">
        <v>22</v>
      </c>
    </row>
    <row r="5034" spans="1:11" ht="42" customHeight="1">
      <c r="A5034" s="4" t="s">
        <v>11504</v>
      </c>
      <c r="B5034" s="5" t="s">
        <v>11505</v>
      </c>
      <c r="C5034" s="5" t="s">
        <v>52</v>
      </c>
      <c r="D5034" s="5" t="s">
        <v>53</v>
      </c>
      <c r="E5034" s="5" t="s">
        <v>54</v>
      </c>
      <c r="F5034" s="9">
        <v>99</v>
      </c>
      <c r="G5034" s="9" t="s">
        <v>222</v>
      </c>
      <c r="H5034" s="5" t="s">
        <v>20</v>
      </c>
      <c r="I5034" s="5" t="s">
        <v>11506</v>
      </c>
      <c r="J5034" s="12" t="str">
        <f>HYPERLINK("https://www.boe.es/gazeta/dias/1805/12/10/pdfs/GMD-C-1805-99.pdf#page=1","Abrir facsímil")</f>
        <v>Abrir facsímil</v>
      </c>
      <c r="K5034" s="15" t="s">
        <v>22</v>
      </c>
    </row>
    <row r="5035" spans="1:11" ht="42" customHeight="1">
      <c r="A5035" s="4" t="s">
        <v>11507</v>
      </c>
      <c r="B5035" s="5" t="s">
        <v>11508</v>
      </c>
      <c r="C5035" s="5" t="s">
        <v>17</v>
      </c>
      <c r="D5035" s="5" t="s">
        <v>18</v>
      </c>
      <c r="E5035" s="5" t="s">
        <v>669</v>
      </c>
      <c r="F5035" s="9">
        <v>84</v>
      </c>
      <c r="G5035" s="9">
        <v>890</v>
      </c>
      <c r="H5035" s="5" t="s">
        <v>20</v>
      </c>
      <c r="I5035" s="5" t="s">
        <v>11509</v>
      </c>
      <c r="J5035" s="12" t="str">
        <f>HYPERLINK("https://www.boe.es/gazeta/dias/1805/10/18/pdfs/GMD-1805-84.pdf#page=6","Abrir facsímil")</f>
        <v>Abrir facsímil</v>
      </c>
      <c r="K5035" s="15" t="s">
        <v>22</v>
      </c>
    </row>
    <row r="5036" spans="1:11" ht="42" customHeight="1">
      <c r="A5036" s="4" t="s">
        <v>11510</v>
      </c>
      <c r="B5036" s="5" t="s">
        <v>11511</v>
      </c>
      <c r="C5036" s="5" t="s">
        <v>35</v>
      </c>
      <c r="D5036" s="5" t="s">
        <v>36</v>
      </c>
      <c r="E5036" s="5" t="s">
        <v>904</v>
      </c>
      <c r="F5036" s="9">
        <v>47</v>
      </c>
      <c r="G5036" s="9">
        <v>510</v>
      </c>
      <c r="H5036" s="5" t="s">
        <v>20</v>
      </c>
      <c r="I5036" s="5" t="s">
        <v>11512</v>
      </c>
      <c r="J5036" s="12" t="str">
        <f>HYPERLINK("https://www.boe.es/gazeta/dias/1805/06/11/pdfs/GMD-1805-47.pdf#page=10","Abrir facsímil")</f>
        <v>Abrir facsímil</v>
      </c>
      <c r="K5036" s="15" t="s">
        <v>22</v>
      </c>
    </row>
    <row r="5037" spans="1:11" ht="42" customHeight="1">
      <c r="A5037" s="4" t="s">
        <v>11513</v>
      </c>
      <c r="B5037" s="5" t="s">
        <v>11514</v>
      </c>
      <c r="C5037" s="5" t="s">
        <v>85</v>
      </c>
      <c r="D5037" s="5" t="s">
        <v>86</v>
      </c>
      <c r="E5037" s="5" t="s">
        <v>138</v>
      </c>
      <c r="F5037" s="9">
        <v>102</v>
      </c>
      <c r="G5037" s="9">
        <v>1103</v>
      </c>
      <c r="H5037" s="5" t="s">
        <v>20</v>
      </c>
      <c r="I5037" s="5" t="s">
        <v>11515</v>
      </c>
      <c r="J5037" s="12" t="str">
        <f>HYPERLINK("https://www.boe.es/gazeta/dias/1805/12/20/pdfs/GMD-1805-102.pdf#page=7","Abrir facsímil")</f>
        <v>Abrir facsímil</v>
      </c>
      <c r="K5037" s="15" t="s">
        <v>22</v>
      </c>
    </row>
    <row r="5038" spans="1:11" ht="42" customHeight="1">
      <c r="A5038" s="4" t="s">
        <v>11516</v>
      </c>
      <c r="B5038" s="5" t="s">
        <v>11517</v>
      </c>
      <c r="C5038" s="5" t="s">
        <v>35</v>
      </c>
      <c r="D5038" s="5" t="s">
        <v>36</v>
      </c>
      <c r="E5038" s="5" t="s">
        <v>303</v>
      </c>
      <c r="F5038" s="9">
        <v>57</v>
      </c>
      <c r="G5038" s="9">
        <v>612</v>
      </c>
      <c r="H5038" s="5" t="s">
        <v>20</v>
      </c>
      <c r="I5038" s="5" t="s">
        <v>11518</v>
      </c>
      <c r="J5038" s="12" t="str">
        <f>HYPERLINK("https://www.boe.es/gazeta/dias/1805/07/16/pdfs/GMD-1805-57.pdf#page=8","Abrir facsímil")</f>
        <v>Abrir facsímil</v>
      </c>
      <c r="K5038" s="15" t="s">
        <v>22</v>
      </c>
    </row>
    <row r="5039" spans="1:11" ht="42" customHeight="1">
      <c r="A5039" s="4" t="s">
        <v>11519</v>
      </c>
      <c r="B5039" s="5" t="s">
        <v>11520</v>
      </c>
      <c r="C5039" s="5" t="s">
        <v>35</v>
      </c>
      <c r="D5039" s="5" t="s">
        <v>36</v>
      </c>
      <c r="E5039" s="5" t="s">
        <v>19</v>
      </c>
      <c r="F5039" s="9">
        <v>86</v>
      </c>
      <c r="G5039" s="9">
        <v>914</v>
      </c>
      <c r="H5039" s="5" t="s">
        <v>20</v>
      </c>
      <c r="I5039" s="5" t="s">
        <v>11521</v>
      </c>
      <c r="J5039" s="12" t="str">
        <f>HYPERLINK("https://www.boe.es/gazeta/dias/1805/10/25/pdfs/GMD-1805-86.pdf#page=10","Abrir facsímil")</f>
        <v>Abrir facsímil</v>
      </c>
      <c r="K5039" s="15" t="s">
        <v>22</v>
      </c>
    </row>
    <row r="5040" spans="1:11" ht="42" customHeight="1">
      <c r="A5040" s="4" t="s">
        <v>11522</v>
      </c>
      <c r="B5040" s="5" t="s">
        <v>11523</v>
      </c>
      <c r="C5040" s="5" t="s">
        <v>17</v>
      </c>
      <c r="D5040" s="5" t="s">
        <v>18</v>
      </c>
      <c r="E5040" s="5" t="s">
        <v>327</v>
      </c>
      <c r="F5040" s="9">
        <v>10</v>
      </c>
      <c r="G5040" s="9">
        <v>111</v>
      </c>
      <c r="H5040" s="5" t="s">
        <v>20</v>
      </c>
      <c r="I5040" s="5" t="s">
        <v>11524</v>
      </c>
      <c r="J5040" s="12" t="str">
        <f>HYPERLINK("https://www.boe.es/gazeta/dias/1805/02/01/pdfs/GMD-1805-10.pdf#page=7","Abrir facsímil")</f>
        <v>Abrir facsímil</v>
      </c>
      <c r="K5040" s="15" t="s">
        <v>22</v>
      </c>
    </row>
    <row r="5041" spans="1:11" ht="42" customHeight="1">
      <c r="A5041" s="4" t="s">
        <v>11525</v>
      </c>
      <c r="B5041" s="5" t="s">
        <v>11526</v>
      </c>
      <c r="C5041" s="5" t="s">
        <v>264</v>
      </c>
      <c r="D5041" s="5" t="s">
        <v>265</v>
      </c>
      <c r="E5041" s="5" t="s">
        <v>261</v>
      </c>
      <c r="F5041" s="9">
        <v>18</v>
      </c>
      <c r="G5041" s="9" t="s">
        <v>55</v>
      </c>
      <c r="H5041" s="5" t="s">
        <v>20</v>
      </c>
      <c r="I5041" s="5" t="s">
        <v>11527</v>
      </c>
      <c r="J5041" s="12" t="str">
        <f>HYPERLINK("https://www.boe.es/gazeta/dias/1805/03/01/pdfs/GMD-C-1805-18.pdf#page=4","Abrir facsímil")</f>
        <v>Abrir facsímil</v>
      </c>
      <c r="K5041" s="15" t="s">
        <v>22</v>
      </c>
    </row>
    <row r="5042" spans="1:11" ht="42" customHeight="1">
      <c r="A5042" s="4" t="s">
        <v>11528</v>
      </c>
      <c r="B5042" s="5" t="s">
        <v>11529</v>
      </c>
      <c r="C5042" s="5" t="s">
        <v>52</v>
      </c>
      <c r="D5042" s="5" t="s">
        <v>53</v>
      </c>
      <c r="E5042" s="5" t="s">
        <v>144</v>
      </c>
      <c r="F5042" s="9">
        <v>85</v>
      </c>
      <c r="G5042" s="9" t="s">
        <v>1153</v>
      </c>
      <c r="H5042" s="5" t="s">
        <v>20</v>
      </c>
      <c r="I5042" s="5" t="s">
        <v>11530</v>
      </c>
      <c r="J5042" s="12" t="str">
        <f>HYPERLINK("https://www.boe.es/gazeta/dias/1805/10/22/pdfs/GMD-C-1805-85.pdf#page=8","Abrir facsímil")</f>
        <v>Abrir facsímil</v>
      </c>
      <c r="K5042" s="15" t="s">
        <v>22</v>
      </c>
    </row>
    <row r="5043" spans="1:11" ht="42" customHeight="1">
      <c r="A5043" s="4" t="s">
        <v>11531</v>
      </c>
      <c r="B5043" s="5" t="s">
        <v>11532</v>
      </c>
      <c r="C5043" s="5" t="s">
        <v>52</v>
      </c>
      <c r="D5043" s="5" t="s">
        <v>53</v>
      </c>
      <c r="E5043" s="5" t="s">
        <v>144</v>
      </c>
      <c r="F5043" s="9">
        <v>85</v>
      </c>
      <c r="G5043" s="9" t="s">
        <v>1153</v>
      </c>
      <c r="H5043" s="5" t="s">
        <v>20</v>
      </c>
      <c r="I5043" s="5" t="s">
        <v>11533</v>
      </c>
      <c r="J5043" s="12" t="str">
        <f>HYPERLINK("https://www.boe.es/gazeta/dias/1805/10/22/pdfs/GMD-C-1805-85.pdf#page=8","Abrir facsímil")</f>
        <v>Abrir facsímil</v>
      </c>
      <c r="K5043" s="15" t="s">
        <v>22</v>
      </c>
    </row>
    <row r="5044" spans="1:11" ht="42" customHeight="1">
      <c r="A5044" s="4" t="s">
        <v>11534</v>
      </c>
      <c r="B5044" s="5" t="s">
        <v>11535</v>
      </c>
      <c r="C5044" s="5" t="s">
        <v>184</v>
      </c>
      <c r="D5044" s="5" t="s">
        <v>86</v>
      </c>
      <c r="E5044" s="5" t="s">
        <v>44</v>
      </c>
      <c r="F5044" s="9">
        <v>29</v>
      </c>
      <c r="G5044" s="9">
        <v>313</v>
      </c>
      <c r="H5044" s="5" t="s">
        <v>20</v>
      </c>
      <c r="I5044" s="5" t="s">
        <v>11536</v>
      </c>
      <c r="J5044" s="12" t="str">
        <f>HYPERLINK("https://www.boe.es/gazeta/dias/1805/04/09/pdfs/GMD-1805-29.pdf#page=9","Abrir facsímil")</f>
        <v>Abrir facsímil</v>
      </c>
      <c r="K5044" s="15" t="s">
        <v>22</v>
      </c>
    </row>
    <row r="5045" spans="1:11" ht="42" customHeight="1">
      <c r="A5045" s="4" t="s">
        <v>11537</v>
      </c>
      <c r="B5045" s="5" t="s">
        <v>11538</v>
      </c>
      <c r="C5045" s="5" t="s">
        <v>184</v>
      </c>
      <c r="D5045" s="5" t="s">
        <v>86</v>
      </c>
      <c r="E5045" s="5" t="s">
        <v>31</v>
      </c>
      <c r="F5045" s="9">
        <v>65</v>
      </c>
      <c r="G5045" s="9">
        <v>698</v>
      </c>
      <c r="H5045" s="5" t="s">
        <v>20</v>
      </c>
      <c r="I5045" s="5" t="s">
        <v>11539</v>
      </c>
      <c r="J5045" s="12" t="str">
        <f>HYPERLINK("https://www.boe.es/gazeta/dias/1805/08/13/pdfs/GMD-1805-65.pdf#page=10","Abrir facsímil")</f>
        <v>Abrir facsímil</v>
      </c>
      <c r="K5045" s="15" t="s">
        <v>22</v>
      </c>
    </row>
    <row r="5046" spans="1:11" ht="42" customHeight="1">
      <c r="A5046" s="4" t="s">
        <v>11537</v>
      </c>
      <c r="B5046" s="5" t="s">
        <v>11538</v>
      </c>
      <c r="C5046" s="5" t="s">
        <v>29</v>
      </c>
      <c r="D5046" s="5" t="s">
        <v>30</v>
      </c>
      <c r="E5046" s="5" t="s">
        <v>426</v>
      </c>
      <c r="F5046" s="9">
        <v>75</v>
      </c>
      <c r="G5046" s="9">
        <v>800</v>
      </c>
      <c r="H5046" s="5" t="s">
        <v>20</v>
      </c>
      <c r="I5046" s="5" t="s">
        <v>11540</v>
      </c>
      <c r="J5046" s="12" t="str">
        <f>HYPERLINK("https://www.boe.es/gazeta/dias/1805/09/17/pdfs/GMD-1805-75.pdf#page=12","Abrir facsímil")</f>
        <v>Abrir facsímil</v>
      </c>
      <c r="K5046" s="15" t="s">
        <v>22</v>
      </c>
    </row>
    <row r="5047" spans="1:11" ht="42" customHeight="1">
      <c r="A5047" s="4" t="s">
        <v>11541</v>
      </c>
      <c r="B5047" s="5" t="s">
        <v>11542</v>
      </c>
      <c r="C5047" s="5" t="s">
        <v>17</v>
      </c>
      <c r="D5047" s="5" t="s">
        <v>18</v>
      </c>
      <c r="E5047" s="5" t="s">
        <v>422</v>
      </c>
      <c r="F5047" s="9">
        <v>74</v>
      </c>
      <c r="G5047" s="9">
        <v>786</v>
      </c>
      <c r="H5047" s="5" t="s">
        <v>20</v>
      </c>
      <c r="I5047" s="5" t="s">
        <v>11543</v>
      </c>
      <c r="J5047" s="12" t="str">
        <f>HYPERLINK("https://www.boe.es/gazeta/dias/1805/09/13/pdfs/GMD-1805-74.pdf#page=10","Abrir facsímil")</f>
        <v>Abrir facsímil</v>
      </c>
      <c r="K5047" s="15" t="s">
        <v>22</v>
      </c>
    </row>
    <row r="5048" spans="1:11" ht="42" customHeight="1">
      <c r="A5048" s="4" t="s">
        <v>11544</v>
      </c>
      <c r="B5048" s="5" t="s">
        <v>11545</v>
      </c>
      <c r="C5048" s="5" t="s">
        <v>80</v>
      </c>
      <c r="D5048" s="5" t="s">
        <v>81</v>
      </c>
      <c r="E5048" s="5" t="s">
        <v>387</v>
      </c>
      <c r="F5048" s="9">
        <v>4</v>
      </c>
      <c r="G5048" s="9">
        <v>40</v>
      </c>
      <c r="H5048" s="5" t="s">
        <v>20</v>
      </c>
      <c r="I5048" s="5" t="s">
        <v>11546</v>
      </c>
      <c r="J5048" s="12" t="str">
        <f>HYPERLINK("https://www.boe.es/gazeta/dias/1805/01/11/pdfs/GMD-1805-4.pdf#page=8","Abrir facsímil")</f>
        <v>Abrir facsímil</v>
      </c>
      <c r="K5048" s="15" t="s">
        <v>22</v>
      </c>
    </row>
    <row r="5049" spans="1:11" ht="42" customHeight="1">
      <c r="A5049" s="4" t="s">
        <v>11547</v>
      </c>
      <c r="B5049" s="5" t="s">
        <v>11547</v>
      </c>
      <c r="C5049" s="5" t="s">
        <v>29</v>
      </c>
      <c r="D5049" s="5" t="s">
        <v>30</v>
      </c>
      <c r="E5049" s="5" t="s">
        <v>114</v>
      </c>
      <c r="F5049" s="9">
        <v>17</v>
      </c>
      <c r="G5049" s="9">
        <v>176</v>
      </c>
      <c r="H5049" s="5" t="s">
        <v>20</v>
      </c>
      <c r="I5049" s="5" t="s">
        <v>11548</v>
      </c>
      <c r="J5049" s="12" t="str">
        <f>HYPERLINK("https://www.boe.es/gazeta/dias/1805/02/26/pdfs/GMD-1805-17.pdf#page=8","Abrir facsímil")</f>
        <v>Abrir facsímil</v>
      </c>
      <c r="K5049" s="15" t="s">
        <v>22</v>
      </c>
    </row>
    <row r="5050" spans="1:11" ht="42" customHeight="1">
      <c r="A5050" s="4" t="s">
        <v>11549</v>
      </c>
      <c r="B5050" s="5" t="s">
        <v>11550</v>
      </c>
      <c r="C5050" s="5" t="s">
        <v>17</v>
      </c>
      <c r="D5050" s="5" t="s">
        <v>18</v>
      </c>
      <c r="E5050" s="5" t="s">
        <v>456</v>
      </c>
      <c r="F5050" s="9">
        <v>70</v>
      </c>
      <c r="G5050" s="9">
        <v>745</v>
      </c>
      <c r="H5050" s="5" t="s">
        <v>20</v>
      </c>
      <c r="I5050" s="5" t="s">
        <v>11551</v>
      </c>
      <c r="J5050" s="12" t="str">
        <f>HYPERLINK("https://www.boe.es/gazeta/dias/1805/08/30/pdfs/GMD-1805-70.pdf#page=5","Abrir facsímil")</f>
        <v>Abrir facsímil</v>
      </c>
      <c r="K5050" s="15" t="s">
        <v>22</v>
      </c>
    </row>
    <row r="5051" spans="1:11" ht="42" customHeight="1">
      <c r="A5051" s="4" t="s">
        <v>11552</v>
      </c>
      <c r="B5051" s="5" t="s">
        <v>11553</v>
      </c>
      <c r="C5051" s="5" t="s">
        <v>35</v>
      </c>
      <c r="D5051" s="5" t="s">
        <v>36</v>
      </c>
      <c r="E5051" s="5" t="s">
        <v>188</v>
      </c>
      <c r="F5051" s="9">
        <v>68</v>
      </c>
      <c r="G5051" s="9">
        <v>726</v>
      </c>
      <c r="H5051" s="5" t="s">
        <v>20</v>
      </c>
      <c r="I5051" s="5" t="s">
        <v>11554</v>
      </c>
      <c r="J5051" s="12" t="str">
        <f>HYPERLINK("https://www.boe.es/gazeta/dias/1805/08/23/pdfs/GMD-1805-68.pdf#page=6","Abrir facsímil")</f>
        <v>Abrir facsímil</v>
      </c>
      <c r="K5051" s="15" t="s">
        <v>22</v>
      </c>
    </row>
    <row r="5052" spans="1:11" ht="42" customHeight="1">
      <c r="A5052" s="4" t="s">
        <v>11555</v>
      </c>
      <c r="B5052" s="5" t="s">
        <v>11556</v>
      </c>
      <c r="C5052" s="5" t="s">
        <v>35</v>
      </c>
      <c r="D5052" s="5" t="s">
        <v>36</v>
      </c>
      <c r="E5052" s="5" t="s">
        <v>120</v>
      </c>
      <c r="F5052" s="9">
        <v>24</v>
      </c>
      <c r="G5052" s="9">
        <v>251</v>
      </c>
      <c r="H5052" s="5" t="s">
        <v>20</v>
      </c>
      <c r="I5052" s="5" t="s">
        <v>11557</v>
      </c>
      <c r="J5052" s="12" t="str">
        <f>HYPERLINK("https://www.boe.es/gazeta/dias/1805/03/22/pdfs/GMD-1805-24.pdf#page=3","Abrir facsímil")</f>
        <v>Abrir facsímil</v>
      </c>
      <c r="K5052" s="15" t="s">
        <v>22</v>
      </c>
    </row>
    <row r="5053" spans="1:11" ht="42" customHeight="1">
      <c r="A5053" s="4" t="s">
        <v>11558</v>
      </c>
      <c r="B5053" s="5" t="s">
        <v>11558</v>
      </c>
      <c r="C5053" s="5" t="s">
        <v>29</v>
      </c>
      <c r="D5053" s="5" t="s">
        <v>30</v>
      </c>
      <c r="E5053" s="5" t="s">
        <v>132</v>
      </c>
      <c r="F5053" s="9">
        <v>2</v>
      </c>
      <c r="G5053" s="9">
        <v>14</v>
      </c>
      <c r="H5053" s="5" t="s">
        <v>20</v>
      </c>
      <c r="I5053" s="5" t="s">
        <v>11559</v>
      </c>
      <c r="J5053" s="12" t="str">
        <f>HYPERLINK("https://www.boe.es/gazeta/dias/1805/01/04/pdfs/GMD-1805-2.pdf#page=2","Abrir facsímil")</f>
        <v>Abrir facsímil</v>
      </c>
      <c r="K5053" s="15" t="s">
        <v>22</v>
      </c>
    </row>
    <row r="5054" spans="1:11" ht="42" customHeight="1">
      <c r="A5054" s="4" t="s">
        <v>11560</v>
      </c>
      <c r="B5054" s="5" t="s">
        <v>11560</v>
      </c>
      <c r="C5054" s="5" t="s">
        <v>29</v>
      </c>
      <c r="D5054" s="5" t="s">
        <v>30</v>
      </c>
      <c r="E5054" s="5" t="s">
        <v>281</v>
      </c>
      <c r="F5054" s="9">
        <v>15</v>
      </c>
      <c r="G5054" s="9">
        <v>159</v>
      </c>
      <c r="H5054" s="5" t="s">
        <v>20</v>
      </c>
      <c r="I5054" s="5" t="s">
        <v>11561</v>
      </c>
      <c r="J5054" s="12" t="str">
        <f>HYPERLINK("https://www.boe.es/gazeta/dias/1805/02/19/pdfs/GMD-1805-15.pdf#page=11","Abrir facsímil")</f>
        <v>Abrir facsímil</v>
      </c>
      <c r="K5054" s="15" t="s">
        <v>22</v>
      </c>
    </row>
    <row r="5055" spans="1:11" ht="42" customHeight="1">
      <c r="A5055" s="4" t="s">
        <v>11562</v>
      </c>
      <c r="B5055" s="5" t="s">
        <v>11563</v>
      </c>
      <c r="C5055" s="5" t="s">
        <v>35</v>
      </c>
      <c r="D5055" s="5" t="s">
        <v>36</v>
      </c>
      <c r="E5055" s="5" t="s">
        <v>91</v>
      </c>
      <c r="F5055" s="9">
        <v>28</v>
      </c>
      <c r="G5055" s="9">
        <v>300</v>
      </c>
      <c r="H5055" s="5" t="s">
        <v>20</v>
      </c>
      <c r="I5055" s="5" t="s">
        <v>11564</v>
      </c>
      <c r="J5055" s="12" t="str">
        <f>HYPERLINK("https://www.boe.es/gazeta/dias/1805/04/05/pdfs/GMD-1805-28.pdf#page=8","Abrir facsímil")</f>
        <v>Abrir facsímil</v>
      </c>
      <c r="K5055" s="15" t="s">
        <v>22</v>
      </c>
    </row>
    <row r="5056" spans="1:11" ht="42" customHeight="1">
      <c r="A5056" s="4" t="s">
        <v>11565</v>
      </c>
      <c r="B5056" s="5" t="s">
        <v>11566</v>
      </c>
      <c r="C5056" s="5" t="s">
        <v>85</v>
      </c>
      <c r="D5056" s="5" t="s">
        <v>86</v>
      </c>
      <c r="E5056" s="5" t="s">
        <v>188</v>
      </c>
      <c r="F5056" s="9">
        <v>68</v>
      </c>
      <c r="G5056" s="9">
        <v>728</v>
      </c>
      <c r="H5056" s="5" t="s">
        <v>20</v>
      </c>
      <c r="I5056" s="5" t="s">
        <v>11567</v>
      </c>
      <c r="J5056" s="12" t="str">
        <f>HYPERLINK("https://www.boe.es/gazeta/dias/1805/08/23/pdfs/GMD-1805-68.pdf#page=8","Abrir facsímil")</f>
        <v>Abrir facsímil</v>
      </c>
      <c r="K5056" s="15" t="s">
        <v>22</v>
      </c>
    </row>
    <row r="5057" spans="1:11" ht="42" customHeight="1">
      <c r="A5057" s="4" t="s">
        <v>11568</v>
      </c>
      <c r="B5057" s="5" t="s">
        <v>11569</v>
      </c>
      <c r="C5057" s="5" t="s">
        <v>35</v>
      </c>
      <c r="D5057" s="5" t="s">
        <v>36</v>
      </c>
      <c r="E5057" s="5" t="s">
        <v>422</v>
      </c>
      <c r="F5057" s="9">
        <v>74</v>
      </c>
      <c r="G5057" s="9">
        <v>786</v>
      </c>
      <c r="H5057" s="5" t="s">
        <v>20</v>
      </c>
      <c r="I5057" s="5" t="s">
        <v>11570</v>
      </c>
      <c r="J5057" s="12" t="str">
        <f>HYPERLINK("https://www.boe.es/gazeta/dias/1805/09/13/pdfs/GMD-1805-74.pdf#page=10","Abrir facsímil")</f>
        <v>Abrir facsímil</v>
      </c>
      <c r="K5057" s="15" t="s">
        <v>22</v>
      </c>
    </row>
    <row r="5058" spans="1:11" ht="42" customHeight="1">
      <c r="A5058" s="4" t="s">
        <v>11571</v>
      </c>
      <c r="B5058" s="5" t="s">
        <v>11572</v>
      </c>
      <c r="C5058" s="5" t="s">
        <v>17</v>
      </c>
      <c r="D5058" s="5" t="s">
        <v>18</v>
      </c>
      <c r="E5058" s="5" t="s">
        <v>63</v>
      </c>
      <c r="F5058" s="9">
        <v>101</v>
      </c>
      <c r="G5058" s="9">
        <v>1090</v>
      </c>
      <c r="H5058" s="5" t="s">
        <v>20</v>
      </c>
      <c r="I5058" s="5" t="s">
        <v>11573</v>
      </c>
      <c r="J5058" s="12" t="str">
        <f>HYPERLINK("https://www.boe.es/gazeta/dias/1805/12/17/pdfs/GMD-1805-101.pdf#page=6","Abrir facsímil")</f>
        <v>Abrir facsímil</v>
      </c>
      <c r="K5058" s="15" t="s">
        <v>22</v>
      </c>
    </row>
    <row r="5059" spans="1:11" ht="42" customHeight="1">
      <c r="A5059" s="4" t="s">
        <v>11571</v>
      </c>
      <c r="B5059" s="5" t="s">
        <v>11572</v>
      </c>
      <c r="C5059" s="5" t="s">
        <v>184</v>
      </c>
      <c r="D5059" s="5" t="s">
        <v>86</v>
      </c>
      <c r="E5059" s="5" t="s">
        <v>138</v>
      </c>
      <c r="F5059" s="9">
        <v>102</v>
      </c>
      <c r="G5059" s="9">
        <v>1100</v>
      </c>
      <c r="H5059" s="5" t="s">
        <v>20</v>
      </c>
      <c r="I5059" s="5" t="s">
        <v>11574</v>
      </c>
      <c r="J5059" s="12" t="str">
        <f>HYPERLINK("https://www.boe.es/gazeta/dias/1805/12/20/pdfs/GMD-1805-102.pdf#page=4","Abrir facsímil")</f>
        <v>Abrir facsímil</v>
      </c>
      <c r="K5059" s="15" t="s">
        <v>22</v>
      </c>
    </row>
    <row r="5060" spans="1:11" ht="42" customHeight="1">
      <c r="A5060" s="4" t="s">
        <v>11575</v>
      </c>
      <c r="B5060" s="5" t="s">
        <v>11576</v>
      </c>
      <c r="C5060" s="5" t="s">
        <v>184</v>
      </c>
      <c r="D5060" s="5" t="s">
        <v>86</v>
      </c>
      <c r="E5060" s="5" t="s">
        <v>120</v>
      </c>
      <c r="F5060" s="9">
        <v>24</v>
      </c>
      <c r="G5060" s="9">
        <v>258</v>
      </c>
      <c r="H5060" s="5" t="s">
        <v>20</v>
      </c>
      <c r="I5060" s="5" t="s">
        <v>11577</v>
      </c>
      <c r="J5060" s="12" t="str">
        <f>HYPERLINK("https://www.boe.es/gazeta/dias/1805/03/22/pdfs/GMD-1805-24.pdf#page=10","Abrir facsímil")</f>
        <v>Abrir facsímil</v>
      </c>
      <c r="K5060" s="15" t="s">
        <v>22</v>
      </c>
    </row>
    <row r="5061" spans="1:11" ht="42" customHeight="1">
      <c r="A5061" s="4" t="s">
        <v>11575</v>
      </c>
      <c r="B5061" s="5" t="s">
        <v>11576</v>
      </c>
      <c r="C5061" s="5" t="s">
        <v>184</v>
      </c>
      <c r="D5061" s="5" t="s">
        <v>86</v>
      </c>
      <c r="E5061" s="5" t="s">
        <v>958</v>
      </c>
      <c r="F5061" s="9">
        <v>58</v>
      </c>
      <c r="G5061" s="9">
        <v>622</v>
      </c>
      <c r="H5061" s="5" t="s">
        <v>20</v>
      </c>
      <c r="I5061" s="5" t="s">
        <v>11578</v>
      </c>
      <c r="J5061" s="12" t="str">
        <f>HYPERLINK("https://www.boe.es/gazeta/dias/1805/07/19/pdfs/GMD-1805-58.pdf#page=6","Abrir facsímil")</f>
        <v>Abrir facsímil</v>
      </c>
      <c r="K5061" s="15" t="s">
        <v>22</v>
      </c>
    </row>
    <row r="5062" spans="1:11" ht="42" customHeight="1">
      <c r="A5062" s="4" t="s">
        <v>11579</v>
      </c>
      <c r="B5062" s="5" t="s">
        <v>11580</v>
      </c>
      <c r="C5062" s="5" t="s">
        <v>29</v>
      </c>
      <c r="D5062" s="5" t="s">
        <v>30</v>
      </c>
      <c r="E5062" s="5" t="s">
        <v>456</v>
      </c>
      <c r="F5062" s="9">
        <v>70</v>
      </c>
      <c r="G5062" s="9">
        <v>748</v>
      </c>
      <c r="H5062" s="5" t="s">
        <v>20</v>
      </c>
      <c r="I5062" s="5" t="s">
        <v>11581</v>
      </c>
      <c r="J5062" s="12" t="str">
        <f>HYPERLINK("https://www.boe.es/gazeta/dias/1805/08/30/pdfs/GMD-1805-70.pdf#page=8","Abrir facsímil")</f>
        <v>Abrir facsímil</v>
      </c>
      <c r="K5062" s="15" t="s">
        <v>22</v>
      </c>
    </row>
    <row r="5063" spans="1:11" ht="42" customHeight="1">
      <c r="A5063" s="4" t="s">
        <v>11582</v>
      </c>
      <c r="B5063" s="5" t="s">
        <v>11583</v>
      </c>
      <c r="C5063" s="5" t="s">
        <v>17</v>
      </c>
      <c r="D5063" s="5" t="s">
        <v>18</v>
      </c>
      <c r="E5063" s="5" t="s">
        <v>59</v>
      </c>
      <c r="F5063" s="9">
        <v>21</v>
      </c>
      <c r="G5063" s="9">
        <v>218</v>
      </c>
      <c r="H5063" s="5" t="s">
        <v>20</v>
      </c>
      <c r="I5063" s="5" t="s">
        <v>11584</v>
      </c>
      <c r="J5063" s="12" t="str">
        <f>HYPERLINK("https://www.boe.es/gazeta/dias/1805/03/12/pdfs/GMD-1805-21.pdf#page=6","Abrir facsímil")</f>
        <v>Abrir facsímil</v>
      </c>
      <c r="K5063" s="15" t="s">
        <v>22</v>
      </c>
    </row>
    <row r="5064" spans="1:11" ht="42" customHeight="1">
      <c r="A5064" s="4" t="s">
        <v>11585</v>
      </c>
      <c r="B5064" s="5" t="s">
        <v>11585</v>
      </c>
      <c r="C5064" s="5" t="s">
        <v>80</v>
      </c>
      <c r="D5064" s="5" t="s">
        <v>81</v>
      </c>
      <c r="E5064" s="5" t="s">
        <v>54</v>
      </c>
      <c r="F5064" s="9">
        <v>99</v>
      </c>
      <c r="G5064" s="9">
        <v>1065</v>
      </c>
      <c r="H5064" s="5" t="s">
        <v>20</v>
      </c>
      <c r="I5064" s="5" t="s">
        <v>11586</v>
      </c>
      <c r="J5064" s="12" t="str">
        <f>HYPERLINK("https://www.boe.es/gazeta/dias/1805/12/10/pdfs/GMD-1805-99.pdf#page=5","Abrir facsímil")</f>
        <v>Abrir facsímil</v>
      </c>
      <c r="K5064" s="15" t="s">
        <v>22</v>
      </c>
    </row>
    <row r="5065" spans="1:11" ht="42" customHeight="1">
      <c r="A5065" s="4" t="s">
        <v>11587</v>
      </c>
      <c r="B5065" s="5" t="s">
        <v>11588</v>
      </c>
      <c r="C5065" s="5" t="s">
        <v>35</v>
      </c>
      <c r="D5065" s="5" t="s">
        <v>36</v>
      </c>
      <c r="E5065" s="5" t="s">
        <v>217</v>
      </c>
      <c r="F5065" s="9">
        <v>96</v>
      </c>
      <c r="G5065" s="9">
        <v>1031</v>
      </c>
      <c r="H5065" s="5" t="s">
        <v>20</v>
      </c>
      <c r="I5065" s="5" t="s">
        <v>11589</v>
      </c>
      <c r="J5065" s="12" t="str">
        <f>HYPERLINK("https://www.boe.es/gazeta/dias/1805/11/29/pdfs/GMD-1805-96.pdf#page=7","Abrir facsímil")</f>
        <v>Abrir facsímil</v>
      </c>
      <c r="K5065" s="15" t="s">
        <v>22</v>
      </c>
    </row>
    <row r="5066" spans="1:11" ht="42" customHeight="1">
      <c r="A5066" s="4" t="s">
        <v>11590</v>
      </c>
      <c r="B5066" s="5" t="s">
        <v>11591</v>
      </c>
      <c r="C5066" s="5" t="s">
        <v>17</v>
      </c>
      <c r="D5066" s="5" t="s">
        <v>18</v>
      </c>
      <c r="E5066" s="5" t="s">
        <v>200</v>
      </c>
      <c r="F5066" s="9">
        <v>91</v>
      </c>
      <c r="G5066" s="9">
        <v>977</v>
      </c>
      <c r="H5066" s="5" t="s">
        <v>20</v>
      </c>
      <c r="I5066" s="5" t="s">
        <v>11592</v>
      </c>
      <c r="J5066" s="12" t="str">
        <f>HYPERLINK("https://www.boe.es/gazeta/dias/1805/11/12/pdfs/GMD-1805-91.pdf#page=9","Abrir facsímil")</f>
        <v>Abrir facsímil</v>
      </c>
      <c r="K5066" s="15" t="s">
        <v>22</v>
      </c>
    </row>
    <row r="5067" spans="1:11" ht="42" customHeight="1">
      <c r="A5067" s="4" t="s">
        <v>11593</v>
      </c>
      <c r="B5067" s="5" t="s">
        <v>11594</v>
      </c>
      <c r="C5067" s="5" t="s">
        <v>35</v>
      </c>
      <c r="D5067" s="5" t="s">
        <v>36</v>
      </c>
      <c r="E5067" s="5" t="s">
        <v>215</v>
      </c>
      <c r="F5067" s="9">
        <v>87</v>
      </c>
      <c r="G5067" s="9">
        <v>922</v>
      </c>
      <c r="H5067" s="5" t="s">
        <v>20</v>
      </c>
      <c r="I5067" s="5" t="s">
        <v>11595</v>
      </c>
      <c r="J5067" s="12" t="str">
        <f>HYPERLINK("https://www.boe.es/gazeta/dias/1805/10/29/pdfs/GMD-1805-87.pdf#page=6","Abrir facsímil")</f>
        <v>Abrir facsímil</v>
      </c>
      <c r="K5067" s="15" t="s">
        <v>22</v>
      </c>
    </row>
    <row r="5068" spans="1:11" ht="42" customHeight="1">
      <c r="A5068" s="4" t="s">
        <v>11596</v>
      </c>
      <c r="B5068" s="5" t="s">
        <v>11597</v>
      </c>
      <c r="C5068" s="5" t="s">
        <v>35</v>
      </c>
      <c r="D5068" s="5" t="s">
        <v>36</v>
      </c>
      <c r="E5068" s="5" t="s">
        <v>67</v>
      </c>
      <c r="F5068" s="9">
        <v>98</v>
      </c>
      <c r="G5068" s="9">
        <v>1058</v>
      </c>
      <c r="H5068" s="5" t="s">
        <v>20</v>
      </c>
      <c r="I5068" s="5" t="s">
        <v>11598</v>
      </c>
      <c r="J5068" s="12" t="str">
        <f>HYPERLINK("https://www.boe.es/gazeta/dias/1805/12/06/pdfs/GMD-1805-98.pdf#page=10","Abrir facsímil")</f>
        <v>Abrir facsímil</v>
      </c>
      <c r="K5068" s="15" t="s">
        <v>22</v>
      </c>
    </row>
    <row r="5069" spans="1:11" ht="42" customHeight="1">
      <c r="A5069" s="4" t="s">
        <v>11599</v>
      </c>
      <c r="B5069" s="5" t="s">
        <v>11600</v>
      </c>
      <c r="C5069" s="5" t="s">
        <v>184</v>
      </c>
      <c r="D5069" s="5" t="s">
        <v>86</v>
      </c>
      <c r="E5069" s="5" t="s">
        <v>122</v>
      </c>
      <c r="F5069" s="9">
        <v>38</v>
      </c>
      <c r="G5069" s="9">
        <v>412</v>
      </c>
      <c r="H5069" s="5" t="s">
        <v>20</v>
      </c>
      <c r="I5069" s="5" t="s">
        <v>11601</v>
      </c>
      <c r="J5069" s="12" t="str">
        <f>HYPERLINK("https://www.boe.es/gazeta/dias/1805/05/10/pdfs/GMD-1805-38.pdf#page=8","Abrir facsímil")</f>
        <v>Abrir facsímil</v>
      </c>
      <c r="K5069" s="15" t="s">
        <v>22</v>
      </c>
    </row>
    <row r="5070" spans="1:11" ht="42" customHeight="1">
      <c r="A5070" s="4" t="s">
        <v>11599</v>
      </c>
      <c r="B5070" s="5" t="s">
        <v>11600</v>
      </c>
      <c r="C5070" s="5" t="s">
        <v>85</v>
      </c>
      <c r="D5070" s="5" t="s">
        <v>86</v>
      </c>
      <c r="E5070" s="5" t="s">
        <v>1022</v>
      </c>
      <c r="F5070" s="9">
        <v>52</v>
      </c>
      <c r="G5070" s="9">
        <v>563</v>
      </c>
      <c r="H5070" s="5" t="s">
        <v>20</v>
      </c>
      <c r="I5070" s="5" t="s">
        <v>11602</v>
      </c>
      <c r="J5070" s="12" t="str">
        <f>HYPERLINK("https://www.boe.es/gazeta/dias/1805/06/28/pdfs/GMD-1805-52.pdf#page=11","Abrir facsímil")</f>
        <v>Abrir facsímil</v>
      </c>
      <c r="K5070" s="15" t="s">
        <v>22</v>
      </c>
    </row>
    <row r="5071" spans="1:11" ht="42" customHeight="1">
      <c r="A5071" s="4" t="s">
        <v>11599</v>
      </c>
      <c r="B5071" s="5" t="s">
        <v>11600</v>
      </c>
      <c r="C5071" s="5" t="s">
        <v>35</v>
      </c>
      <c r="D5071" s="5" t="s">
        <v>36</v>
      </c>
      <c r="E5071" s="5" t="s">
        <v>585</v>
      </c>
      <c r="F5071" s="9">
        <v>64</v>
      </c>
      <c r="G5071" s="9">
        <v>687</v>
      </c>
      <c r="H5071" s="5" t="s">
        <v>20</v>
      </c>
      <c r="I5071" s="5" t="s">
        <v>11603</v>
      </c>
      <c r="J5071" s="12" t="str">
        <f>HYPERLINK("https://www.boe.es/gazeta/dias/1805/08/09/pdfs/GMD-1805-64.pdf#page=11","Abrir facsímil")</f>
        <v>Abrir facsímil</v>
      </c>
      <c r="K5071" s="15" t="s">
        <v>22</v>
      </c>
    </row>
    <row r="5072" spans="1:11" ht="42" customHeight="1">
      <c r="A5072" s="4" t="s">
        <v>11599</v>
      </c>
      <c r="B5072" s="5" t="s">
        <v>11600</v>
      </c>
      <c r="C5072" s="5" t="s">
        <v>35</v>
      </c>
      <c r="D5072" s="5" t="s">
        <v>36</v>
      </c>
      <c r="E5072" s="5" t="s">
        <v>506</v>
      </c>
      <c r="F5072" s="9">
        <v>80</v>
      </c>
      <c r="G5072" s="9">
        <v>851</v>
      </c>
      <c r="H5072" s="5" t="s">
        <v>20</v>
      </c>
      <c r="I5072" s="5" t="s">
        <v>11604</v>
      </c>
      <c r="J5072" s="12" t="str">
        <f>HYPERLINK("https://www.boe.es/gazeta/dias/1805/10/04/pdfs/GMD-1805-80.pdf#page=11","Abrir facsímil")</f>
        <v>Abrir facsímil</v>
      </c>
      <c r="K5072" s="15" t="s">
        <v>22</v>
      </c>
    </row>
    <row r="5073" spans="1:11" ht="42" customHeight="1">
      <c r="A5073" s="4" t="s">
        <v>11599</v>
      </c>
      <c r="B5073" s="5" t="s">
        <v>11600</v>
      </c>
      <c r="C5073" s="5" t="s">
        <v>35</v>
      </c>
      <c r="D5073" s="5" t="s">
        <v>36</v>
      </c>
      <c r="E5073" s="5" t="s">
        <v>512</v>
      </c>
      <c r="F5073" s="9">
        <v>100</v>
      </c>
      <c r="G5073" s="9">
        <v>1081</v>
      </c>
      <c r="H5073" s="5" t="s">
        <v>20</v>
      </c>
      <c r="I5073" s="5" t="s">
        <v>11605</v>
      </c>
      <c r="J5073" s="12" t="str">
        <f>HYPERLINK("https://www.boe.es/gazeta/dias/1805/12/13/pdfs/GMD-1805-100.pdf#page=9","Abrir facsímil")</f>
        <v>Abrir facsímil</v>
      </c>
      <c r="K5073" s="15" t="s">
        <v>22</v>
      </c>
    </row>
    <row r="5074" spans="1:11" ht="42" customHeight="1">
      <c r="A5074" s="4" t="s">
        <v>11599</v>
      </c>
      <c r="B5074" s="5" t="s">
        <v>11600</v>
      </c>
      <c r="C5074" s="5" t="s">
        <v>184</v>
      </c>
      <c r="D5074" s="5" t="s">
        <v>86</v>
      </c>
      <c r="E5074" s="5" t="s">
        <v>138</v>
      </c>
      <c r="F5074" s="9">
        <v>102</v>
      </c>
      <c r="G5074" s="9">
        <v>1105</v>
      </c>
      <c r="H5074" s="5" t="s">
        <v>20</v>
      </c>
      <c r="I5074" s="5" t="s">
        <v>11606</v>
      </c>
      <c r="J5074" s="12" t="str">
        <f>HYPERLINK("https://www.boe.es/gazeta/dias/1805/12/20/pdfs/GMD-1805-102.pdf#page=9","Abrir facsímil")</f>
        <v>Abrir facsímil</v>
      </c>
      <c r="K5074" s="15" t="s">
        <v>22</v>
      </c>
    </row>
    <row r="5075" spans="1:11" ht="42" customHeight="1">
      <c r="A5075" s="4" t="s">
        <v>11599</v>
      </c>
      <c r="B5075" s="5" t="s">
        <v>11600</v>
      </c>
      <c r="C5075" s="5" t="s">
        <v>184</v>
      </c>
      <c r="D5075" s="5" t="s">
        <v>86</v>
      </c>
      <c r="E5075" s="5" t="s">
        <v>495</v>
      </c>
      <c r="F5075" s="9">
        <v>103</v>
      </c>
      <c r="G5075" s="9">
        <v>1115</v>
      </c>
      <c r="H5075" s="5" t="s">
        <v>20</v>
      </c>
      <c r="I5075" s="5" t="s">
        <v>11607</v>
      </c>
      <c r="J5075" s="12" t="str">
        <f>HYPERLINK("https://www.boe.es/gazeta/dias/1805/12/24/pdfs/GMD-1805-103.pdf#page=7","Abrir facsímil")</f>
        <v>Abrir facsímil</v>
      </c>
      <c r="K5075" s="15" t="s">
        <v>22</v>
      </c>
    </row>
    <row r="5076" spans="1:11" ht="42" customHeight="1">
      <c r="A5076" s="4" t="s">
        <v>11608</v>
      </c>
      <c r="B5076" s="5" t="s">
        <v>11609</v>
      </c>
      <c r="C5076" s="5" t="s">
        <v>184</v>
      </c>
      <c r="D5076" s="5" t="s">
        <v>86</v>
      </c>
      <c r="E5076" s="5" t="s">
        <v>48</v>
      </c>
      <c r="F5076" s="9">
        <v>35</v>
      </c>
      <c r="G5076" s="9">
        <v>380</v>
      </c>
      <c r="H5076" s="5" t="s">
        <v>20</v>
      </c>
      <c r="I5076" s="5" t="s">
        <v>11610</v>
      </c>
      <c r="J5076" s="12" t="str">
        <f>HYPERLINK("https://www.boe.es/gazeta/dias/1805/04/30/pdfs/GMD-1805-35.pdf#page=12","Abrir facsímil")</f>
        <v>Abrir facsímil</v>
      </c>
      <c r="K5076" s="15" t="s">
        <v>22</v>
      </c>
    </row>
    <row r="5077" spans="1:11" ht="42" customHeight="1">
      <c r="A5077" s="4" t="s">
        <v>11608</v>
      </c>
      <c r="B5077" s="5" t="s">
        <v>11609</v>
      </c>
      <c r="C5077" s="5" t="s">
        <v>35</v>
      </c>
      <c r="D5077" s="5" t="s">
        <v>36</v>
      </c>
      <c r="E5077" s="5" t="s">
        <v>539</v>
      </c>
      <c r="F5077" s="9">
        <v>97</v>
      </c>
      <c r="G5077" s="9">
        <v>1047</v>
      </c>
      <c r="H5077" s="5" t="s">
        <v>20</v>
      </c>
      <c r="I5077" s="5" t="s">
        <v>11611</v>
      </c>
      <c r="J5077" s="12" t="str">
        <f>HYPERLINK("https://www.boe.es/gazeta/dias/1805/12/03/pdfs/GMD-1805-97.pdf#page=11","Abrir facsímil")</f>
        <v>Abrir facsímil</v>
      </c>
      <c r="K5077" s="15" t="s">
        <v>22</v>
      </c>
    </row>
    <row r="5078" spans="1:11" ht="42" customHeight="1">
      <c r="A5078" s="4" t="s">
        <v>11612</v>
      </c>
      <c r="B5078" s="5" t="s">
        <v>11613</v>
      </c>
      <c r="C5078" s="5" t="s">
        <v>17</v>
      </c>
      <c r="D5078" s="5" t="s">
        <v>18</v>
      </c>
      <c r="E5078" s="5" t="s">
        <v>120</v>
      </c>
      <c r="F5078" s="9">
        <v>24</v>
      </c>
      <c r="G5078" s="9">
        <v>258</v>
      </c>
      <c r="H5078" s="5" t="s">
        <v>20</v>
      </c>
      <c r="I5078" s="5" t="s">
        <v>11614</v>
      </c>
      <c r="J5078" s="12" t="str">
        <f>HYPERLINK("https://www.boe.es/gazeta/dias/1805/03/22/pdfs/GMD-1805-24.pdf#page=10","Abrir facsímil")</f>
        <v>Abrir facsímil</v>
      </c>
      <c r="K5078" s="15" t="s">
        <v>22</v>
      </c>
    </row>
    <row r="5079" spans="1:11" ht="42" customHeight="1">
      <c r="A5079" s="4" t="s">
        <v>11612</v>
      </c>
      <c r="B5079" s="5" t="s">
        <v>11613</v>
      </c>
      <c r="C5079" s="5" t="s">
        <v>17</v>
      </c>
      <c r="D5079" s="5" t="s">
        <v>18</v>
      </c>
      <c r="E5079" s="5" t="s">
        <v>958</v>
      </c>
      <c r="F5079" s="9">
        <v>58</v>
      </c>
      <c r="G5079" s="9">
        <v>621</v>
      </c>
      <c r="H5079" s="5" t="s">
        <v>20</v>
      </c>
      <c r="I5079" s="5" t="s">
        <v>11615</v>
      </c>
      <c r="J5079" s="12" t="str">
        <f>HYPERLINK("https://www.boe.es/gazeta/dias/1805/07/19/pdfs/GMD-1805-58.pdf#page=5","Abrir facsímil")</f>
        <v>Abrir facsímil</v>
      </c>
      <c r="K5079" s="15" t="s">
        <v>22</v>
      </c>
    </row>
    <row r="5080" spans="1:11" ht="42" customHeight="1">
      <c r="A5080" s="4" t="s">
        <v>11612</v>
      </c>
      <c r="B5080" s="5" t="s">
        <v>11613</v>
      </c>
      <c r="C5080" s="5" t="s">
        <v>17</v>
      </c>
      <c r="D5080" s="5" t="s">
        <v>18</v>
      </c>
      <c r="E5080" s="5" t="s">
        <v>886</v>
      </c>
      <c r="F5080" s="9">
        <v>93</v>
      </c>
      <c r="G5080" s="9">
        <v>1000</v>
      </c>
      <c r="H5080" s="5" t="s">
        <v>20</v>
      </c>
      <c r="I5080" s="5" t="s">
        <v>11616</v>
      </c>
      <c r="J5080" s="12" t="str">
        <f>HYPERLINK("https://www.boe.es/gazeta/dias/1805/11/19/pdfs/GMD-1805-93.pdf#page=12","Abrir facsímil")</f>
        <v>Abrir facsímil</v>
      </c>
      <c r="K5080" s="15" t="s">
        <v>22</v>
      </c>
    </row>
    <row r="5081" spans="1:11" ht="42" customHeight="1">
      <c r="A5081" s="4" t="s">
        <v>11617</v>
      </c>
      <c r="B5081" s="5" t="s">
        <v>11618</v>
      </c>
      <c r="C5081" s="5" t="s">
        <v>85</v>
      </c>
      <c r="D5081" s="5" t="s">
        <v>86</v>
      </c>
      <c r="E5081" s="5" t="s">
        <v>217</v>
      </c>
      <c r="F5081" s="9">
        <v>96</v>
      </c>
      <c r="G5081" s="9">
        <v>1029</v>
      </c>
      <c r="H5081" s="5" t="s">
        <v>20</v>
      </c>
      <c r="I5081" s="5" t="s">
        <v>11619</v>
      </c>
      <c r="J5081" s="12" t="str">
        <f>HYPERLINK("https://www.boe.es/gazeta/dias/1805/11/29/pdfs/GMD-1805-96.pdf#page=5","Abrir facsímil")</f>
        <v>Abrir facsímil</v>
      </c>
      <c r="K5081" s="15" t="s">
        <v>22</v>
      </c>
    </row>
    <row r="5082" spans="1:11" ht="42" customHeight="1">
      <c r="A5082" s="4" t="s">
        <v>11620</v>
      </c>
      <c r="B5082" s="5" t="s">
        <v>11621</v>
      </c>
      <c r="C5082" s="5" t="s">
        <v>35</v>
      </c>
      <c r="D5082" s="5" t="s">
        <v>36</v>
      </c>
      <c r="E5082" s="5" t="s">
        <v>327</v>
      </c>
      <c r="F5082" s="9">
        <v>10</v>
      </c>
      <c r="G5082" s="9">
        <v>109</v>
      </c>
      <c r="H5082" s="5" t="s">
        <v>20</v>
      </c>
      <c r="I5082" s="5" t="s">
        <v>11622</v>
      </c>
      <c r="J5082" s="12" t="str">
        <f>HYPERLINK("https://www.boe.es/gazeta/dias/1805/02/01/pdfs/GMD-1805-10.pdf#page=5","Abrir facsímil")</f>
        <v>Abrir facsímil</v>
      </c>
      <c r="K5082" s="15" t="s">
        <v>22</v>
      </c>
    </row>
    <row r="5083" spans="1:11" ht="42" customHeight="1">
      <c r="A5083" s="4" t="s">
        <v>11623</v>
      </c>
      <c r="B5083" s="5" t="s">
        <v>11624</v>
      </c>
      <c r="C5083" s="5" t="s">
        <v>85</v>
      </c>
      <c r="D5083" s="5" t="s">
        <v>86</v>
      </c>
      <c r="E5083" s="5" t="s">
        <v>296</v>
      </c>
      <c r="F5083" s="9">
        <v>26</v>
      </c>
      <c r="G5083" s="9">
        <v>277</v>
      </c>
      <c r="H5083" s="5" t="s">
        <v>20</v>
      </c>
      <c r="I5083" s="5" t="s">
        <v>11625</v>
      </c>
      <c r="J5083" s="12" t="str">
        <f>HYPERLINK("https://www.boe.es/gazeta/dias/1805/03/29/pdfs/GMD-1805-26.pdf#page=9","Abrir facsímil")</f>
        <v>Abrir facsímil</v>
      </c>
      <c r="K5083" s="15" t="s">
        <v>22</v>
      </c>
    </row>
    <row r="5084" spans="1:11" ht="42" customHeight="1">
      <c r="A5084" s="4" t="s">
        <v>11626</v>
      </c>
      <c r="B5084" s="5" t="s">
        <v>11627</v>
      </c>
      <c r="C5084" s="5" t="s">
        <v>35</v>
      </c>
      <c r="D5084" s="5" t="s">
        <v>36</v>
      </c>
      <c r="E5084" s="5" t="s">
        <v>63</v>
      </c>
      <c r="F5084" s="9">
        <v>101</v>
      </c>
      <c r="G5084" s="9">
        <v>1091</v>
      </c>
      <c r="H5084" s="5" t="s">
        <v>20</v>
      </c>
      <c r="I5084" s="5" t="s">
        <v>11628</v>
      </c>
      <c r="J5084" s="12" t="str">
        <f>HYPERLINK("https://www.boe.es/gazeta/dias/1805/12/17/pdfs/GMD-1805-101.pdf#page=7","Abrir facsímil")</f>
        <v>Abrir facsímil</v>
      </c>
      <c r="K5084" s="15" t="s">
        <v>22</v>
      </c>
    </row>
    <row r="5085" spans="1:11" ht="42" customHeight="1">
      <c r="A5085" s="4" t="s">
        <v>11629</v>
      </c>
      <c r="B5085" s="5" t="s">
        <v>11630</v>
      </c>
      <c r="C5085" s="5" t="s">
        <v>184</v>
      </c>
      <c r="D5085" s="5" t="s">
        <v>86</v>
      </c>
      <c r="E5085" s="5" t="s">
        <v>117</v>
      </c>
      <c r="F5085" s="9">
        <v>20</v>
      </c>
      <c r="G5085" s="9">
        <v>211</v>
      </c>
      <c r="H5085" s="5" t="s">
        <v>20</v>
      </c>
      <c r="I5085" s="5" t="s">
        <v>11631</v>
      </c>
      <c r="J5085" s="12" t="str">
        <f>HYPERLINK("https://www.boe.es/gazeta/dias/1805/03/08/pdfs/GMD-1805-20.pdf#page=11","Abrir facsímil")</f>
        <v>Abrir facsímil</v>
      </c>
      <c r="K5085" s="15" t="s">
        <v>22</v>
      </c>
    </row>
    <row r="5086" spans="1:11" ht="42" customHeight="1">
      <c r="A5086" s="4" t="s">
        <v>11632</v>
      </c>
      <c r="B5086" s="5" t="s">
        <v>11633</v>
      </c>
      <c r="C5086" s="5" t="s">
        <v>17</v>
      </c>
      <c r="D5086" s="5" t="s">
        <v>18</v>
      </c>
      <c r="E5086" s="5" t="s">
        <v>63</v>
      </c>
      <c r="F5086" s="9">
        <v>101</v>
      </c>
      <c r="G5086" s="9">
        <v>1093</v>
      </c>
      <c r="H5086" s="5" t="s">
        <v>20</v>
      </c>
      <c r="I5086" s="5" t="s">
        <v>11634</v>
      </c>
      <c r="J5086" s="12" t="str">
        <f>HYPERLINK("https://www.boe.es/gazeta/dias/1805/12/17/pdfs/GMD-1805-101.pdf#page=9","Abrir facsímil")</f>
        <v>Abrir facsímil</v>
      </c>
      <c r="K5086" s="15" t="s">
        <v>22</v>
      </c>
    </row>
    <row r="5087" spans="1:11" ht="42" customHeight="1">
      <c r="A5087" s="4" t="s">
        <v>11635</v>
      </c>
      <c r="B5087" s="5" t="s">
        <v>11636</v>
      </c>
      <c r="C5087" s="5" t="s">
        <v>264</v>
      </c>
      <c r="D5087" s="5" t="s">
        <v>265</v>
      </c>
      <c r="E5087" s="5" t="s">
        <v>645</v>
      </c>
      <c r="F5087" s="9">
        <v>55</v>
      </c>
      <c r="G5087" s="9">
        <v>592</v>
      </c>
      <c r="H5087" s="5" t="s">
        <v>20</v>
      </c>
      <c r="I5087" s="5" t="s">
        <v>11637</v>
      </c>
      <c r="J5087" s="12" t="str">
        <f>HYPERLINK("https://www.boe.es/gazeta/dias/1805/07/09/pdfs/GMD-C-1805-55.pdf#page=4","Abrir facsímil")</f>
        <v>Abrir facsímil</v>
      </c>
      <c r="K5087" s="15" t="s">
        <v>22</v>
      </c>
    </row>
    <row r="5088" spans="1:11" ht="42" customHeight="1">
      <c r="A5088" s="4" t="s">
        <v>11638</v>
      </c>
      <c r="B5088" s="5" t="s">
        <v>11639</v>
      </c>
      <c r="C5088" s="5" t="s">
        <v>35</v>
      </c>
      <c r="D5088" s="5" t="s">
        <v>36</v>
      </c>
      <c r="E5088" s="5" t="s">
        <v>141</v>
      </c>
      <c r="F5088" s="9">
        <v>82</v>
      </c>
      <c r="G5088" s="9">
        <v>870</v>
      </c>
      <c r="H5088" s="5" t="s">
        <v>20</v>
      </c>
      <c r="I5088" s="5" t="s">
        <v>11640</v>
      </c>
      <c r="J5088" s="12" t="str">
        <f>HYPERLINK("https://www.boe.es/gazeta/dias/1805/10/11/pdfs/GMD-1805-82.pdf#page=10","Abrir facsímil")</f>
        <v>Abrir facsímil</v>
      </c>
      <c r="K5088" s="15" t="s">
        <v>22</v>
      </c>
    </row>
    <row r="5089" spans="1:11" ht="42" customHeight="1">
      <c r="A5089" s="4" t="s">
        <v>11641</v>
      </c>
      <c r="B5089" s="5" t="s">
        <v>11641</v>
      </c>
      <c r="C5089" s="5" t="s">
        <v>52</v>
      </c>
      <c r="D5089" s="5" t="s">
        <v>53</v>
      </c>
      <c r="E5089" s="5" t="s">
        <v>54</v>
      </c>
      <c r="F5089" s="9">
        <v>99</v>
      </c>
      <c r="G5089" s="9" t="s">
        <v>55</v>
      </c>
      <c r="H5089" s="5" t="s">
        <v>20</v>
      </c>
      <c r="I5089" s="5" t="s">
        <v>11642</v>
      </c>
      <c r="J5089" s="12" t="str">
        <f>HYPERLINK("https://www.boe.es/gazeta/dias/1805/12/10/pdfs/GMD-C-1805-99.pdf#page=4","Abrir facsímil")</f>
        <v>Abrir facsímil</v>
      </c>
      <c r="K5089" s="15" t="s">
        <v>22</v>
      </c>
    </row>
    <row r="5090" spans="1:11" ht="42" customHeight="1">
      <c r="A5090" s="4" t="s">
        <v>11643</v>
      </c>
      <c r="B5090" s="5" t="s">
        <v>11644</v>
      </c>
      <c r="C5090" s="5" t="s">
        <v>35</v>
      </c>
      <c r="D5090" s="5" t="s">
        <v>36</v>
      </c>
      <c r="E5090" s="5" t="s">
        <v>217</v>
      </c>
      <c r="F5090" s="9">
        <v>96</v>
      </c>
      <c r="G5090" s="9">
        <v>1029</v>
      </c>
      <c r="H5090" s="5" t="s">
        <v>20</v>
      </c>
      <c r="I5090" s="5" t="s">
        <v>11645</v>
      </c>
      <c r="J5090" s="12" t="str">
        <f>HYPERLINK("https://www.boe.es/gazeta/dias/1805/11/29/pdfs/GMD-1805-96.pdf#page=5","Abrir facsímil")</f>
        <v>Abrir facsímil</v>
      </c>
      <c r="K5090" s="15" t="s">
        <v>22</v>
      </c>
    </row>
    <row r="5091" spans="1:11" ht="42" customHeight="1">
      <c r="A5091" s="4" t="s">
        <v>11646</v>
      </c>
      <c r="B5091" s="5" t="s">
        <v>11646</v>
      </c>
      <c r="C5091" s="5" t="s">
        <v>80</v>
      </c>
      <c r="D5091" s="5" t="s">
        <v>81</v>
      </c>
      <c r="E5091" s="5" t="s">
        <v>303</v>
      </c>
      <c r="F5091" s="9">
        <v>57</v>
      </c>
      <c r="G5091" s="9">
        <v>608</v>
      </c>
      <c r="H5091" s="5" t="s">
        <v>20</v>
      </c>
      <c r="I5091" s="5" t="s">
        <v>11647</v>
      </c>
      <c r="J5091" s="12" t="str">
        <f>HYPERLINK("https://www.boe.es/gazeta/dias/1805/07/16/pdfs/GMD-1805-57.pdf#page=4","Abrir facsímil")</f>
        <v>Abrir facsímil</v>
      </c>
      <c r="K5091" s="15" t="s">
        <v>7058</v>
      </c>
    </row>
    <row r="5092" spans="1:11" ht="42" customHeight="1">
      <c r="A5092" s="4" t="s">
        <v>11648</v>
      </c>
      <c r="B5092" s="5" t="s">
        <v>11649</v>
      </c>
      <c r="C5092" s="5" t="s">
        <v>29</v>
      </c>
      <c r="D5092" s="5" t="s">
        <v>30</v>
      </c>
      <c r="E5092" s="5" t="s">
        <v>585</v>
      </c>
      <c r="F5092" s="9">
        <v>64</v>
      </c>
      <c r="G5092" s="9">
        <v>688</v>
      </c>
      <c r="H5092" s="5" t="s">
        <v>20</v>
      </c>
      <c r="I5092" s="5" t="s">
        <v>11650</v>
      </c>
      <c r="J5092" s="12" t="str">
        <f>HYPERLINK("https://www.boe.es/gazeta/dias/1805/08/09/pdfs/GMD-1805-64.pdf#page=12","Abrir facsímil")</f>
        <v>Abrir facsímil</v>
      </c>
      <c r="K5092" s="15" t="s">
        <v>22</v>
      </c>
    </row>
    <row r="5093" spans="1:11" ht="42" customHeight="1">
      <c r="A5093" s="4" t="s">
        <v>11648</v>
      </c>
      <c r="B5093" s="5" t="s">
        <v>11649</v>
      </c>
      <c r="C5093" s="5" t="s">
        <v>17</v>
      </c>
      <c r="D5093" s="5" t="s">
        <v>18</v>
      </c>
      <c r="E5093" s="5" t="s">
        <v>99</v>
      </c>
      <c r="F5093" s="9">
        <v>83</v>
      </c>
      <c r="G5093" s="9">
        <v>884</v>
      </c>
      <c r="H5093" s="5" t="s">
        <v>20</v>
      </c>
      <c r="I5093" s="5" t="s">
        <v>11651</v>
      </c>
      <c r="J5093" s="12" t="str">
        <f>HYPERLINK("https://www.boe.es/gazeta/dias/1805/10/15/pdfs/GMD-1805-83.pdf#page=12","Abrir facsímil")</f>
        <v>Abrir facsímil</v>
      </c>
      <c r="K5093" s="15" t="s">
        <v>22</v>
      </c>
    </row>
    <row r="5094" spans="1:11" ht="42" customHeight="1">
      <c r="A5094" s="4" t="s">
        <v>11652</v>
      </c>
      <c r="B5094" s="5" t="s">
        <v>11653</v>
      </c>
      <c r="C5094" s="5" t="s">
        <v>35</v>
      </c>
      <c r="D5094" s="5" t="s">
        <v>36</v>
      </c>
      <c r="E5094" s="5" t="s">
        <v>365</v>
      </c>
      <c r="F5094" s="9">
        <v>3</v>
      </c>
      <c r="G5094" s="9">
        <v>29</v>
      </c>
      <c r="H5094" s="5" t="s">
        <v>20</v>
      </c>
      <c r="I5094" s="5" t="s">
        <v>11654</v>
      </c>
      <c r="J5094" s="12" t="str">
        <f>HYPERLINK("https://www.boe.es/gazeta/dias/1805/01/08/pdfs/GMD-1805-3.pdf#page=5","Abrir facsímil")</f>
        <v>Abrir facsímil</v>
      </c>
      <c r="K5094" s="15" t="s">
        <v>22</v>
      </c>
    </row>
    <row r="5095" spans="1:11" ht="42" customHeight="1">
      <c r="A5095" s="4" t="s">
        <v>11655</v>
      </c>
      <c r="B5095" s="5" t="s">
        <v>11655</v>
      </c>
      <c r="C5095" s="5" t="s">
        <v>80</v>
      </c>
      <c r="D5095" s="5" t="s">
        <v>81</v>
      </c>
      <c r="E5095" s="5" t="s">
        <v>132</v>
      </c>
      <c r="F5095" s="9">
        <v>2</v>
      </c>
      <c r="G5095" s="9">
        <v>17</v>
      </c>
      <c r="H5095" s="5" t="s">
        <v>20</v>
      </c>
      <c r="I5095" s="5" t="s">
        <v>11656</v>
      </c>
      <c r="J5095" s="12" t="str">
        <f>HYPERLINK("https://www.boe.es/gazeta/dias/1805/01/04/pdfs/GMD-1805-2.pdf#page=5","Abrir facsímil")</f>
        <v>Abrir facsímil</v>
      </c>
      <c r="K5095" s="15" t="s">
        <v>22</v>
      </c>
    </row>
    <row r="5096" spans="1:11" ht="42" customHeight="1">
      <c r="A5096" s="4" t="s">
        <v>11655</v>
      </c>
      <c r="B5096" s="5" t="s">
        <v>11655</v>
      </c>
      <c r="C5096" s="5" t="s">
        <v>35</v>
      </c>
      <c r="D5096" s="5" t="s">
        <v>36</v>
      </c>
      <c r="E5096" s="5" t="s">
        <v>365</v>
      </c>
      <c r="F5096" s="9">
        <v>3</v>
      </c>
      <c r="G5096" s="9">
        <v>27</v>
      </c>
      <c r="H5096" s="5" t="s">
        <v>20</v>
      </c>
      <c r="I5096" s="5" t="s">
        <v>11657</v>
      </c>
      <c r="J5096" s="12" t="str">
        <f>HYPERLINK("https://www.boe.es/gazeta/dias/1805/01/08/pdfs/GMD-1805-3.pdf#page=3","Abrir facsímil")</f>
        <v>Abrir facsímil</v>
      </c>
      <c r="K5096" s="15" t="s">
        <v>22</v>
      </c>
    </row>
    <row r="5097" spans="1:11" ht="42" customHeight="1">
      <c r="A5097" s="4" t="s">
        <v>11655</v>
      </c>
      <c r="B5097" s="5" t="s">
        <v>11655</v>
      </c>
      <c r="C5097" s="5" t="s">
        <v>80</v>
      </c>
      <c r="D5097" s="5" t="s">
        <v>81</v>
      </c>
      <c r="E5097" s="5" t="s">
        <v>293</v>
      </c>
      <c r="F5097" s="9">
        <v>5</v>
      </c>
      <c r="G5097" s="9">
        <v>47</v>
      </c>
      <c r="H5097" s="5" t="s">
        <v>20</v>
      </c>
      <c r="I5097" s="5" t="s">
        <v>11658</v>
      </c>
      <c r="J5097" s="12" t="str">
        <f>HYPERLINK("https://www.boe.es/gazeta/dias/1805/01/15/pdfs/GMD-1805-5.pdf#page=3","Abrir facsímil")</f>
        <v>Abrir facsímil</v>
      </c>
      <c r="K5097" s="15" t="s">
        <v>22</v>
      </c>
    </row>
    <row r="5098" spans="1:11" ht="42" customHeight="1">
      <c r="A5098" s="4" t="s">
        <v>11655</v>
      </c>
      <c r="B5098" s="5" t="s">
        <v>11655</v>
      </c>
      <c r="C5098" s="5" t="s">
        <v>184</v>
      </c>
      <c r="D5098" s="5" t="s">
        <v>86</v>
      </c>
      <c r="E5098" s="5" t="s">
        <v>95</v>
      </c>
      <c r="F5098" s="9">
        <v>13</v>
      </c>
      <c r="G5098" s="9">
        <v>135</v>
      </c>
      <c r="H5098" s="5" t="s">
        <v>20</v>
      </c>
      <c r="I5098" s="5" t="s">
        <v>11659</v>
      </c>
      <c r="J5098" s="12" t="str">
        <f>HYPERLINK("https://www.boe.es/gazeta/dias/1805/02/12/pdfs/GMD-1805-13.pdf#page=3","Abrir facsímil")</f>
        <v>Abrir facsímil</v>
      </c>
      <c r="K5098" s="15" t="s">
        <v>22</v>
      </c>
    </row>
    <row r="5099" spans="1:11" ht="42" customHeight="1">
      <c r="A5099" s="4" t="s">
        <v>11655</v>
      </c>
      <c r="B5099" s="5" t="s">
        <v>11655</v>
      </c>
      <c r="C5099" s="5" t="s">
        <v>184</v>
      </c>
      <c r="D5099" s="5" t="s">
        <v>86</v>
      </c>
      <c r="E5099" s="5" t="s">
        <v>87</v>
      </c>
      <c r="F5099" s="9">
        <v>14</v>
      </c>
      <c r="G5099" s="9">
        <v>144</v>
      </c>
      <c r="H5099" s="5" t="s">
        <v>20</v>
      </c>
      <c r="I5099" s="5" t="s">
        <v>11660</v>
      </c>
      <c r="J5099" s="12" t="str">
        <f>HYPERLINK("https://www.boe.es/gazeta/dias/1805/02/15/pdfs/GMD-1805-14.pdf#page=4","Abrir facsímil")</f>
        <v>Abrir facsímil</v>
      </c>
      <c r="K5099" s="15" t="s">
        <v>22</v>
      </c>
    </row>
    <row r="5100" spans="1:11" ht="42" customHeight="1">
      <c r="A5100" s="4" t="s">
        <v>11655</v>
      </c>
      <c r="B5100" s="5" t="s">
        <v>11655</v>
      </c>
      <c r="C5100" s="5" t="s">
        <v>80</v>
      </c>
      <c r="D5100" s="5" t="s">
        <v>81</v>
      </c>
      <c r="E5100" s="5" t="s">
        <v>112</v>
      </c>
      <c r="F5100" s="9">
        <v>16</v>
      </c>
      <c r="G5100" s="9">
        <v>162</v>
      </c>
      <c r="H5100" s="5" t="s">
        <v>20</v>
      </c>
      <c r="I5100" s="5" t="s">
        <v>11661</v>
      </c>
      <c r="J5100" s="12" t="str">
        <f>HYPERLINK("https://www.boe.es/gazeta/dias/1805/02/22/pdfs/GMD-1805-16.pdf#page=2","Abrir facsímil")</f>
        <v>Abrir facsímil</v>
      </c>
      <c r="K5100" s="15" t="s">
        <v>22</v>
      </c>
    </row>
    <row r="5101" spans="1:11" ht="42" customHeight="1">
      <c r="A5101" s="4" t="s">
        <v>11655</v>
      </c>
      <c r="B5101" s="5" t="s">
        <v>11655</v>
      </c>
      <c r="C5101" s="5" t="s">
        <v>29</v>
      </c>
      <c r="D5101" s="5" t="s">
        <v>30</v>
      </c>
      <c r="E5101" s="5" t="s">
        <v>112</v>
      </c>
      <c r="F5101" s="9">
        <v>16</v>
      </c>
      <c r="G5101" s="9">
        <v>163</v>
      </c>
      <c r="H5101" s="5" t="s">
        <v>20</v>
      </c>
      <c r="I5101" s="5" t="s">
        <v>11662</v>
      </c>
      <c r="J5101" s="12" t="str">
        <f>HYPERLINK("https://www.boe.es/gazeta/dias/1805/02/22/pdfs/GMD-1805-16.pdf#page=3","Abrir facsímil")</f>
        <v>Abrir facsímil</v>
      </c>
      <c r="K5101" s="15" t="s">
        <v>22</v>
      </c>
    </row>
    <row r="5102" spans="1:11" ht="42" customHeight="1">
      <c r="A5102" s="4" t="s">
        <v>11655</v>
      </c>
      <c r="B5102" s="5" t="s">
        <v>11655</v>
      </c>
      <c r="C5102" s="5" t="s">
        <v>17</v>
      </c>
      <c r="D5102" s="5" t="s">
        <v>18</v>
      </c>
      <c r="E5102" s="5" t="s">
        <v>114</v>
      </c>
      <c r="F5102" s="9">
        <v>17</v>
      </c>
      <c r="G5102" s="9">
        <v>171</v>
      </c>
      <c r="H5102" s="5" t="s">
        <v>20</v>
      </c>
      <c r="I5102" s="5" t="s">
        <v>11663</v>
      </c>
      <c r="J5102" s="12" t="str">
        <f>HYPERLINK("https://www.boe.es/gazeta/dias/1805/02/26/pdfs/GMD-1805-17.pdf#page=3","Abrir facsímil")</f>
        <v>Abrir facsímil</v>
      </c>
      <c r="K5102" s="15" t="s">
        <v>22</v>
      </c>
    </row>
    <row r="5103" spans="1:11" ht="42" customHeight="1">
      <c r="A5103" s="4" t="s">
        <v>11655</v>
      </c>
      <c r="B5103" s="5" t="s">
        <v>11655</v>
      </c>
      <c r="C5103" s="5" t="s">
        <v>17</v>
      </c>
      <c r="D5103" s="5" t="s">
        <v>18</v>
      </c>
      <c r="E5103" s="5" t="s">
        <v>114</v>
      </c>
      <c r="F5103" s="9">
        <v>17</v>
      </c>
      <c r="G5103" s="9">
        <v>172</v>
      </c>
      <c r="H5103" s="5" t="s">
        <v>20</v>
      </c>
      <c r="I5103" s="5" t="s">
        <v>11664</v>
      </c>
      <c r="J5103" s="12" t="str">
        <f>HYPERLINK("https://www.boe.es/gazeta/dias/1805/02/26/pdfs/GMD-1805-17.pdf#page=4","Abrir facsímil")</f>
        <v>Abrir facsímil</v>
      </c>
      <c r="K5103" s="15" t="s">
        <v>22</v>
      </c>
    </row>
    <row r="5104" spans="1:11" ht="42" customHeight="1">
      <c r="A5104" s="4" t="s">
        <v>11655</v>
      </c>
      <c r="B5104" s="5" t="s">
        <v>11655</v>
      </c>
      <c r="C5104" s="5" t="s">
        <v>17</v>
      </c>
      <c r="D5104" s="5" t="s">
        <v>18</v>
      </c>
      <c r="E5104" s="5" t="s">
        <v>107</v>
      </c>
      <c r="F5104" s="9">
        <v>19</v>
      </c>
      <c r="G5104" s="9">
        <v>189</v>
      </c>
      <c r="H5104" s="5" t="s">
        <v>20</v>
      </c>
      <c r="I5104" s="5" t="s">
        <v>11665</v>
      </c>
      <c r="J5104" s="12" t="str">
        <f>HYPERLINK("https://www.boe.es/gazeta/dias/1805/03/05/pdfs/GMD-1805-19.pdf#page=1","Abrir facsímil")</f>
        <v>Abrir facsímil</v>
      </c>
      <c r="K5104" s="15" t="s">
        <v>22</v>
      </c>
    </row>
    <row r="5105" spans="1:11" ht="42" customHeight="1">
      <c r="A5105" s="4" t="s">
        <v>11655</v>
      </c>
      <c r="B5105" s="5" t="s">
        <v>11655</v>
      </c>
      <c r="C5105" s="5" t="s">
        <v>17</v>
      </c>
      <c r="D5105" s="5" t="s">
        <v>18</v>
      </c>
      <c r="E5105" s="5" t="s">
        <v>107</v>
      </c>
      <c r="F5105" s="9">
        <v>19</v>
      </c>
      <c r="G5105" s="9">
        <v>193</v>
      </c>
      <c r="H5105" s="5" t="s">
        <v>20</v>
      </c>
      <c r="I5105" s="5" t="s">
        <v>11666</v>
      </c>
      <c r="J5105" s="12" t="str">
        <f>HYPERLINK("https://www.boe.es/gazeta/dias/1805/03/05/pdfs/GMD-1805-19.pdf#page=5","Abrir facsímil")</f>
        <v>Abrir facsímil</v>
      </c>
      <c r="K5105" s="15" t="s">
        <v>22</v>
      </c>
    </row>
    <row r="5106" spans="1:11" ht="42" customHeight="1">
      <c r="A5106" s="4" t="s">
        <v>11655</v>
      </c>
      <c r="B5106" s="5" t="s">
        <v>11655</v>
      </c>
      <c r="C5106" s="5" t="s">
        <v>17</v>
      </c>
      <c r="D5106" s="5" t="s">
        <v>18</v>
      </c>
      <c r="E5106" s="5" t="s">
        <v>117</v>
      </c>
      <c r="F5106" s="9">
        <v>20</v>
      </c>
      <c r="G5106" s="9">
        <v>205</v>
      </c>
      <c r="H5106" s="5" t="s">
        <v>20</v>
      </c>
      <c r="I5106" s="5" t="s">
        <v>11667</v>
      </c>
      <c r="J5106" s="12" t="str">
        <f>HYPERLINK("https://www.boe.es/gazeta/dias/1805/03/08/pdfs/GMD-1805-20.pdf#page=5","Abrir facsímil")</f>
        <v>Abrir facsímil</v>
      </c>
      <c r="K5106" s="15" t="s">
        <v>22</v>
      </c>
    </row>
    <row r="5107" spans="1:11" ht="42" customHeight="1">
      <c r="A5107" s="4" t="s">
        <v>11655</v>
      </c>
      <c r="B5107" s="5" t="s">
        <v>11655</v>
      </c>
      <c r="C5107" s="5" t="s">
        <v>17</v>
      </c>
      <c r="D5107" s="5" t="s">
        <v>18</v>
      </c>
      <c r="E5107" s="5" t="s">
        <v>128</v>
      </c>
      <c r="F5107" s="9">
        <v>23</v>
      </c>
      <c r="G5107" s="9">
        <v>239</v>
      </c>
      <c r="H5107" s="5" t="s">
        <v>20</v>
      </c>
      <c r="I5107" s="5" t="s">
        <v>11668</v>
      </c>
      <c r="J5107" s="12" t="str">
        <f>HYPERLINK("https://www.boe.es/gazeta/dias/1805/03/19/pdfs/GMD-1805-23.pdf#page=3","Abrir facsímil")</f>
        <v>Abrir facsímil</v>
      </c>
      <c r="K5107" s="15" t="s">
        <v>22</v>
      </c>
    </row>
    <row r="5108" spans="1:11" ht="42" customHeight="1">
      <c r="A5108" s="4" t="s">
        <v>11655</v>
      </c>
      <c r="B5108" s="5" t="s">
        <v>11655</v>
      </c>
      <c r="C5108" s="5" t="s">
        <v>17</v>
      </c>
      <c r="D5108" s="5" t="s">
        <v>18</v>
      </c>
      <c r="E5108" s="5" t="s">
        <v>120</v>
      </c>
      <c r="F5108" s="9">
        <v>24</v>
      </c>
      <c r="G5108" s="9">
        <v>250</v>
      </c>
      <c r="H5108" s="5" t="s">
        <v>20</v>
      </c>
      <c r="I5108" s="5" t="s">
        <v>11669</v>
      </c>
      <c r="J5108" s="12" t="str">
        <f>HYPERLINK("https://www.boe.es/gazeta/dias/1805/03/22/pdfs/GMD-1805-24.pdf#page=2","Abrir facsímil")</f>
        <v>Abrir facsímil</v>
      </c>
      <c r="K5108" s="15" t="s">
        <v>22</v>
      </c>
    </row>
    <row r="5109" spans="1:11" ht="42" customHeight="1">
      <c r="A5109" s="4" t="s">
        <v>11655</v>
      </c>
      <c r="B5109" s="5" t="s">
        <v>11655</v>
      </c>
      <c r="C5109" s="5" t="s">
        <v>17</v>
      </c>
      <c r="D5109" s="5" t="s">
        <v>18</v>
      </c>
      <c r="E5109" s="5" t="s">
        <v>120</v>
      </c>
      <c r="F5109" s="9">
        <v>24</v>
      </c>
      <c r="G5109" s="9">
        <v>251</v>
      </c>
      <c r="H5109" s="5" t="s">
        <v>20</v>
      </c>
      <c r="I5109" s="5" t="s">
        <v>11670</v>
      </c>
      <c r="J5109" s="12" t="str">
        <f>HYPERLINK("https://www.boe.es/gazeta/dias/1805/03/22/pdfs/GMD-1805-24.pdf#page=3","Abrir facsímil")</f>
        <v>Abrir facsímil</v>
      </c>
      <c r="K5109" s="15" t="s">
        <v>22</v>
      </c>
    </row>
    <row r="5110" spans="1:11" ht="42" customHeight="1">
      <c r="A5110" s="4" t="s">
        <v>11655</v>
      </c>
      <c r="B5110" s="5" t="s">
        <v>11655</v>
      </c>
      <c r="C5110" s="5" t="s">
        <v>80</v>
      </c>
      <c r="D5110" s="5" t="s">
        <v>81</v>
      </c>
      <c r="E5110" s="5" t="s">
        <v>82</v>
      </c>
      <c r="F5110" s="9">
        <v>25</v>
      </c>
      <c r="G5110" s="9">
        <v>265</v>
      </c>
      <c r="H5110" s="5" t="s">
        <v>20</v>
      </c>
      <c r="I5110" s="5" t="s">
        <v>11671</v>
      </c>
      <c r="J5110" s="12" t="str">
        <f>HYPERLINK("https://www.boe.es/gazeta/dias/1805/03/26/pdfs/GMD-1805-25.pdf#page=5","Abrir facsímil")</f>
        <v>Abrir facsímil</v>
      </c>
      <c r="K5110" s="15" t="s">
        <v>22</v>
      </c>
    </row>
    <row r="5111" spans="1:11" ht="42" customHeight="1">
      <c r="A5111" s="4" t="s">
        <v>11655</v>
      </c>
      <c r="B5111" s="5" t="s">
        <v>11655</v>
      </c>
      <c r="C5111" s="5" t="s">
        <v>80</v>
      </c>
      <c r="D5111" s="5" t="s">
        <v>81</v>
      </c>
      <c r="E5111" s="5" t="s">
        <v>91</v>
      </c>
      <c r="F5111" s="9">
        <v>28</v>
      </c>
      <c r="G5111" s="9">
        <v>296</v>
      </c>
      <c r="H5111" s="5" t="s">
        <v>20</v>
      </c>
      <c r="I5111" s="5" t="s">
        <v>11672</v>
      </c>
      <c r="J5111" s="12" t="str">
        <f>HYPERLINK("https://www.boe.es/gazeta/dias/1805/04/05/pdfs/GMD-1805-28.pdf#page=4","Abrir facsímil")</f>
        <v>Abrir facsímil</v>
      </c>
      <c r="K5111" s="15" t="s">
        <v>22</v>
      </c>
    </row>
    <row r="5112" spans="1:11" ht="42" customHeight="1">
      <c r="A5112" s="4" t="s">
        <v>11655</v>
      </c>
      <c r="B5112" s="5" t="s">
        <v>11655</v>
      </c>
      <c r="C5112" s="5" t="s">
        <v>17</v>
      </c>
      <c r="D5112" s="5" t="s">
        <v>18</v>
      </c>
      <c r="E5112" s="5" t="s">
        <v>91</v>
      </c>
      <c r="F5112" s="9">
        <v>28</v>
      </c>
      <c r="G5112" s="9">
        <v>297</v>
      </c>
      <c r="H5112" s="5" t="s">
        <v>20</v>
      </c>
      <c r="I5112" s="5" t="s">
        <v>11673</v>
      </c>
      <c r="J5112" s="12" t="str">
        <f>HYPERLINK("https://www.boe.es/gazeta/dias/1805/04/05/pdfs/GMD-1805-28.pdf#page=5","Abrir facsímil")</f>
        <v>Abrir facsímil</v>
      </c>
      <c r="K5112" s="15" t="s">
        <v>22</v>
      </c>
    </row>
    <row r="5113" spans="1:11" ht="42" customHeight="1">
      <c r="A5113" s="4" t="s">
        <v>11655</v>
      </c>
      <c r="B5113" s="5" t="s">
        <v>11655</v>
      </c>
      <c r="C5113" s="5" t="s">
        <v>184</v>
      </c>
      <c r="D5113" s="5" t="s">
        <v>86</v>
      </c>
      <c r="E5113" s="5" t="s">
        <v>1494</v>
      </c>
      <c r="F5113" s="9">
        <v>31</v>
      </c>
      <c r="G5113" s="9">
        <v>328</v>
      </c>
      <c r="H5113" s="5" t="s">
        <v>20</v>
      </c>
      <c r="I5113" s="5" t="s">
        <v>11674</v>
      </c>
      <c r="J5113" s="12" t="str">
        <f>HYPERLINK("https://www.boe.es/gazeta/dias/1805/04/16/pdfs/GMD-1805-31.pdf#page=4","Abrir facsímil")</f>
        <v>Abrir facsímil</v>
      </c>
      <c r="K5113" s="15" t="s">
        <v>22</v>
      </c>
    </row>
    <row r="5114" spans="1:11" ht="42" customHeight="1">
      <c r="A5114" s="4" t="s">
        <v>11655</v>
      </c>
      <c r="B5114" s="5" t="s">
        <v>11655</v>
      </c>
      <c r="C5114" s="5" t="s">
        <v>80</v>
      </c>
      <c r="D5114" s="5" t="s">
        <v>81</v>
      </c>
      <c r="E5114" s="5" t="s">
        <v>1494</v>
      </c>
      <c r="F5114" s="9">
        <v>31</v>
      </c>
      <c r="G5114" s="9">
        <v>329</v>
      </c>
      <c r="H5114" s="5" t="s">
        <v>20</v>
      </c>
      <c r="I5114" s="5" t="s">
        <v>11675</v>
      </c>
      <c r="J5114" s="12" t="str">
        <f>HYPERLINK("https://www.boe.es/gazeta/dias/1805/04/16/pdfs/GMD-1805-31.pdf#page=5","Abrir facsímil")</f>
        <v>Abrir facsímil</v>
      </c>
      <c r="K5114" s="15" t="s">
        <v>22</v>
      </c>
    </row>
    <row r="5115" spans="1:11" ht="42" customHeight="1">
      <c r="A5115" s="4" t="s">
        <v>11655</v>
      </c>
      <c r="B5115" s="5" t="s">
        <v>11655</v>
      </c>
      <c r="C5115" s="5" t="s">
        <v>80</v>
      </c>
      <c r="D5115" s="5" t="s">
        <v>81</v>
      </c>
      <c r="E5115" s="5" t="s">
        <v>673</v>
      </c>
      <c r="F5115" s="9">
        <v>32</v>
      </c>
      <c r="G5115" s="9">
        <v>340</v>
      </c>
      <c r="H5115" s="5" t="s">
        <v>20</v>
      </c>
      <c r="I5115" s="5" t="s">
        <v>11676</v>
      </c>
      <c r="J5115" s="12" t="str">
        <f>HYPERLINK("https://www.boe.es/gazeta/dias/1805/04/19/pdfs/GMD-1805-32.pdf#page=4","Abrir facsímil")</f>
        <v>Abrir facsímil</v>
      </c>
      <c r="K5115" s="15" t="s">
        <v>22</v>
      </c>
    </row>
    <row r="5116" spans="1:11" ht="42" customHeight="1">
      <c r="A5116" s="4" t="s">
        <v>11655</v>
      </c>
      <c r="B5116" s="5" t="s">
        <v>11655</v>
      </c>
      <c r="C5116" s="5" t="s">
        <v>80</v>
      </c>
      <c r="D5116" s="5" t="s">
        <v>81</v>
      </c>
      <c r="E5116" s="5" t="s">
        <v>673</v>
      </c>
      <c r="F5116" s="9">
        <v>32</v>
      </c>
      <c r="G5116" s="9">
        <v>341</v>
      </c>
      <c r="H5116" s="5" t="s">
        <v>20</v>
      </c>
      <c r="I5116" s="5" t="s">
        <v>11677</v>
      </c>
      <c r="J5116" s="12" t="str">
        <f>HYPERLINK("https://www.boe.es/gazeta/dias/1805/04/19/pdfs/GMD-1805-32.pdf#page=5","Abrir facsímil")</f>
        <v>Abrir facsímil</v>
      </c>
      <c r="K5116" s="15" t="s">
        <v>22</v>
      </c>
    </row>
    <row r="5117" spans="1:11" ht="42" customHeight="1">
      <c r="A5117" s="4" t="s">
        <v>11655</v>
      </c>
      <c r="B5117" s="5" t="s">
        <v>11655</v>
      </c>
      <c r="C5117" s="5" t="s">
        <v>80</v>
      </c>
      <c r="D5117" s="5" t="s">
        <v>81</v>
      </c>
      <c r="E5117" s="5" t="s">
        <v>48</v>
      </c>
      <c r="F5117" s="9">
        <v>35</v>
      </c>
      <c r="G5117" s="9">
        <v>373</v>
      </c>
      <c r="H5117" s="5" t="s">
        <v>20</v>
      </c>
      <c r="I5117" s="5" t="s">
        <v>11678</v>
      </c>
      <c r="J5117" s="12" t="str">
        <f>HYPERLINK("https://www.boe.es/gazeta/dias/1805/04/30/pdfs/GMD-1805-35.pdf#page=5","Abrir facsímil")</f>
        <v>Abrir facsímil</v>
      </c>
      <c r="K5117" s="15" t="s">
        <v>22</v>
      </c>
    </row>
    <row r="5118" spans="1:11" ht="42" customHeight="1">
      <c r="A5118" s="4" t="s">
        <v>11655</v>
      </c>
      <c r="B5118" s="5" t="s">
        <v>11655</v>
      </c>
      <c r="C5118" s="5" t="s">
        <v>80</v>
      </c>
      <c r="D5118" s="5" t="s">
        <v>81</v>
      </c>
      <c r="E5118" s="5" t="s">
        <v>290</v>
      </c>
      <c r="F5118" s="9">
        <v>36</v>
      </c>
      <c r="G5118" s="9">
        <v>384</v>
      </c>
      <c r="H5118" s="5" t="s">
        <v>20</v>
      </c>
      <c r="I5118" s="5" t="s">
        <v>11679</v>
      </c>
      <c r="J5118" s="12" t="str">
        <f>HYPERLINK("https://www.boe.es/gazeta/dias/1805/05/03/pdfs/GMD-1805-36.pdf#page=4","Abrir facsímil")</f>
        <v>Abrir facsímil</v>
      </c>
      <c r="K5118" s="15" t="s">
        <v>22</v>
      </c>
    </row>
    <row r="5119" spans="1:11" ht="42" customHeight="1">
      <c r="A5119" s="4" t="s">
        <v>11655</v>
      </c>
      <c r="B5119" s="5" t="s">
        <v>11655</v>
      </c>
      <c r="C5119" s="5" t="s">
        <v>35</v>
      </c>
      <c r="D5119" s="5" t="s">
        <v>36</v>
      </c>
      <c r="E5119" s="5" t="s">
        <v>27</v>
      </c>
      <c r="F5119" s="9">
        <v>37</v>
      </c>
      <c r="G5119" s="9">
        <v>398</v>
      </c>
      <c r="H5119" s="5" t="s">
        <v>20</v>
      </c>
      <c r="I5119" s="5" t="s">
        <v>11680</v>
      </c>
      <c r="J5119" s="12" t="str">
        <f>HYPERLINK("https://www.boe.es/gazeta/dias/1805/05/07/pdfs/GMD-1805-37.pdf#page=6","Abrir facsímil")</f>
        <v>Abrir facsímil</v>
      </c>
      <c r="K5119" s="15" t="s">
        <v>22</v>
      </c>
    </row>
    <row r="5120" spans="1:11" ht="42" customHeight="1">
      <c r="A5120" s="4" t="s">
        <v>11655</v>
      </c>
      <c r="B5120" s="5" t="s">
        <v>11655</v>
      </c>
      <c r="C5120" s="5" t="s">
        <v>80</v>
      </c>
      <c r="D5120" s="5" t="s">
        <v>81</v>
      </c>
      <c r="E5120" s="5" t="s">
        <v>122</v>
      </c>
      <c r="F5120" s="9">
        <v>38</v>
      </c>
      <c r="G5120" s="9">
        <v>407</v>
      </c>
      <c r="H5120" s="5" t="s">
        <v>20</v>
      </c>
      <c r="I5120" s="5" t="s">
        <v>11681</v>
      </c>
      <c r="J5120" s="12" t="str">
        <f>HYPERLINK("https://www.boe.es/gazeta/dias/1805/05/10/pdfs/GMD-1805-38.pdf#page=3","Abrir facsímil")</f>
        <v>Abrir facsímil</v>
      </c>
      <c r="K5120" s="15" t="s">
        <v>22</v>
      </c>
    </row>
    <row r="5121" spans="1:11" ht="42" customHeight="1">
      <c r="A5121" s="4" t="s">
        <v>11655</v>
      </c>
      <c r="B5121" s="5" t="s">
        <v>11655</v>
      </c>
      <c r="C5121" s="5" t="s">
        <v>80</v>
      </c>
      <c r="D5121" s="5" t="s">
        <v>81</v>
      </c>
      <c r="E5121" s="5" t="s">
        <v>122</v>
      </c>
      <c r="F5121" s="9">
        <v>38</v>
      </c>
      <c r="G5121" s="9">
        <v>408</v>
      </c>
      <c r="H5121" s="5" t="s">
        <v>20</v>
      </c>
      <c r="I5121" s="5" t="s">
        <v>11682</v>
      </c>
      <c r="J5121" s="12" t="str">
        <f>HYPERLINK("https://www.boe.es/gazeta/dias/1805/05/10/pdfs/GMD-1805-38.pdf#page=4","Abrir facsímil")</f>
        <v>Abrir facsímil</v>
      </c>
      <c r="K5121" s="15" t="s">
        <v>22</v>
      </c>
    </row>
    <row r="5122" spans="1:11" ht="42" customHeight="1">
      <c r="A5122" s="4" t="s">
        <v>11655</v>
      </c>
      <c r="B5122" s="5" t="s">
        <v>11655</v>
      </c>
      <c r="C5122" s="5" t="s">
        <v>35</v>
      </c>
      <c r="D5122" s="5" t="s">
        <v>36</v>
      </c>
      <c r="E5122" s="5" t="s">
        <v>1221</v>
      </c>
      <c r="F5122" s="9">
        <v>41</v>
      </c>
      <c r="G5122" s="9">
        <v>437</v>
      </c>
      <c r="H5122" s="5" t="s">
        <v>20</v>
      </c>
      <c r="I5122" s="5" t="s">
        <v>11683</v>
      </c>
      <c r="J5122" s="12" t="str">
        <f>HYPERLINK("https://www.boe.es/gazeta/dias/1805/05/21/pdfs/GMD-1805-41.pdf#page=5","Abrir facsímil")</f>
        <v>Abrir facsímil</v>
      </c>
      <c r="K5122" s="15" t="s">
        <v>22</v>
      </c>
    </row>
    <row r="5123" spans="1:11" ht="42" customHeight="1">
      <c r="A5123" s="4" t="s">
        <v>11655</v>
      </c>
      <c r="B5123" s="5" t="s">
        <v>11655</v>
      </c>
      <c r="C5123" s="5" t="s">
        <v>17</v>
      </c>
      <c r="D5123" s="5" t="s">
        <v>18</v>
      </c>
      <c r="E5123" s="5" t="s">
        <v>850</v>
      </c>
      <c r="F5123" s="9">
        <v>42</v>
      </c>
      <c r="G5123" s="9">
        <v>448</v>
      </c>
      <c r="H5123" s="5" t="s">
        <v>20</v>
      </c>
      <c r="I5123" s="5" t="s">
        <v>11684</v>
      </c>
      <c r="J5123" s="12" t="str">
        <f>HYPERLINK("https://www.boe.es/gazeta/dias/1805/05/24/pdfs/GMD-1805-42.pdf#page=4","Abrir facsímil")</f>
        <v>Abrir facsímil</v>
      </c>
      <c r="K5123" s="15" t="s">
        <v>22</v>
      </c>
    </row>
    <row r="5124" spans="1:11" ht="42" customHeight="1">
      <c r="A5124" s="4" t="s">
        <v>11655</v>
      </c>
      <c r="B5124" s="5" t="s">
        <v>11655</v>
      </c>
      <c r="C5124" s="5" t="s">
        <v>17</v>
      </c>
      <c r="D5124" s="5" t="s">
        <v>18</v>
      </c>
      <c r="E5124" s="5" t="s">
        <v>1292</v>
      </c>
      <c r="F5124" s="9">
        <v>43</v>
      </c>
      <c r="G5124" s="9">
        <v>459</v>
      </c>
      <c r="H5124" s="5" t="s">
        <v>20</v>
      </c>
      <c r="I5124" s="5" t="s">
        <v>11685</v>
      </c>
      <c r="J5124" s="12" t="str">
        <f>HYPERLINK("https://www.boe.es/gazeta/dias/1805/05/28/pdfs/GMD-1805-43.pdf#page=3","Abrir facsímil")</f>
        <v>Abrir facsímil</v>
      </c>
      <c r="K5124" s="15" t="s">
        <v>22</v>
      </c>
    </row>
    <row r="5125" spans="1:11" ht="42" customHeight="1">
      <c r="A5125" s="4" t="s">
        <v>11655</v>
      </c>
      <c r="B5125" s="5" t="s">
        <v>11655</v>
      </c>
      <c r="C5125" s="5" t="s">
        <v>80</v>
      </c>
      <c r="D5125" s="5" t="s">
        <v>81</v>
      </c>
      <c r="E5125" s="5" t="s">
        <v>733</v>
      </c>
      <c r="F5125" s="9">
        <v>45</v>
      </c>
      <c r="G5125" s="9">
        <v>481</v>
      </c>
      <c r="H5125" s="5" t="s">
        <v>20</v>
      </c>
      <c r="I5125" s="5" t="s">
        <v>11686</v>
      </c>
      <c r="J5125" s="12" t="str">
        <f>HYPERLINK("https://www.boe.es/gazeta/dias/1805/06/04/pdfs/GMD-1805-45.pdf#page=5","Abrir facsímil")</f>
        <v>Abrir facsímil</v>
      </c>
      <c r="K5125" s="15" t="s">
        <v>22</v>
      </c>
    </row>
    <row r="5126" spans="1:11" ht="42" customHeight="1">
      <c r="A5126" s="4" t="s">
        <v>11655</v>
      </c>
      <c r="B5126" s="5" t="s">
        <v>11655</v>
      </c>
      <c r="C5126" s="5" t="s">
        <v>35</v>
      </c>
      <c r="D5126" s="5" t="s">
        <v>36</v>
      </c>
      <c r="E5126" s="5" t="s">
        <v>904</v>
      </c>
      <c r="F5126" s="9">
        <v>47</v>
      </c>
      <c r="G5126" s="9">
        <v>505</v>
      </c>
      <c r="H5126" s="5" t="s">
        <v>20</v>
      </c>
      <c r="I5126" s="5" t="s">
        <v>11687</v>
      </c>
      <c r="J5126" s="12" t="str">
        <f>HYPERLINK("https://www.boe.es/gazeta/dias/1805/06/11/pdfs/GMD-1805-47.pdf#page=5","Abrir facsímil")</f>
        <v>Abrir facsímil</v>
      </c>
      <c r="K5126" s="15" t="s">
        <v>22</v>
      </c>
    </row>
    <row r="5127" spans="1:11" ht="42" customHeight="1">
      <c r="A5127" s="4" t="s">
        <v>11655</v>
      </c>
      <c r="B5127" s="5" t="s">
        <v>11655</v>
      </c>
      <c r="C5127" s="5" t="s">
        <v>80</v>
      </c>
      <c r="D5127" s="5" t="s">
        <v>81</v>
      </c>
      <c r="E5127" s="5" t="s">
        <v>148</v>
      </c>
      <c r="F5127" s="9">
        <v>50</v>
      </c>
      <c r="G5127" s="9">
        <v>537</v>
      </c>
      <c r="H5127" s="5" t="s">
        <v>20</v>
      </c>
      <c r="I5127" s="5" t="s">
        <v>11688</v>
      </c>
      <c r="J5127" s="12" t="str">
        <f>HYPERLINK("https://www.boe.es/gazeta/dias/1805/06/21/pdfs/GMD-1805-50.pdf#page=5","Abrir facsímil")</f>
        <v>Abrir facsímil</v>
      </c>
      <c r="K5127" s="15" t="s">
        <v>22</v>
      </c>
    </row>
    <row r="5128" spans="1:11" ht="42" customHeight="1">
      <c r="A5128" s="4" t="s">
        <v>11655</v>
      </c>
      <c r="B5128" s="5" t="s">
        <v>11655</v>
      </c>
      <c r="C5128" s="5" t="s">
        <v>80</v>
      </c>
      <c r="D5128" s="5" t="s">
        <v>81</v>
      </c>
      <c r="E5128" s="5" t="s">
        <v>1022</v>
      </c>
      <c r="F5128" s="9">
        <v>52</v>
      </c>
      <c r="G5128" s="9">
        <v>556</v>
      </c>
      <c r="H5128" s="5" t="s">
        <v>20</v>
      </c>
      <c r="I5128" s="5" t="s">
        <v>11689</v>
      </c>
      <c r="J5128" s="12" t="str">
        <f>HYPERLINK("https://www.boe.es/gazeta/dias/1805/06/28/pdfs/GMD-1805-52.pdf#page=4","Abrir facsímil")</f>
        <v>Abrir facsímil</v>
      </c>
      <c r="K5128" s="15" t="s">
        <v>22</v>
      </c>
    </row>
    <row r="5129" spans="1:11" ht="42" customHeight="1">
      <c r="A5129" s="4" t="s">
        <v>11655</v>
      </c>
      <c r="B5129" s="5" t="s">
        <v>11655</v>
      </c>
      <c r="C5129" s="5" t="s">
        <v>80</v>
      </c>
      <c r="D5129" s="5" t="s">
        <v>81</v>
      </c>
      <c r="E5129" s="5" t="s">
        <v>303</v>
      </c>
      <c r="F5129" s="9">
        <v>57</v>
      </c>
      <c r="G5129" s="9">
        <v>607</v>
      </c>
      <c r="H5129" s="5" t="s">
        <v>20</v>
      </c>
      <c r="I5129" s="5" t="s">
        <v>11690</v>
      </c>
      <c r="J5129" s="12" t="str">
        <f>HYPERLINK("https://www.boe.es/gazeta/dias/1805/07/16/pdfs/GMD-1805-57.pdf#page=3","Abrir facsímil")</f>
        <v>Abrir facsímil</v>
      </c>
      <c r="K5129" s="15" t="s">
        <v>22</v>
      </c>
    </row>
    <row r="5130" spans="1:11" ht="42" customHeight="1">
      <c r="A5130" s="4" t="s">
        <v>11655</v>
      </c>
      <c r="B5130" s="5" t="s">
        <v>11655</v>
      </c>
      <c r="C5130" s="5" t="s">
        <v>80</v>
      </c>
      <c r="D5130" s="5" t="s">
        <v>81</v>
      </c>
      <c r="E5130" s="5" t="s">
        <v>958</v>
      </c>
      <c r="F5130" s="9">
        <v>58</v>
      </c>
      <c r="G5130" s="9">
        <v>619</v>
      </c>
      <c r="H5130" s="5" t="s">
        <v>20</v>
      </c>
      <c r="I5130" s="5" t="s">
        <v>11691</v>
      </c>
      <c r="J5130" s="12" t="str">
        <f>HYPERLINK("https://www.boe.es/gazeta/dias/1805/07/19/pdfs/GMD-1805-58.pdf#page=3","Abrir facsímil")</f>
        <v>Abrir facsímil</v>
      </c>
      <c r="K5130" s="15" t="s">
        <v>22</v>
      </c>
    </row>
    <row r="5131" spans="1:11" ht="42" customHeight="1">
      <c r="A5131" s="4" t="s">
        <v>11655</v>
      </c>
      <c r="B5131" s="5" t="s">
        <v>11655</v>
      </c>
      <c r="C5131" s="5" t="s">
        <v>80</v>
      </c>
      <c r="D5131" s="5" t="s">
        <v>81</v>
      </c>
      <c r="E5131" s="5" t="s">
        <v>729</v>
      </c>
      <c r="F5131" s="9">
        <v>61</v>
      </c>
      <c r="G5131" s="9">
        <v>651</v>
      </c>
      <c r="H5131" s="5" t="s">
        <v>20</v>
      </c>
      <c r="I5131" s="5" t="s">
        <v>11692</v>
      </c>
      <c r="J5131" s="12" t="str">
        <f>HYPERLINK("https://www.boe.es/gazeta/dias/1805/07/30/pdfs/GMD-1805-61.pdf#page=3","Abrir facsímil")</f>
        <v>Abrir facsímil</v>
      </c>
      <c r="K5131" s="15" t="s">
        <v>22</v>
      </c>
    </row>
    <row r="5132" spans="1:11" ht="42" customHeight="1">
      <c r="A5132" s="4" t="s">
        <v>11655</v>
      </c>
      <c r="B5132" s="5" t="s">
        <v>11655</v>
      </c>
      <c r="C5132" s="5" t="s">
        <v>35</v>
      </c>
      <c r="D5132" s="5" t="s">
        <v>36</v>
      </c>
      <c r="E5132" s="5" t="s">
        <v>729</v>
      </c>
      <c r="F5132" s="9">
        <v>61</v>
      </c>
      <c r="G5132" s="9">
        <v>652</v>
      </c>
      <c r="H5132" s="5" t="s">
        <v>20</v>
      </c>
      <c r="I5132" s="5" t="s">
        <v>11693</v>
      </c>
      <c r="J5132" s="12" t="str">
        <f>HYPERLINK("https://www.boe.es/gazeta/dias/1805/07/30/pdfs/GMD-1805-61.pdf#page=4","Abrir facsímil")</f>
        <v>Abrir facsímil</v>
      </c>
      <c r="K5132" s="15" t="s">
        <v>22</v>
      </c>
    </row>
    <row r="5133" spans="1:11" ht="42" customHeight="1">
      <c r="A5133" s="4" t="s">
        <v>11655</v>
      </c>
      <c r="B5133" s="5" t="s">
        <v>11655</v>
      </c>
      <c r="C5133" s="5" t="s">
        <v>80</v>
      </c>
      <c r="D5133" s="5" t="s">
        <v>81</v>
      </c>
      <c r="E5133" s="5" t="s">
        <v>711</v>
      </c>
      <c r="F5133" s="9">
        <v>63</v>
      </c>
      <c r="G5133" s="9">
        <v>668</v>
      </c>
      <c r="H5133" s="5" t="s">
        <v>20</v>
      </c>
      <c r="I5133" s="5" t="s">
        <v>11694</v>
      </c>
      <c r="J5133" s="12" t="str">
        <f>HYPERLINK("https://www.boe.es/gazeta/dias/1805/08/06/pdfs/GMD-1805-63.pdf#page=4","Abrir facsímil")</f>
        <v>Abrir facsímil</v>
      </c>
      <c r="K5133" s="15" t="s">
        <v>22</v>
      </c>
    </row>
    <row r="5134" spans="1:11" ht="42" customHeight="1">
      <c r="A5134" s="4" t="s">
        <v>11655</v>
      </c>
      <c r="B5134" s="5" t="s">
        <v>11655</v>
      </c>
      <c r="C5134" s="5" t="s">
        <v>80</v>
      </c>
      <c r="D5134" s="5" t="s">
        <v>81</v>
      </c>
      <c r="E5134" s="5" t="s">
        <v>207</v>
      </c>
      <c r="F5134" s="9">
        <v>76</v>
      </c>
      <c r="G5134" s="9">
        <v>805</v>
      </c>
      <c r="H5134" s="5" t="s">
        <v>20</v>
      </c>
      <c r="I5134" s="5" t="s">
        <v>11695</v>
      </c>
      <c r="J5134" s="12" t="str">
        <f>HYPERLINK("https://www.boe.es/gazeta/dias/1805/09/20/pdfs/GMD-1805-76.pdf#page=5","Abrir facsímil")</f>
        <v>Abrir facsímil</v>
      </c>
      <c r="K5134" s="15" t="s">
        <v>22</v>
      </c>
    </row>
    <row r="5135" spans="1:11" ht="42" customHeight="1">
      <c r="A5135" s="4" t="s">
        <v>11655</v>
      </c>
      <c r="B5135" s="5" t="s">
        <v>11655</v>
      </c>
      <c r="C5135" s="5" t="s">
        <v>35</v>
      </c>
      <c r="D5135" s="5" t="s">
        <v>36</v>
      </c>
      <c r="E5135" s="5" t="s">
        <v>669</v>
      </c>
      <c r="F5135" s="9">
        <v>84</v>
      </c>
      <c r="G5135" s="9">
        <v>888</v>
      </c>
      <c r="H5135" s="5" t="s">
        <v>20</v>
      </c>
      <c r="I5135" s="5" t="s">
        <v>11696</v>
      </c>
      <c r="J5135" s="12" t="str">
        <f>HYPERLINK("https://www.boe.es/gazeta/dias/1805/10/18/pdfs/GMD-1805-84.pdf#page=4","Abrir facsímil")</f>
        <v>Abrir facsímil</v>
      </c>
      <c r="K5135" s="15" t="s">
        <v>22</v>
      </c>
    </row>
    <row r="5136" spans="1:11" ht="42" customHeight="1">
      <c r="A5136" s="4" t="s">
        <v>11655</v>
      </c>
      <c r="B5136" s="5" t="s">
        <v>11655</v>
      </c>
      <c r="C5136" s="5" t="s">
        <v>80</v>
      </c>
      <c r="D5136" s="5" t="s">
        <v>81</v>
      </c>
      <c r="E5136" s="5" t="s">
        <v>886</v>
      </c>
      <c r="F5136" s="9">
        <v>93</v>
      </c>
      <c r="G5136" s="9">
        <v>991</v>
      </c>
      <c r="H5136" s="5" t="s">
        <v>20</v>
      </c>
      <c r="I5136" s="5" t="s">
        <v>11697</v>
      </c>
      <c r="J5136" s="12" t="str">
        <f>HYPERLINK("https://www.boe.es/gazeta/dias/1805/11/19/pdfs/GMD-1805-93.pdf#page=3","Abrir facsímil")</f>
        <v>Abrir facsímil</v>
      </c>
      <c r="K5136" s="15" t="s">
        <v>22</v>
      </c>
    </row>
    <row r="5137" spans="1:11" ht="42" customHeight="1">
      <c r="A5137" s="4" t="s">
        <v>11655</v>
      </c>
      <c r="B5137" s="5" t="s">
        <v>11655</v>
      </c>
      <c r="C5137" s="5" t="s">
        <v>80</v>
      </c>
      <c r="D5137" s="5" t="s">
        <v>81</v>
      </c>
      <c r="E5137" s="5" t="s">
        <v>552</v>
      </c>
      <c r="F5137" s="9">
        <v>94</v>
      </c>
      <c r="G5137" s="9">
        <v>1003</v>
      </c>
      <c r="H5137" s="5" t="s">
        <v>20</v>
      </c>
      <c r="I5137" s="5" t="s">
        <v>11698</v>
      </c>
      <c r="J5137" s="12" t="str">
        <f>HYPERLINK("https://www.boe.es/gazeta/dias/1805/11/22/pdfs/GMD-1805-94.pdf#page=3","Abrir facsímil")</f>
        <v>Abrir facsímil</v>
      </c>
      <c r="K5137" s="15" t="s">
        <v>22</v>
      </c>
    </row>
    <row r="5138" spans="1:11" ht="42" customHeight="1">
      <c r="A5138" s="4" t="s">
        <v>11655</v>
      </c>
      <c r="B5138" s="5" t="s">
        <v>11655</v>
      </c>
      <c r="C5138" s="5" t="s">
        <v>184</v>
      </c>
      <c r="D5138" s="5" t="s">
        <v>86</v>
      </c>
      <c r="E5138" s="5" t="s">
        <v>67</v>
      </c>
      <c r="F5138" s="9">
        <v>98</v>
      </c>
      <c r="G5138" s="9">
        <v>1049</v>
      </c>
      <c r="H5138" s="5" t="s">
        <v>20</v>
      </c>
      <c r="I5138" s="5" t="s">
        <v>11699</v>
      </c>
      <c r="J5138" s="12" t="str">
        <f>HYPERLINK("https://www.boe.es/gazeta/dias/1805/12/06/pdfs/GMD-1805-98.pdf#page=1","Abrir facsímil")</f>
        <v>Abrir facsímil</v>
      </c>
      <c r="K5138" s="15" t="s">
        <v>22</v>
      </c>
    </row>
    <row r="5139" spans="1:11" ht="42" customHeight="1">
      <c r="A5139" s="4" t="s">
        <v>11655</v>
      </c>
      <c r="B5139" s="5" t="s">
        <v>11655</v>
      </c>
      <c r="C5139" s="5" t="s">
        <v>80</v>
      </c>
      <c r="D5139" s="5" t="s">
        <v>81</v>
      </c>
      <c r="E5139" s="5" t="s">
        <v>67</v>
      </c>
      <c r="F5139" s="9">
        <v>98</v>
      </c>
      <c r="G5139" s="9">
        <v>1050</v>
      </c>
      <c r="H5139" s="5" t="s">
        <v>20</v>
      </c>
      <c r="I5139" s="5" t="s">
        <v>11700</v>
      </c>
      <c r="J5139" s="12" t="str">
        <f>HYPERLINK("https://www.boe.es/gazeta/dias/1805/12/06/pdfs/GMD-1805-98.pdf#page=2","Abrir facsímil")</f>
        <v>Abrir facsímil</v>
      </c>
      <c r="K5139" s="15" t="s">
        <v>22</v>
      </c>
    </row>
    <row r="5140" spans="1:11" ht="42" customHeight="1">
      <c r="A5140" s="4" t="s">
        <v>11655</v>
      </c>
      <c r="B5140" s="5" t="s">
        <v>11655</v>
      </c>
      <c r="C5140" s="5" t="s">
        <v>80</v>
      </c>
      <c r="D5140" s="5" t="s">
        <v>81</v>
      </c>
      <c r="E5140" s="5" t="s">
        <v>54</v>
      </c>
      <c r="F5140" s="9">
        <v>99</v>
      </c>
      <c r="G5140" s="9">
        <v>1065</v>
      </c>
      <c r="H5140" s="5" t="s">
        <v>20</v>
      </c>
      <c r="I5140" s="5" t="s">
        <v>11701</v>
      </c>
      <c r="J5140" s="12" t="str">
        <f>HYPERLINK("https://www.boe.es/gazeta/dias/1805/12/10/pdfs/GMD-1805-99.pdf#page=5","Abrir facsímil")</f>
        <v>Abrir facsímil</v>
      </c>
      <c r="K5140" s="15" t="s">
        <v>22</v>
      </c>
    </row>
    <row r="5141" spans="1:11" ht="42" customHeight="1">
      <c r="A5141" s="4" t="s">
        <v>11655</v>
      </c>
      <c r="B5141" s="5" t="s">
        <v>11655</v>
      </c>
      <c r="C5141" s="5" t="s">
        <v>80</v>
      </c>
      <c r="D5141" s="5" t="s">
        <v>81</v>
      </c>
      <c r="E5141" s="5" t="s">
        <v>54</v>
      </c>
      <c r="F5141" s="9">
        <v>99</v>
      </c>
      <c r="G5141" s="9">
        <v>1066</v>
      </c>
      <c r="H5141" s="5" t="s">
        <v>20</v>
      </c>
      <c r="I5141" s="5" t="s">
        <v>11702</v>
      </c>
      <c r="J5141" s="12" t="str">
        <f>HYPERLINK("https://www.boe.es/gazeta/dias/1805/12/10/pdfs/GMD-1805-99.pdf#page=6","Abrir facsímil")</f>
        <v>Abrir facsímil</v>
      </c>
      <c r="K5141" s="15" t="s">
        <v>22</v>
      </c>
    </row>
    <row r="5142" spans="1:11" ht="42" customHeight="1">
      <c r="A5142" s="4" t="s">
        <v>11703</v>
      </c>
      <c r="B5142" s="5" t="s">
        <v>11703</v>
      </c>
      <c r="C5142" s="5" t="s">
        <v>17</v>
      </c>
      <c r="D5142" s="5" t="s">
        <v>18</v>
      </c>
      <c r="E5142" s="5" t="s">
        <v>114</v>
      </c>
      <c r="F5142" s="9">
        <v>17</v>
      </c>
      <c r="G5142" s="9">
        <v>172</v>
      </c>
      <c r="H5142" s="5" t="s">
        <v>20</v>
      </c>
      <c r="I5142" s="5" t="s">
        <v>11704</v>
      </c>
      <c r="J5142" s="12" t="str">
        <f>HYPERLINK("https://www.boe.es/gazeta/dias/1805/02/26/pdfs/GMD-1805-17.pdf#page=4","Abrir facsímil")</f>
        <v>Abrir facsímil</v>
      </c>
      <c r="K5142" s="15" t="s">
        <v>22</v>
      </c>
    </row>
    <row r="5143" spans="1:11" ht="42" customHeight="1">
      <c r="A5143" s="4" t="s">
        <v>11705</v>
      </c>
      <c r="B5143" s="5" t="s">
        <v>11705</v>
      </c>
      <c r="C5143" s="5" t="s">
        <v>80</v>
      </c>
      <c r="D5143" s="5" t="s">
        <v>81</v>
      </c>
      <c r="E5143" s="5" t="s">
        <v>112</v>
      </c>
      <c r="F5143" s="9">
        <v>16</v>
      </c>
      <c r="G5143" s="9">
        <v>162</v>
      </c>
      <c r="H5143" s="5" t="s">
        <v>20</v>
      </c>
      <c r="I5143" s="5" t="s">
        <v>11706</v>
      </c>
      <c r="J5143" s="12" t="str">
        <f>HYPERLINK("https://www.boe.es/gazeta/dias/1805/02/22/pdfs/GMD-1805-16.pdf#page=2","Abrir facsímil")</f>
        <v>Abrir facsímil</v>
      </c>
      <c r="K5143" s="15" t="s">
        <v>22</v>
      </c>
    </row>
    <row r="5144" spans="1:11" ht="42" customHeight="1">
      <c r="A5144" s="4" t="s">
        <v>11707</v>
      </c>
      <c r="B5144" s="5" t="s">
        <v>11707</v>
      </c>
      <c r="C5144" s="5" t="s">
        <v>35</v>
      </c>
      <c r="D5144" s="5" t="s">
        <v>36</v>
      </c>
      <c r="E5144" s="5" t="s">
        <v>99</v>
      </c>
      <c r="F5144" s="9">
        <v>83</v>
      </c>
      <c r="G5144" s="9">
        <v>875</v>
      </c>
      <c r="H5144" s="5" t="s">
        <v>20</v>
      </c>
      <c r="I5144" s="5" t="s">
        <v>11708</v>
      </c>
      <c r="J5144" s="12" t="str">
        <f>HYPERLINK("https://www.boe.es/gazeta/dias/1805/10/15/pdfs/GMD-1805-83.pdf#page=3","Abrir facsímil")</f>
        <v>Abrir facsímil</v>
      </c>
      <c r="K5144" s="15" t="s">
        <v>22</v>
      </c>
    </row>
    <row r="5145" spans="1:11" ht="42" customHeight="1">
      <c r="A5145" s="4" t="s">
        <v>11709</v>
      </c>
      <c r="B5145" s="5" t="s">
        <v>11709</v>
      </c>
      <c r="C5145" s="5" t="s">
        <v>80</v>
      </c>
      <c r="D5145" s="5" t="s">
        <v>81</v>
      </c>
      <c r="E5145" s="5" t="s">
        <v>904</v>
      </c>
      <c r="F5145" s="9">
        <v>47</v>
      </c>
      <c r="G5145" s="9">
        <v>505</v>
      </c>
      <c r="H5145" s="5" t="s">
        <v>20</v>
      </c>
      <c r="I5145" s="5" t="s">
        <v>11710</v>
      </c>
      <c r="J5145" s="12" t="str">
        <f>HYPERLINK("https://www.boe.es/gazeta/dias/1805/06/11/pdfs/GMD-1805-47.pdf#page=5","Abrir facsímil")</f>
        <v>Abrir facsímil</v>
      </c>
      <c r="K5145" s="15" t="s">
        <v>22</v>
      </c>
    </row>
    <row r="5146" spans="1:11" ht="42" customHeight="1">
      <c r="A5146" s="4" t="s">
        <v>11711</v>
      </c>
      <c r="B5146" s="5" t="s">
        <v>11711</v>
      </c>
      <c r="C5146" s="5" t="s">
        <v>184</v>
      </c>
      <c r="D5146" s="5" t="s">
        <v>86</v>
      </c>
      <c r="E5146" s="5" t="s">
        <v>335</v>
      </c>
      <c r="F5146" s="9">
        <v>79</v>
      </c>
      <c r="G5146" s="9">
        <v>833</v>
      </c>
      <c r="H5146" s="5" t="s">
        <v>20</v>
      </c>
      <c r="I5146" s="5" t="s">
        <v>11712</v>
      </c>
      <c r="J5146" s="12" t="str">
        <f>HYPERLINK("https://www.boe.es/gazeta/dias/1805/10/01/pdfs/GMD-1805-79.pdf#page=5","Abrir facsímil")</f>
        <v>Abrir facsímil</v>
      </c>
      <c r="K5146" s="15" t="s">
        <v>22</v>
      </c>
    </row>
    <row r="5147" spans="1:11" ht="42" customHeight="1">
      <c r="A5147" s="4" t="s">
        <v>11713</v>
      </c>
      <c r="B5147" s="5" t="s">
        <v>11713</v>
      </c>
      <c r="C5147" s="5" t="s">
        <v>17</v>
      </c>
      <c r="D5147" s="5" t="s">
        <v>18</v>
      </c>
      <c r="E5147" s="5" t="s">
        <v>87</v>
      </c>
      <c r="F5147" s="9">
        <v>14</v>
      </c>
      <c r="G5147" s="9">
        <v>144</v>
      </c>
      <c r="H5147" s="5" t="s">
        <v>20</v>
      </c>
      <c r="I5147" s="5" t="s">
        <v>11714</v>
      </c>
      <c r="J5147" s="12" t="str">
        <f>HYPERLINK("https://www.boe.es/gazeta/dias/1805/02/15/pdfs/GMD-1805-14.pdf#page=4","Abrir facsímil")</f>
        <v>Abrir facsímil</v>
      </c>
      <c r="K5147" s="15" t="s">
        <v>22</v>
      </c>
    </row>
    <row r="5148" spans="1:11" ht="42" customHeight="1">
      <c r="A5148" s="4" t="s">
        <v>11715</v>
      </c>
      <c r="B5148" s="5" t="s">
        <v>11715</v>
      </c>
      <c r="C5148" s="5" t="s">
        <v>80</v>
      </c>
      <c r="D5148" s="5" t="s">
        <v>81</v>
      </c>
      <c r="E5148" s="5" t="s">
        <v>645</v>
      </c>
      <c r="F5148" s="9">
        <v>55</v>
      </c>
      <c r="G5148" s="9">
        <v>582</v>
      </c>
      <c r="H5148" s="5" t="s">
        <v>20</v>
      </c>
      <c r="I5148" s="5" t="s">
        <v>11716</v>
      </c>
      <c r="J5148" s="12" t="str">
        <f>HYPERLINK("https://www.boe.es/gazeta/dias/1805/07/09/pdfs/GMD-1805-55.pdf#page=2","Abrir facsímil")</f>
        <v>Abrir facsímil</v>
      </c>
      <c r="K5148" s="15" t="s">
        <v>22</v>
      </c>
    </row>
    <row r="5149" spans="1:11" ht="42" customHeight="1">
      <c r="A5149" s="4" t="s">
        <v>11717</v>
      </c>
      <c r="B5149" s="5" t="s">
        <v>11718</v>
      </c>
      <c r="C5149" s="5" t="s">
        <v>85</v>
      </c>
      <c r="D5149" s="5" t="s">
        <v>86</v>
      </c>
      <c r="E5149" s="5" t="s">
        <v>296</v>
      </c>
      <c r="F5149" s="9">
        <v>26</v>
      </c>
      <c r="G5149" s="9">
        <v>277</v>
      </c>
      <c r="H5149" s="5" t="s">
        <v>20</v>
      </c>
      <c r="I5149" s="5" t="s">
        <v>11719</v>
      </c>
      <c r="J5149" s="12" t="str">
        <f>HYPERLINK("https://www.boe.es/gazeta/dias/1805/03/29/pdfs/GMD-1805-26.pdf#page=9","Abrir facsímil")</f>
        <v>Abrir facsímil</v>
      </c>
      <c r="K5149" s="15" t="s">
        <v>22</v>
      </c>
    </row>
    <row r="5150" spans="1:11" ht="42" customHeight="1">
      <c r="A5150" s="4" t="s">
        <v>11720</v>
      </c>
      <c r="B5150" s="5" t="s">
        <v>11721</v>
      </c>
      <c r="C5150" s="5" t="s">
        <v>35</v>
      </c>
      <c r="D5150" s="5" t="s">
        <v>36</v>
      </c>
      <c r="E5150" s="5" t="s">
        <v>91</v>
      </c>
      <c r="F5150" s="9">
        <v>28</v>
      </c>
      <c r="G5150" s="9">
        <v>301</v>
      </c>
      <c r="H5150" s="5" t="s">
        <v>20</v>
      </c>
      <c r="I5150" s="5" t="s">
        <v>11722</v>
      </c>
      <c r="J5150" s="12" t="str">
        <f>HYPERLINK("https://www.boe.es/gazeta/dias/1805/04/05/pdfs/GMD-1805-28.pdf#page=9","Abrir facsímil")</f>
        <v>Abrir facsímil</v>
      </c>
      <c r="K5150" s="15" t="s">
        <v>22</v>
      </c>
    </row>
    <row r="5151" spans="1:11" ht="42" customHeight="1">
      <c r="A5151" s="4" t="s">
        <v>11723</v>
      </c>
      <c r="B5151" s="5" t="s">
        <v>11724</v>
      </c>
      <c r="C5151" s="5" t="s">
        <v>35</v>
      </c>
      <c r="D5151" s="5" t="s">
        <v>36</v>
      </c>
      <c r="E5151" s="5" t="s">
        <v>192</v>
      </c>
      <c r="F5151" s="9">
        <v>105</v>
      </c>
      <c r="G5151" s="9">
        <v>1137</v>
      </c>
      <c r="H5151" s="5" t="s">
        <v>20</v>
      </c>
      <c r="I5151" s="5" t="s">
        <v>11725</v>
      </c>
      <c r="J5151" s="12" t="str">
        <f>HYPERLINK("https://www.boe.es/gazeta/dias/1805/12/31/pdfs/GMD-1805-105.pdf#page=9","Abrir facsímil")</f>
        <v>Abrir facsímil</v>
      </c>
      <c r="K5151" s="15" t="s">
        <v>22</v>
      </c>
    </row>
    <row r="5152" spans="1:11" ht="42" customHeight="1">
      <c r="A5152" s="4" t="s">
        <v>11726</v>
      </c>
      <c r="B5152" s="5" t="s">
        <v>11726</v>
      </c>
      <c r="C5152" s="5" t="s">
        <v>17</v>
      </c>
      <c r="D5152" s="5" t="s">
        <v>18</v>
      </c>
      <c r="E5152" s="5" t="s">
        <v>71</v>
      </c>
      <c r="F5152" s="9">
        <v>33</v>
      </c>
      <c r="G5152" s="9">
        <v>349</v>
      </c>
      <c r="H5152" s="5" t="s">
        <v>20</v>
      </c>
      <c r="I5152" s="5" t="s">
        <v>11727</v>
      </c>
      <c r="J5152" s="12" t="str">
        <f>HYPERLINK("https://www.boe.es/gazeta/dias/1805/04/23/pdfs/GMD-1805-33.pdf#page=5","Abrir facsímil")</f>
        <v>Abrir facsímil</v>
      </c>
      <c r="K5152" s="15" t="s">
        <v>22</v>
      </c>
    </row>
    <row r="5153" spans="1:11" ht="42" customHeight="1">
      <c r="A5153" s="4" t="s">
        <v>11728</v>
      </c>
      <c r="B5153" s="5" t="s">
        <v>11728</v>
      </c>
      <c r="C5153" s="5" t="s">
        <v>29</v>
      </c>
      <c r="D5153" s="5" t="s">
        <v>30</v>
      </c>
      <c r="E5153" s="5" t="s">
        <v>958</v>
      </c>
      <c r="F5153" s="9">
        <v>58</v>
      </c>
      <c r="G5153" s="9">
        <v>618</v>
      </c>
      <c r="H5153" s="5" t="s">
        <v>20</v>
      </c>
      <c r="I5153" s="5" t="s">
        <v>11729</v>
      </c>
      <c r="J5153" s="12" t="str">
        <f>HYPERLINK("https://www.boe.es/gazeta/dias/1805/07/19/pdfs/GMD-1805-58.pdf#page=2","Abrir facsímil")</f>
        <v>Abrir facsímil</v>
      </c>
      <c r="K5153" s="15" t="s">
        <v>22</v>
      </c>
    </row>
    <row r="5154" spans="1:11" ht="42" customHeight="1">
      <c r="A5154" s="4" t="s">
        <v>11730</v>
      </c>
      <c r="B5154" s="5" t="s">
        <v>11731</v>
      </c>
      <c r="C5154" s="5" t="s">
        <v>17</v>
      </c>
      <c r="D5154" s="5" t="s">
        <v>18</v>
      </c>
      <c r="E5154" s="5" t="s">
        <v>729</v>
      </c>
      <c r="F5154" s="9">
        <v>61</v>
      </c>
      <c r="G5154" s="9">
        <v>655</v>
      </c>
      <c r="H5154" s="5" t="s">
        <v>20</v>
      </c>
      <c r="I5154" s="5" t="s">
        <v>11732</v>
      </c>
      <c r="J5154" s="12" t="str">
        <f>HYPERLINK("https://www.boe.es/gazeta/dias/1805/07/30/pdfs/GMD-1805-61.pdf#page=7","Abrir facsímil")</f>
        <v>Abrir facsímil</v>
      </c>
      <c r="K5154" s="15" t="s">
        <v>22</v>
      </c>
    </row>
    <row r="5155" spans="1:11" ht="42" customHeight="1">
      <c r="A5155" s="4" t="s">
        <v>11733</v>
      </c>
      <c r="B5155" s="5" t="s">
        <v>11734</v>
      </c>
      <c r="C5155" s="5" t="s">
        <v>35</v>
      </c>
      <c r="D5155" s="5" t="s">
        <v>36</v>
      </c>
      <c r="E5155" s="5" t="s">
        <v>217</v>
      </c>
      <c r="F5155" s="9">
        <v>96</v>
      </c>
      <c r="G5155" s="9">
        <v>1026</v>
      </c>
      <c r="H5155" s="5" t="s">
        <v>20</v>
      </c>
      <c r="I5155" s="5" t="s">
        <v>11735</v>
      </c>
      <c r="J5155" s="12" t="str">
        <f>HYPERLINK("https://www.boe.es/gazeta/dias/1805/11/29/pdfs/GMD-1805-96.pdf#page=2","Abrir facsímil")</f>
        <v>Abrir facsímil</v>
      </c>
      <c r="K5155" s="15" t="s">
        <v>22</v>
      </c>
    </row>
    <row r="5156" spans="1:11" ht="42" customHeight="1">
      <c r="A5156" s="4" t="s">
        <v>11736</v>
      </c>
      <c r="B5156" s="5" t="s">
        <v>11737</v>
      </c>
      <c r="C5156" s="5" t="s">
        <v>184</v>
      </c>
      <c r="D5156" s="5" t="s">
        <v>86</v>
      </c>
      <c r="E5156" s="5" t="s">
        <v>335</v>
      </c>
      <c r="F5156" s="9">
        <v>79</v>
      </c>
      <c r="G5156" s="9">
        <v>831</v>
      </c>
      <c r="H5156" s="5" t="s">
        <v>20</v>
      </c>
      <c r="I5156" s="5" t="s">
        <v>11738</v>
      </c>
      <c r="J5156" s="12" t="str">
        <f>HYPERLINK("https://www.boe.es/gazeta/dias/1805/10/01/pdfs/GMD-1805-79.pdf#page=3","Abrir facsímil")</f>
        <v>Abrir facsímil</v>
      </c>
      <c r="K5156" s="15" t="s">
        <v>22</v>
      </c>
    </row>
    <row r="5157" spans="1:11" ht="42" customHeight="1">
      <c r="A5157" s="4" t="s">
        <v>11739</v>
      </c>
      <c r="B5157" s="5" t="s">
        <v>11739</v>
      </c>
      <c r="C5157" s="5" t="s">
        <v>184</v>
      </c>
      <c r="D5157" s="5" t="s">
        <v>86</v>
      </c>
      <c r="E5157" s="5" t="s">
        <v>393</v>
      </c>
      <c r="F5157" s="9">
        <v>44</v>
      </c>
      <c r="G5157" s="9">
        <v>474</v>
      </c>
      <c r="H5157" s="5" t="s">
        <v>20</v>
      </c>
      <c r="I5157" s="5" t="s">
        <v>11740</v>
      </c>
      <c r="J5157" s="12" t="str">
        <f>HYPERLINK("https://www.boe.es/gazeta/dias/1805/05/31/pdfs/GMD-1805-44.pdf#page=10","Abrir facsímil")</f>
        <v>Abrir facsímil</v>
      </c>
      <c r="K5157" s="15" t="s">
        <v>22</v>
      </c>
    </row>
    <row r="5158" spans="1:11" ht="42" customHeight="1">
      <c r="A5158" s="4" t="s">
        <v>11741</v>
      </c>
      <c r="B5158" s="5" t="s">
        <v>11742</v>
      </c>
      <c r="C5158" s="5" t="s">
        <v>17</v>
      </c>
      <c r="D5158" s="5" t="s">
        <v>18</v>
      </c>
      <c r="E5158" s="5" t="s">
        <v>76</v>
      </c>
      <c r="F5158" s="9">
        <v>66</v>
      </c>
      <c r="G5158" s="9">
        <v>711</v>
      </c>
      <c r="H5158" s="5" t="s">
        <v>20</v>
      </c>
      <c r="I5158" s="5" t="s">
        <v>11743</v>
      </c>
      <c r="J5158" s="12" t="str">
        <f>HYPERLINK("https://www.boe.es/gazeta/dias/1805/08/16/pdfs/GMD-1805-66.pdf#page=11","Abrir facsímil")</f>
        <v>Abrir facsímil</v>
      </c>
      <c r="K5158" s="15" t="s">
        <v>22</v>
      </c>
    </row>
    <row r="5159" spans="1:11" ht="42" customHeight="1">
      <c r="A5159" s="4" t="s">
        <v>11744</v>
      </c>
      <c r="B5159" s="5" t="s">
        <v>11745</v>
      </c>
      <c r="C5159" s="5" t="s">
        <v>17</v>
      </c>
      <c r="D5159" s="5" t="s">
        <v>18</v>
      </c>
      <c r="E5159" s="5" t="s">
        <v>63</v>
      </c>
      <c r="F5159" s="9">
        <v>101</v>
      </c>
      <c r="G5159" s="9">
        <v>1092</v>
      </c>
      <c r="H5159" s="5" t="s">
        <v>20</v>
      </c>
      <c r="I5159" s="5" t="s">
        <v>11746</v>
      </c>
      <c r="J5159" s="12" t="str">
        <f>HYPERLINK("https://www.boe.es/gazeta/dias/1805/12/17/pdfs/GMD-1805-101.pdf#page=8","Abrir facsímil")</f>
        <v>Abrir facsímil</v>
      </c>
      <c r="K5159" s="15" t="s">
        <v>22</v>
      </c>
    </row>
    <row r="5160" spans="1:11" ht="42" customHeight="1">
      <c r="A5160" s="4" t="s">
        <v>11747</v>
      </c>
      <c r="B5160" s="5" t="s">
        <v>11748</v>
      </c>
      <c r="C5160" s="5" t="s">
        <v>80</v>
      </c>
      <c r="D5160" s="5" t="s">
        <v>81</v>
      </c>
      <c r="E5160" s="5" t="s">
        <v>67</v>
      </c>
      <c r="F5160" s="9">
        <v>98</v>
      </c>
      <c r="G5160" s="9">
        <v>1054</v>
      </c>
      <c r="H5160" s="5" t="s">
        <v>20</v>
      </c>
      <c r="I5160" s="5" t="s">
        <v>11749</v>
      </c>
      <c r="J5160" s="12" t="str">
        <f>HYPERLINK("https://www.boe.es/gazeta/dias/1805/12/06/pdfs/GMD-1805-98.pdf#page=6","Abrir facsímil")</f>
        <v>Abrir facsímil</v>
      </c>
      <c r="K5160" s="15" t="s">
        <v>22</v>
      </c>
    </row>
    <row r="5161" spans="1:11" ht="42" customHeight="1">
      <c r="A5161" s="4" t="s">
        <v>11750</v>
      </c>
      <c r="B5161" s="5" t="s">
        <v>11751</v>
      </c>
      <c r="C5161" s="5" t="s">
        <v>29</v>
      </c>
      <c r="D5161" s="5" t="s">
        <v>30</v>
      </c>
      <c r="E5161" s="5" t="s">
        <v>303</v>
      </c>
      <c r="F5161" s="9">
        <v>57</v>
      </c>
      <c r="G5161" s="9">
        <v>615</v>
      </c>
      <c r="H5161" s="5" t="s">
        <v>20</v>
      </c>
      <c r="I5161" s="5" t="s">
        <v>11752</v>
      </c>
      <c r="J5161" s="12" t="str">
        <f>HYPERLINK("https://www.boe.es/gazeta/dias/1805/07/16/pdfs/GMD-1805-57.pdf#page=11","Abrir facsímil")</f>
        <v>Abrir facsímil</v>
      </c>
      <c r="K5161" s="15" t="s">
        <v>22</v>
      </c>
    </row>
    <row r="5162" spans="1:11" ht="42" customHeight="1">
      <c r="A5162" s="4" t="s">
        <v>11753</v>
      </c>
      <c r="B5162" s="5" t="s">
        <v>11754</v>
      </c>
      <c r="C5162" s="5" t="s">
        <v>52</v>
      </c>
      <c r="D5162" s="5" t="s">
        <v>53</v>
      </c>
      <c r="E5162" s="5" t="s">
        <v>144</v>
      </c>
      <c r="F5162" s="9">
        <v>85</v>
      </c>
      <c r="G5162" s="9" t="s">
        <v>1002</v>
      </c>
      <c r="H5162" s="5" t="s">
        <v>20</v>
      </c>
      <c r="I5162" s="5" t="s">
        <v>11755</v>
      </c>
      <c r="J5162" s="12" t="str">
        <f>HYPERLINK("https://www.boe.es/gazeta/dias/1805/10/22/pdfs/GMD-C-1805-85.pdf#page=7","Abrir facsímil")</f>
        <v>Abrir facsímil</v>
      </c>
      <c r="K5162" s="15" t="s">
        <v>22</v>
      </c>
    </row>
    <row r="5163" spans="1:11" ht="42" customHeight="1">
      <c r="A5163" s="4" t="s">
        <v>11756</v>
      </c>
      <c r="B5163" s="5" t="s">
        <v>11757</v>
      </c>
      <c r="C5163" s="5" t="s">
        <v>17</v>
      </c>
      <c r="D5163" s="5" t="s">
        <v>18</v>
      </c>
      <c r="E5163" s="5" t="s">
        <v>135</v>
      </c>
      <c r="F5163" s="9">
        <v>71</v>
      </c>
      <c r="G5163" s="9">
        <v>756</v>
      </c>
      <c r="H5163" s="5" t="s">
        <v>20</v>
      </c>
      <c r="I5163" s="5" t="s">
        <v>11758</v>
      </c>
      <c r="J5163" s="12" t="str">
        <f>HYPERLINK("https://www.boe.es/gazeta/dias/1805/09/03/pdfs/GMD-1805-71.pdf#page=8","Abrir facsímil")</f>
        <v>Abrir facsímil</v>
      </c>
      <c r="K5163" s="15" t="s">
        <v>22</v>
      </c>
    </row>
    <row r="5164" spans="1:11" ht="42" customHeight="1">
      <c r="A5164" s="4" t="s">
        <v>11759</v>
      </c>
      <c r="B5164" s="5" t="s">
        <v>11759</v>
      </c>
      <c r="C5164" s="5" t="s">
        <v>17</v>
      </c>
      <c r="D5164" s="5" t="s">
        <v>18</v>
      </c>
      <c r="E5164" s="5" t="s">
        <v>850</v>
      </c>
      <c r="F5164" s="9">
        <v>42</v>
      </c>
      <c r="G5164" s="9">
        <v>449</v>
      </c>
      <c r="H5164" s="5" t="s">
        <v>20</v>
      </c>
      <c r="I5164" s="5" t="s">
        <v>11760</v>
      </c>
      <c r="J5164" s="12" t="str">
        <f>HYPERLINK("https://www.boe.es/gazeta/dias/1805/05/24/pdfs/GMD-1805-42.pdf#page=5","Abrir facsímil")</f>
        <v>Abrir facsímil</v>
      </c>
      <c r="K5164" s="15" t="s">
        <v>22</v>
      </c>
    </row>
    <row r="5165" spans="1:11" ht="42" customHeight="1">
      <c r="A5165" s="4" t="s">
        <v>11761</v>
      </c>
      <c r="B5165" s="5" t="s">
        <v>11762</v>
      </c>
      <c r="C5165" s="5" t="s">
        <v>264</v>
      </c>
      <c r="D5165" s="5" t="s">
        <v>265</v>
      </c>
      <c r="E5165" s="5" t="s">
        <v>261</v>
      </c>
      <c r="F5165" s="9">
        <v>18</v>
      </c>
      <c r="G5165" s="9" t="s">
        <v>222</v>
      </c>
      <c r="H5165" s="5" t="s">
        <v>20</v>
      </c>
      <c r="I5165" s="5" t="s">
        <v>11763</v>
      </c>
      <c r="J5165" s="12" t="str">
        <f>HYPERLINK("https://www.boe.es/gazeta/dias/1805/03/01/pdfs/GMD-C-1805-18.pdf#page=1","Abrir facsímil")</f>
        <v>Abrir facsímil</v>
      </c>
      <c r="K5165" s="15" t="s">
        <v>22</v>
      </c>
    </row>
    <row r="5166" spans="1:11" ht="42" customHeight="1">
      <c r="A5166" s="4" t="s">
        <v>11764</v>
      </c>
      <c r="B5166" s="5" t="s">
        <v>11765</v>
      </c>
      <c r="C5166" s="5" t="s">
        <v>35</v>
      </c>
      <c r="D5166" s="5" t="s">
        <v>36</v>
      </c>
      <c r="E5166" s="5" t="s">
        <v>103</v>
      </c>
      <c r="F5166" s="9">
        <v>30</v>
      </c>
      <c r="G5166" s="9">
        <v>320</v>
      </c>
      <c r="H5166" s="5" t="s">
        <v>20</v>
      </c>
      <c r="I5166" s="5" t="s">
        <v>11766</v>
      </c>
      <c r="J5166" s="12" t="str">
        <f>HYPERLINK("https://www.boe.es/gazeta/dias/1805/04/12/pdfs/GMD-1805-30.pdf#page=4","Abrir facsímil")</f>
        <v>Abrir facsímil</v>
      </c>
      <c r="K5166" s="15" t="s">
        <v>22</v>
      </c>
    </row>
    <row r="5167" spans="1:11" ht="42" customHeight="1">
      <c r="A5167" s="4" t="s">
        <v>11767</v>
      </c>
      <c r="B5167" s="5" t="s">
        <v>11767</v>
      </c>
      <c r="C5167" s="5" t="s">
        <v>17</v>
      </c>
      <c r="D5167" s="5" t="s">
        <v>18</v>
      </c>
      <c r="E5167" s="5" t="s">
        <v>506</v>
      </c>
      <c r="F5167" s="9">
        <v>80</v>
      </c>
      <c r="G5167" s="9">
        <v>845</v>
      </c>
      <c r="H5167" s="5" t="s">
        <v>20</v>
      </c>
      <c r="I5167" s="5" t="s">
        <v>11768</v>
      </c>
      <c r="J5167" s="12" t="str">
        <f>HYPERLINK("https://www.boe.es/gazeta/dias/1805/10/04/pdfs/GMD-1805-80.pdf#page=5","Abrir facsímil")</f>
        <v>Abrir facsímil</v>
      </c>
      <c r="K5167" s="15" t="s">
        <v>22</v>
      </c>
    </row>
    <row r="5168" spans="1:11" ht="42" customHeight="1">
      <c r="A5168" s="4" t="s">
        <v>11769</v>
      </c>
      <c r="B5168" s="5" t="s">
        <v>11770</v>
      </c>
      <c r="C5168" s="5" t="s">
        <v>52</v>
      </c>
      <c r="D5168" s="5" t="s">
        <v>53</v>
      </c>
      <c r="E5168" s="5" t="s">
        <v>54</v>
      </c>
      <c r="F5168" s="9">
        <v>99</v>
      </c>
      <c r="G5168" s="9" t="s">
        <v>145</v>
      </c>
      <c r="H5168" s="5" t="s">
        <v>20</v>
      </c>
      <c r="I5168" s="5" t="s">
        <v>11771</v>
      </c>
      <c r="J5168" s="12" t="str">
        <f>HYPERLINK("https://www.boe.es/gazeta/dias/1805/12/10/pdfs/GMD-C-1805-99.pdf#page=2","Abrir facsímil")</f>
        <v>Abrir facsímil</v>
      </c>
      <c r="K5168" s="15" t="s">
        <v>22</v>
      </c>
    </row>
    <row r="5169" spans="1:11" ht="42" customHeight="1">
      <c r="A5169" s="4" t="s">
        <v>11772</v>
      </c>
      <c r="B5169" s="5" t="s">
        <v>11773</v>
      </c>
      <c r="C5169" s="5" t="s">
        <v>184</v>
      </c>
      <c r="D5169" s="5" t="s">
        <v>86</v>
      </c>
      <c r="E5169" s="5" t="s">
        <v>585</v>
      </c>
      <c r="F5169" s="9">
        <v>64</v>
      </c>
      <c r="G5169" s="9">
        <v>684</v>
      </c>
      <c r="H5169" s="5" t="s">
        <v>20</v>
      </c>
      <c r="I5169" s="5" t="s">
        <v>11774</v>
      </c>
      <c r="J5169" s="12" t="str">
        <f>HYPERLINK("https://www.boe.es/gazeta/dias/1805/08/09/pdfs/GMD-1805-64.pdf#page=8","Abrir facsímil")</f>
        <v>Abrir facsímil</v>
      </c>
      <c r="K5169" s="15" t="s">
        <v>22</v>
      </c>
    </row>
    <row r="5170" spans="1:11" ht="42" customHeight="1">
      <c r="A5170" s="4" t="s">
        <v>11775</v>
      </c>
      <c r="B5170" s="5" t="s">
        <v>11775</v>
      </c>
      <c r="C5170" s="5" t="s">
        <v>29</v>
      </c>
      <c r="D5170" s="5" t="s">
        <v>30</v>
      </c>
      <c r="E5170" s="5" t="s">
        <v>399</v>
      </c>
      <c r="F5170" s="9">
        <v>39</v>
      </c>
      <c r="G5170" s="9">
        <v>413</v>
      </c>
      <c r="H5170" s="5" t="s">
        <v>20</v>
      </c>
      <c r="I5170" s="5" t="s">
        <v>11776</v>
      </c>
      <c r="J5170" s="12" t="str">
        <f>HYPERLINK("https://www.boe.es/gazeta/dias/1805/05/14/pdfs/GMD-1805-39.pdf#page=1","Abrir facsímil")</f>
        <v>Abrir facsímil</v>
      </c>
      <c r="K5170" s="15" t="s">
        <v>22</v>
      </c>
    </row>
    <row r="5171" spans="1:11" ht="42" customHeight="1">
      <c r="A5171" s="4" t="s">
        <v>11777</v>
      </c>
      <c r="B5171" s="5" t="s">
        <v>11778</v>
      </c>
      <c r="C5171" s="5" t="s">
        <v>35</v>
      </c>
      <c r="D5171" s="5" t="s">
        <v>36</v>
      </c>
      <c r="E5171" s="5" t="s">
        <v>63</v>
      </c>
      <c r="F5171" s="9">
        <v>101</v>
      </c>
      <c r="G5171" s="9">
        <v>1093</v>
      </c>
      <c r="H5171" s="5" t="s">
        <v>20</v>
      </c>
      <c r="I5171" s="5" t="s">
        <v>11779</v>
      </c>
      <c r="J5171" s="12" t="str">
        <f>HYPERLINK("https://www.boe.es/gazeta/dias/1805/12/17/pdfs/GMD-1805-101.pdf#page=9","Abrir facsímil")</f>
        <v>Abrir facsímil</v>
      </c>
      <c r="K5171" s="15" t="s">
        <v>22</v>
      </c>
    </row>
    <row r="5172" spans="1:11" ht="42" customHeight="1">
      <c r="A5172" s="4" t="s">
        <v>11780</v>
      </c>
      <c r="B5172" s="5" t="s">
        <v>11781</v>
      </c>
      <c r="C5172" s="5" t="s">
        <v>17</v>
      </c>
      <c r="D5172" s="5" t="s">
        <v>18</v>
      </c>
      <c r="E5172" s="5" t="s">
        <v>63</v>
      </c>
      <c r="F5172" s="9">
        <v>101</v>
      </c>
      <c r="G5172" s="9">
        <v>1093</v>
      </c>
      <c r="H5172" s="5" t="s">
        <v>20</v>
      </c>
      <c r="I5172" s="5" t="s">
        <v>11782</v>
      </c>
      <c r="J5172" s="12" t="str">
        <f>HYPERLINK("https://www.boe.es/gazeta/dias/1805/12/17/pdfs/GMD-1805-101.pdf#page=9","Abrir facsímil")</f>
        <v>Abrir facsímil</v>
      </c>
      <c r="K5172" s="15" t="s">
        <v>22</v>
      </c>
    </row>
    <row r="5173" spans="1:11" ht="42" customHeight="1">
      <c r="A5173" s="4" t="s">
        <v>11783</v>
      </c>
      <c r="B5173" s="5" t="s">
        <v>11784</v>
      </c>
      <c r="C5173" s="5" t="s">
        <v>35</v>
      </c>
      <c r="D5173" s="5" t="s">
        <v>36</v>
      </c>
      <c r="E5173" s="5" t="s">
        <v>303</v>
      </c>
      <c r="F5173" s="9">
        <v>57</v>
      </c>
      <c r="G5173" s="9">
        <v>611</v>
      </c>
      <c r="H5173" s="5" t="s">
        <v>20</v>
      </c>
      <c r="I5173" s="5" t="s">
        <v>11785</v>
      </c>
      <c r="J5173" s="12" t="str">
        <f>HYPERLINK("https://www.boe.es/gazeta/dias/1805/07/16/pdfs/GMD-1805-57.pdf#page=7","Abrir facsímil")</f>
        <v>Abrir facsímil</v>
      </c>
      <c r="K5173" s="15" t="s">
        <v>22</v>
      </c>
    </row>
    <row r="5174" spans="1:11" ht="42" customHeight="1">
      <c r="A5174" s="4" t="s">
        <v>11786</v>
      </c>
      <c r="B5174" s="5" t="s">
        <v>11787</v>
      </c>
      <c r="C5174" s="5" t="s">
        <v>35</v>
      </c>
      <c r="D5174" s="5" t="s">
        <v>36</v>
      </c>
      <c r="E5174" s="5" t="s">
        <v>91</v>
      </c>
      <c r="F5174" s="9">
        <v>28</v>
      </c>
      <c r="G5174" s="9">
        <v>301</v>
      </c>
      <c r="H5174" s="5" t="s">
        <v>20</v>
      </c>
      <c r="I5174" s="5" t="s">
        <v>11788</v>
      </c>
      <c r="J5174" s="12" t="str">
        <f>HYPERLINK("https://www.boe.es/gazeta/dias/1805/04/05/pdfs/GMD-1805-28.pdf#page=9","Abrir facsímil")</f>
        <v>Abrir facsímil</v>
      </c>
      <c r="K5174" s="15" t="s">
        <v>22</v>
      </c>
    </row>
    <row r="5175" spans="1:11" ht="42" customHeight="1">
      <c r="A5175" s="4" t="s">
        <v>11789</v>
      </c>
      <c r="B5175" s="5" t="s">
        <v>11790</v>
      </c>
      <c r="C5175" s="5" t="s">
        <v>35</v>
      </c>
      <c r="D5175" s="5" t="s">
        <v>36</v>
      </c>
      <c r="E5175" s="5" t="s">
        <v>82</v>
      </c>
      <c r="F5175" s="9">
        <v>25</v>
      </c>
      <c r="G5175" s="9">
        <v>267</v>
      </c>
      <c r="H5175" s="5" t="s">
        <v>20</v>
      </c>
      <c r="I5175" s="5" t="s">
        <v>11791</v>
      </c>
      <c r="J5175" s="12" t="str">
        <f>HYPERLINK("https://www.boe.es/gazeta/dias/1805/03/26/pdfs/GMD-1805-25.pdf#page=7","Abrir facsímil")</f>
        <v>Abrir facsímil</v>
      </c>
      <c r="K5175" s="15" t="s">
        <v>22</v>
      </c>
    </row>
    <row r="5176" spans="1:11" ht="42" customHeight="1">
      <c r="A5176" s="4" t="s">
        <v>11792</v>
      </c>
      <c r="B5176" s="5" t="s">
        <v>11793</v>
      </c>
      <c r="C5176" s="5" t="s">
        <v>85</v>
      </c>
      <c r="D5176" s="5" t="s">
        <v>86</v>
      </c>
      <c r="E5176" s="5" t="s">
        <v>539</v>
      </c>
      <c r="F5176" s="9">
        <v>97</v>
      </c>
      <c r="G5176" s="9">
        <v>1043</v>
      </c>
      <c r="H5176" s="5" t="s">
        <v>20</v>
      </c>
      <c r="I5176" s="5" t="s">
        <v>11794</v>
      </c>
      <c r="J5176" s="12" t="str">
        <f>HYPERLINK("https://www.boe.es/gazeta/dias/1805/12/03/pdfs/GMD-1805-97.pdf#page=7","Abrir facsímil")</f>
        <v>Abrir facsímil</v>
      </c>
      <c r="K5176" s="15" t="s">
        <v>22</v>
      </c>
    </row>
    <row r="5177" spans="1:11" ht="42" customHeight="1">
      <c r="A5177" s="4" t="s">
        <v>11795</v>
      </c>
      <c r="B5177" s="5" t="s">
        <v>11796</v>
      </c>
      <c r="C5177" s="5" t="s">
        <v>17</v>
      </c>
      <c r="D5177" s="5" t="s">
        <v>18</v>
      </c>
      <c r="E5177" s="5" t="s">
        <v>76</v>
      </c>
      <c r="F5177" s="9">
        <v>66</v>
      </c>
      <c r="G5177" s="9">
        <v>709</v>
      </c>
      <c r="H5177" s="5" t="s">
        <v>20</v>
      </c>
      <c r="I5177" s="5" t="s">
        <v>11797</v>
      </c>
      <c r="J5177" s="12" t="str">
        <f>HYPERLINK("https://www.boe.es/gazeta/dias/1805/08/16/pdfs/GMD-1805-66.pdf#page=9","Abrir facsímil")</f>
        <v>Abrir facsímil</v>
      </c>
      <c r="K5177" s="15" t="s">
        <v>22</v>
      </c>
    </row>
    <row r="5178" spans="1:11" ht="42" customHeight="1">
      <c r="A5178" s="4" t="s">
        <v>11798</v>
      </c>
      <c r="B5178" s="5" t="s">
        <v>11799</v>
      </c>
      <c r="C5178" s="5" t="s">
        <v>85</v>
      </c>
      <c r="D5178" s="5" t="s">
        <v>86</v>
      </c>
      <c r="E5178" s="5" t="s">
        <v>352</v>
      </c>
      <c r="F5178" s="9">
        <v>60</v>
      </c>
      <c r="G5178" s="9">
        <v>646</v>
      </c>
      <c r="H5178" s="5" t="s">
        <v>20</v>
      </c>
      <c r="I5178" s="5" t="s">
        <v>11800</v>
      </c>
      <c r="J5178" s="12" t="str">
        <f>HYPERLINK("https://www.boe.es/gazeta/dias/1805/07/26/pdfs/GMD-1805-60.pdf#page=10","Abrir facsímil")</f>
        <v>Abrir facsímil</v>
      </c>
      <c r="K5178" s="15" t="s">
        <v>22</v>
      </c>
    </row>
    <row r="5179" spans="1:11" ht="42" customHeight="1">
      <c r="A5179" s="4" t="s">
        <v>11801</v>
      </c>
      <c r="B5179" s="5" t="s">
        <v>11801</v>
      </c>
      <c r="C5179" s="5" t="s">
        <v>80</v>
      </c>
      <c r="D5179" s="5" t="s">
        <v>81</v>
      </c>
      <c r="E5179" s="5" t="s">
        <v>649</v>
      </c>
      <c r="F5179" s="9">
        <v>7</v>
      </c>
      <c r="G5179" s="9">
        <v>69</v>
      </c>
      <c r="H5179" s="5" t="s">
        <v>20</v>
      </c>
      <c r="I5179" s="5" t="s">
        <v>11802</v>
      </c>
      <c r="J5179" s="12" t="str">
        <f>HYPERLINK("https://www.boe.es/gazeta/dias/1805/01/22/pdfs/GMD-1805-7.pdf#page=1","Abrir facsímil")</f>
        <v>Abrir facsímil</v>
      </c>
      <c r="K5179" s="15" t="s">
        <v>22</v>
      </c>
    </row>
    <row r="5180" spans="1:11" ht="42" customHeight="1">
      <c r="A5180" s="4" t="s">
        <v>11801</v>
      </c>
      <c r="B5180" s="5" t="s">
        <v>11801</v>
      </c>
      <c r="C5180" s="5" t="s">
        <v>80</v>
      </c>
      <c r="D5180" s="5" t="s">
        <v>81</v>
      </c>
      <c r="E5180" s="5" t="s">
        <v>148</v>
      </c>
      <c r="F5180" s="9">
        <v>50</v>
      </c>
      <c r="G5180" s="9">
        <v>533</v>
      </c>
      <c r="H5180" s="5" t="s">
        <v>20</v>
      </c>
      <c r="I5180" s="5" t="s">
        <v>11803</v>
      </c>
      <c r="J5180" s="12" t="str">
        <f>HYPERLINK("https://www.boe.es/gazeta/dias/1805/06/21/pdfs/GMD-1805-50.pdf#page=1","Abrir facsímil")</f>
        <v>Abrir facsímil</v>
      </c>
      <c r="K5180" s="15" t="s">
        <v>22</v>
      </c>
    </row>
    <row r="5181" spans="1:11" ht="42" customHeight="1">
      <c r="A5181" s="4" t="s">
        <v>11801</v>
      </c>
      <c r="B5181" s="5" t="s">
        <v>11801</v>
      </c>
      <c r="C5181" s="5" t="s">
        <v>35</v>
      </c>
      <c r="D5181" s="5" t="s">
        <v>36</v>
      </c>
      <c r="E5181" s="5" t="s">
        <v>196</v>
      </c>
      <c r="F5181" s="9">
        <v>67</v>
      </c>
      <c r="G5181" s="9">
        <v>713</v>
      </c>
      <c r="H5181" s="5" t="s">
        <v>20</v>
      </c>
      <c r="I5181" s="5" t="s">
        <v>11804</v>
      </c>
      <c r="J5181" s="12" t="str">
        <f>HYPERLINK("https://www.boe.es/gazeta/dias/1805/08/20/pdfs/GMD-1805-67.pdf#page=1","Abrir facsímil")</f>
        <v>Abrir facsímil</v>
      </c>
      <c r="K5181" s="15" t="s">
        <v>22</v>
      </c>
    </row>
    <row r="5182" spans="1:11" ht="42" customHeight="1">
      <c r="A5182" s="4" t="s">
        <v>11805</v>
      </c>
      <c r="B5182" s="5" t="s">
        <v>11805</v>
      </c>
      <c r="C5182" s="5" t="s">
        <v>17</v>
      </c>
      <c r="D5182" s="5" t="s">
        <v>18</v>
      </c>
      <c r="E5182" s="5" t="s">
        <v>128</v>
      </c>
      <c r="F5182" s="9">
        <v>23</v>
      </c>
      <c r="G5182" s="9">
        <v>241</v>
      </c>
      <c r="H5182" s="5" t="s">
        <v>20</v>
      </c>
      <c r="I5182" s="5" t="s">
        <v>11806</v>
      </c>
      <c r="J5182" s="12" t="str">
        <f>HYPERLINK("https://www.boe.es/gazeta/dias/1805/03/19/pdfs/GMD-1805-23.pdf#page=5","Abrir facsímil")</f>
        <v>Abrir facsímil</v>
      </c>
      <c r="K5182" s="15" t="s">
        <v>22</v>
      </c>
    </row>
    <row r="5183" spans="1:11" ht="42" customHeight="1">
      <c r="A5183" s="4" t="s">
        <v>11805</v>
      </c>
      <c r="B5183" s="5" t="s">
        <v>11805</v>
      </c>
      <c r="C5183" s="5" t="s">
        <v>80</v>
      </c>
      <c r="D5183" s="5" t="s">
        <v>81</v>
      </c>
      <c r="E5183" s="5" t="s">
        <v>48</v>
      </c>
      <c r="F5183" s="9">
        <v>35</v>
      </c>
      <c r="G5183" s="9">
        <v>375</v>
      </c>
      <c r="H5183" s="5" t="s">
        <v>20</v>
      </c>
      <c r="I5183" s="5" t="s">
        <v>11807</v>
      </c>
      <c r="J5183" s="12" t="str">
        <f>HYPERLINK("https://www.boe.es/gazeta/dias/1805/04/30/pdfs/GMD-1805-35.pdf#page=7","Abrir facsímil")</f>
        <v>Abrir facsímil</v>
      </c>
      <c r="K5183" s="15" t="s">
        <v>22</v>
      </c>
    </row>
    <row r="5184" spans="1:11" ht="42" customHeight="1">
      <c r="A5184" s="4" t="s">
        <v>11808</v>
      </c>
      <c r="B5184" s="5" t="s">
        <v>11809</v>
      </c>
      <c r="C5184" s="5" t="s">
        <v>35</v>
      </c>
      <c r="D5184" s="5" t="s">
        <v>36</v>
      </c>
      <c r="E5184" s="5" t="s">
        <v>103</v>
      </c>
      <c r="F5184" s="9">
        <v>30</v>
      </c>
      <c r="G5184" s="9">
        <v>323</v>
      </c>
      <c r="H5184" s="5" t="s">
        <v>20</v>
      </c>
      <c r="I5184" s="5" t="s">
        <v>11810</v>
      </c>
      <c r="J5184" s="12" t="str">
        <f>HYPERLINK("https://www.boe.es/gazeta/dias/1805/04/12/pdfs/GMD-1805-30.pdf#page=7","Abrir facsímil")</f>
        <v>Abrir facsímil</v>
      </c>
      <c r="K5184" s="15" t="s">
        <v>22</v>
      </c>
    </row>
    <row r="5185" spans="1:11" ht="42" customHeight="1">
      <c r="A5185" s="4" t="s">
        <v>11811</v>
      </c>
      <c r="B5185" s="5" t="s">
        <v>11812</v>
      </c>
      <c r="C5185" s="5" t="s">
        <v>35</v>
      </c>
      <c r="D5185" s="5" t="s">
        <v>36</v>
      </c>
      <c r="E5185" s="5" t="s">
        <v>365</v>
      </c>
      <c r="F5185" s="9">
        <v>3</v>
      </c>
      <c r="G5185" s="9">
        <v>29</v>
      </c>
      <c r="H5185" s="5" t="s">
        <v>20</v>
      </c>
      <c r="I5185" s="5" t="s">
        <v>11813</v>
      </c>
      <c r="J5185" s="12" t="str">
        <f>HYPERLINK("https://www.boe.es/gazeta/dias/1805/01/08/pdfs/GMD-1805-3.pdf#page=5","Abrir facsímil")</f>
        <v>Abrir facsímil</v>
      </c>
      <c r="K5185" s="15" t="s">
        <v>22</v>
      </c>
    </row>
    <row r="5186" spans="1:11" ht="42" customHeight="1">
      <c r="A5186" s="4" t="s">
        <v>11814</v>
      </c>
      <c r="B5186" s="5" t="s">
        <v>11814</v>
      </c>
      <c r="C5186" s="5" t="s">
        <v>80</v>
      </c>
      <c r="D5186" s="5" t="s">
        <v>81</v>
      </c>
      <c r="E5186" s="5" t="s">
        <v>539</v>
      </c>
      <c r="F5186" s="9">
        <v>97</v>
      </c>
      <c r="G5186" s="9">
        <v>1038</v>
      </c>
      <c r="H5186" s="5" t="s">
        <v>20</v>
      </c>
      <c r="I5186" s="5" t="s">
        <v>11815</v>
      </c>
      <c r="J5186" s="12" t="str">
        <f>HYPERLINK("https://www.boe.es/gazeta/dias/1805/12/03/pdfs/GMD-1805-97.pdf#page=2","Abrir facsímil")</f>
        <v>Abrir facsímil</v>
      </c>
      <c r="K5186" s="15" t="s">
        <v>22</v>
      </c>
    </row>
    <row r="5187" spans="1:11" ht="42" customHeight="1">
      <c r="A5187" s="4" t="s">
        <v>11816</v>
      </c>
      <c r="B5187" s="5" t="s">
        <v>11817</v>
      </c>
      <c r="C5187" s="5" t="s">
        <v>80</v>
      </c>
      <c r="D5187" s="5" t="s">
        <v>81</v>
      </c>
      <c r="E5187" s="5" t="s">
        <v>48</v>
      </c>
      <c r="F5187" s="9">
        <v>35</v>
      </c>
      <c r="G5187" s="9">
        <v>374</v>
      </c>
      <c r="H5187" s="5" t="s">
        <v>20</v>
      </c>
      <c r="I5187" s="5" t="s">
        <v>11818</v>
      </c>
      <c r="J5187" s="12" t="str">
        <f>HYPERLINK("https://www.boe.es/gazeta/dias/1805/04/30/pdfs/GMD-1805-35.pdf#page=6","Abrir facsímil")</f>
        <v>Abrir facsímil</v>
      </c>
      <c r="K5187" s="15" t="s">
        <v>22</v>
      </c>
    </row>
    <row r="5188" spans="1:11" ht="42" customHeight="1">
      <c r="A5188" s="4" t="s">
        <v>11816</v>
      </c>
      <c r="B5188" s="5" t="s">
        <v>11817</v>
      </c>
      <c r="C5188" s="5" t="s">
        <v>80</v>
      </c>
      <c r="D5188" s="5" t="s">
        <v>81</v>
      </c>
      <c r="E5188" s="5" t="s">
        <v>27</v>
      </c>
      <c r="F5188" s="9">
        <v>37</v>
      </c>
      <c r="G5188" s="9">
        <v>399</v>
      </c>
      <c r="H5188" s="5" t="s">
        <v>20</v>
      </c>
      <c r="I5188" s="5" t="s">
        <v>11819</v>
      </c>
      <c r="J5188" s="12" t="str">
        <f>HYPERLINK("https://www.boe.es/gazeta/dias/1805/05/07/pdfs/GMD-1805-37.pdf#page=7","Abrir facsímil")</f>
        <v>Abrir facsímil</v>
      </c>
      <c r="K5188" s="15" t="s">
        <v>22</v>
      </c>
    </row>
    <row r="5189" spans="1:11" ht="42" customHeight="1">
      <c r="A5189" s="4" t="s">
        <v>11816</v>
      </c>
      <c r="B5189" s="5" t="s">
        <v>11817</v>
      </c>
      <c r="C5189" s="5" t="s">
        <v>17</v>
      </c>
      <c r="D5189" s="5" t="s">
        <v>18</v>
      </c>
      <c r="E5189" s="5" t="s">
        <v>854</v>
      </c>
      <c r="F5189" s="9">
        <v>46</v>
      </c>
      <c r="G5189" s="9">
        <v>495</v>
      </c>
      <c r="H5189" s="5" t="s">
        <v>20</v>
      </c>
      <c r="I5189" s="5" t="s">
        <v>11820</v>
      </c>
      <c r="J5189" s="12" t="str">
        <f>HYPERLINK("https://www.boe.es/gazeta/dias/1805/06/07/pdfs/GMD-1805-46.pdf#page=7","Abrir facsímil")</f>
        <v>Abrir facsímil</v>
      </c>
      <c r="K5189" s="15" t="s">
        <v>22</v>
      </c>
    </row>
    <row r="5190" spans="1:11" ht="42" customHeight="1">
      <c r="A5190" s="4" t="s">
        <v>11816</v>
      </c>
      <c r="B5190" s="5" t="s">
        <v>11817</v>
      </c>
      <c r="C5190" s="5" t="s">
        <v>80</v>
      </c>
      <c r="D5190" s="5" t="s">
        <v>81</v>
      </c>
      <c r="E5190" s="5" t="s">
        <v>904</v>
      </c>
      <c r="F5190" s="9">
        <v>47</v>
      </c>
      <c r="G5190" s="9">
        <v>504</v>
      </c>
      <c r="H5190" s="5" t="s">
        <v>20</v>
      </c>
      <c r="I5190" s="5" t="s">
        <v>11821</v>
      </c>
      <c r="J5190" s="12" t="str">
        <f>HYPERLINK("https://www.boe.es/gazeta/dias/1805/06/11/pdfs/GMD-1805-47.pdf#page=4","Abrir facsímil")</f>
        <v>Abrir facsímil</v>
      </c>
      <c r="K5190" s="15" t="s">
        <v>22</v>
      </c>
    </row>
    <row r="5191" spans="1:11" ht="42" customHeight="1">
      <c r="A5191" s="4" t="s">
        <v>11816</v>
      </c>
      <c r="B5191" s="5" t="s">
        <v>11817</v>
      </c>
      <c r="C5191" s="5" t="s">
        <v>184</v>
      </c>
      <c r="D5191" s="5" t="s">
        <v>86</v>
      </c>
      <c r="E5191" s="5" t="s">
        <v>904</v>
      </c>
      <c r="F5191" s="9">
        <v>47</v>
      </c>
      <c r="G5191" s="9">
        <v>506</v>
      </c>
      <c r="H5191" s="5" t="s">
        <v>20</v>
      </c>
      <c r="I5191" s="5" t="s">
        <v>11822</v>
      </c>
      <c r="J5191" s="12" t="str">
        <f>HYPERLINK("https://www.boe.es/gazeta/dias/1805/06/11/pdfs/GMD-1805-47.pdf#page=6","Abrir facsímil")</f>
        <v>Abrir facsímil</v>
      </c>
      <c r="K5191" s="15" t="s">
        <v>22</v>
      </c>
    </row>
    <row r="5192" spans="1:11" ht="42" customHeight="1">
      <c r="A5192" s="4" t="s">
        <v>11816</v>
      </c>
      <c r="B5192" s="5" t="s">
        <v>11817</v>
      </c>
      <c r="C5192" s="5" t="s">
        <v>80</v>
      </c>
      <c r="D5192" s="5" t="s">
        <v>81</v>
      </c>
      <c r="E5192" s="5" t="s">
        <v>1022</v>
      </c>
      <c r="F5192" s="9">
        <v>52</v>
      </c>
      <c r="G5192" s="9">
        <v>555</v>
      </c>
      <c r="H5192" s="5" t="s">
        <v>20</v>
      </c>
      <c r="I5192" s="5" t="s">
        <v>11823</v>
      </c>
      <c r="J5192" s="12" t="str">
        <f>HYPERLINK("https://www.boe.es/gazeta/dias/1805/06/28/pdfs/GMD-1805-52.pdf#page=3","Abrir facsímil")</f>
        <v>Abrir facsímil</v>
      </c>
      <c r="K5192" s="15" t="s">
        <v>22</v>
      </c>
    </row>
    <row r="5193" spans="1:11" ht="42" customHeight="1">
      <c r="A5193" s="4" t="s">
        <v>11816</v>
      </c>
      <c r="B5193" s="5" t="s">
        <v>11817</v>
      </c>
      <c r="C5193" s="5" t="s">
        <v>17</v>
      </c>
      <c r="D5193" s="5" t="s">
        <v>18</v>
      </c>
      <c r="E5193" s="5" t="s">
        <v>352</v>
      </c>
      <c r="F5193" s="9">
        <v>60</v>
      </c>
      <c r="G5193" s="9">
        <v>644</v>
      </c>
      <c r="H5193" s="5" t="s">
        <v>20</v>
      </c>
      <c r="I5193" s="5" t="s">
        <v>11824</v>
      </c>
      <c r="J5193" s="12" t="str">
        <f>HYPERLINK("https://www.boe.es/gazeta/dias/1805/07/26/pdfs/GMD-1805-60.pdf#page=8","Abrir facsímil")</f>
        <v>Abrir facsímil</v>
      </c>
      <c r="K5193" s="15" t="s">
        <v>22</v>
      </c>
    </row>
    <row r="5194" spans="1:11" ht="42" customHeight="1">
      <c r="A5194" s="4" t="s">
        <v>11825</v>
      </c>
      <c r="B5194" s="5" t="s">
        <v>11826</v>
      </c>
      <c r="C5194" s="5" t="s">
        <v>35</v>
      </c>
      <c r="D5194" s="5" t="s">
        <v>36</v>
      </c>
      <c r="E5194" s="5" t="s">
        <v>281</v>
      </c>
      <c r="F5194" s="9">
        <v>15</v>
      </c>
      <c r="G5194" s="9">
        <v>156</v>
      </c>
      <c r="H5194" s="5" t="s">
        <v>20</v>
      </c>
      <c r="I5194" s="5" t="s">
        <v>11827</v>
      </c>
      <c r="J5194" s="12" t="str">
        <f>HYPERLINK("https://www.boe.es/gazeta/dias/1805/02/19/pdfs/GMD-1805-15.pdf#page=8","Abrir facsímil")</f>
        <v>Abrir facsímil</v>
      </c>
      <c r="K5194" s="15" t="s">
        <v>22</v>
      </c>
    </row>
    <row r="5195" spans="1:11" ht="42" customHeight="1">
      <c r="A5195" s="4" t="s">
        <v>11828</v>
      </c>
      <c r="B5195" s="5" t="s">
        <v>11829</v>
      </c>
      <c r="C5195" s="5" t="s">
        <v>52</v>
      </c>
      <c r="D5195" s="5" t="s">
        <v>53</v>
      </c>
      <c r="E5195" s="5" t="s">
        <v>144</v>
      </c>
      <c r="F5195" s="9">
        <v>85</v>
      </c>
      <c r="G5195" s="9" t="s">
        <v>222</v>
      </c>
      <c r="H5195" s="5" t="s">
        <v>20</v>
      </c>
      <c r="I5195" s="5" t="s">
        <v>11830</v>
      </c>
      <c r="J5195" s="12" t="str">
        <f>HYPERLINK("https://www.boe.es/gazeta/dias/1805/10/22/pdfs/GMD-C-1805-85.pdf#page=1","Abrir facsímil")</f>
        <v>Abrir facsímil</v>
      </c>
      <c r="K5195" s="15" t="s">
        <v>22</v>
      </c>
    </row>
    <row r="5196" spans="1:11" ht="42" customHeight="1">
      <c r="A5196" s="4" t="s">
        <v>11831</v>
      </c>
      <c r="B5196" s="5" t="s">
        <v>11832</v>
      </c>
      <c r="C5196" s="5" t="s">
        <v>80</v>
      </c>
      <c r="D5196" s="5" t="s">
        <v>81</v>
      </c>
      <c r="E5196" s="5" t="s">
        <v>789</v>
      </c>
      <c r="F5196" s="9">
        <v>104</v>
      </c>
      <c r="G5196" s="9">
        <v>1124</v>
      </c>
      <c r="H5196" s="5" t="s">
        <v>20</v>
      </c>
      <c r="I5196" s="5" t="s">
        <v>11833</v>
      </c>
      <c r="J5196" s="12" t="str">
        <f>HYPERLINK("https://www.boe.es/gazeta/dias/1805/12/27/pdfs/GMD-1805-104.pdf#page=8","Abrir facsímil")</f>
        <v>Abrir facsímil</v>
      </c>
      <c r="K5196" s="15" t="s">
        <v>22</v>
      </c>
    </row>
    <row r="5197" spans="1:11" ht="42" customHeight="1">
      <c r="A5197" s="4" t="s">
        <v>11834</v>
      </c>
      <c r="B5197" s="5" t="s">
        <v>11835</v>
      </c>
      <c r="C5197" s="5" t="s">
        <v>35</v>
      </c>
      <c r="D5197" s="5" t="s">
        <v>36</v>
      </c>
      <c r="E5197" s="5" t="s">
        <v>24</v>
      </c>
      <c r="F5197" s="9">
        <v>11</v>
      </c>
      <c r="G5197" s="9">
        <v>114</v>
      </c>
      <c r="H5197" s="5" t="s">
        <v>20</v>
      </c>
      <c r="I5197" s="5" t="s">
        <v>11836</v>
      </c>
      <c r="J5197" s="12" t="str">
        <f>HYPERLINK("https://www.boe.es/gazeta/dias/1805/02/05/pdfs/GMD-1805-11.pdf#page=2","Abrir facsímil")</f>
        <v>Abrir facsímil</v>
      </c>
      <c r="K5197" s="15" t="s">
        <v>22</v>
      </c>
    </row>
    <row r="5198" spans="1:11" ht="42" customHeight="1">
      <c r="A5198" s="4" t="s">
        <v>11837</v>
      </c>
      <c r="B5198" s="5" t="s">
        <v>11838</v>
      </c>
      <c r="C5198" s="5" t="s">
        <v>85</v>
      </c>
      <c r="D5198" s="5" t="s">
        <v>86</v>
      </c>
      <c r="E5198" s="5" t="s">
        <v>27</v>
      </c>
      <c r="F5198" s="9">
        <v>37</v>
      </c>
      <c r="G5198" s="9">
        <v>394</v>
      </c>
      <c r="H5198" s="5" t="s">
        <v>20</v>
      </c>
      <c r="I5198" s="5" t="s">
        <v>11839</v>
      </c>
      <c r="J5198" s="12" t="str">
        <f>HYPERLINK("https://www.boe.es/gazeta/dias/1805/05/07/pdfs/GMD-1805-37.pdf#page=2","Abrir facsímil")</f>
        <v>Abrir facsímil</v>
      </c>
      <c r="K5198" s="15" t="s">
        <v>22</v>
      </c>
    </row>
    <row r="5199" spans="1:11" ht="42" customHeight="1">
      <c r="A5199" s="4" t="s">
        <v>11840</v>
      </c>
      <c r="B5199" s="5" t="s">
        <v>11840</v>
      </c>
      <c r="C5199" s="5" t="s">
        <v>29</v>
      </c>
      <c r="D5199" s="5" t="s">
        <v>30</v>
      </c>
      <c r="E5199" s="5" t="s">
        <v>112</v>
      </c>
      <c r="F5199" s="9">
        <v>16</v>
      </c>
      <c r="G5199" s="9">
        <v>167</v>
      </c>
      <c r="H5199" s="5" t="s">
        <v>20</v>
      </c>
      <c r="I5199" s="5" t="s">
        <v>11841</v>
      </c>
      <c r="J5199" s="12" t="str">
        <f>HYPERLINK("https://www.boe.es/gazeta/dias/1805/02/22/pdfs/GMD-1805-16.pdf#page=7","Abrir facsímil")</f>
        <v>Abrir facsímil</v>
      </c>
      <c r="K5199" s="15" t="s">
        <v>22</v>
      </c>
    </row>
    <row r="5200" spans="1:11" ht="42" customHeight="1">
      <c r="A5200" s="4" t="s">
        <v>11842</v>
      </c>
      <c r="B5200" s="5" t="s">
        <v>11843</v>
      </c>
      <c r="C5200" s="5" t="s">
        <v>17</v>
      </c>
      <c r="D5200" s="5" t="s">
        <v>18</v>
      </c>
      <c r="E5200" s="5" t="s">
        <v>567</v>
      </c>
      <c r="F5200" s="9">
        <v>49</v>
      </c>
      <c r="G5200" s="9">
        <v>532</v>
      </c>
      <c r="H5200" s="5" t="s">
        <v>20</v>
      </c>
      <c r="I5200" s="5" t="s">
        <v>11844</v>
      </c>
      <c r="J5200" s="12" t="str">
        <f>HYPERLINK("https://www.boe.es/gazeta/dias/1805/06/18/pdfs/GMD-1805-49.pdf#page=8","Abrir facsímil")</f>
        <v>Abrir facsímil</v>
      </c>
      <c r="K5200" s="15" t="s">
        <v>22</v>
      </c>
    </row>
    <row r="5201" spans="1:11" ht="42" customHeight="1">
      <c r="A5201" s="4" t="s">
        <v>11845</v>
      </c>
      <c r="B5201" s="5" t="s">
        <v>11846</v>
      </c>
      <c r="C5201" s="5" t="s">
        <v>80</v>
      </c>
      <c r="D5201" s="5" t="s">
        <v>81</v>
      </c>
      <c r="E5201" s="5" t="s">
        <v>356</v>
      </c>
      <c r="F5201" s="9">
        <v>12</v>
      </c>
      <c r="G5201" s="9">
        <v>128</v>
      </c>
      <c r="H5201" s="5" t="s">
        <v>20</v>
      </c>
      <c r="I5201" s="5" t="s">
        <v>11847</v>
      </c>
      <c r="J5201" s="12" t="str">
        <f>HYPERLINK("https://www.boe.es/gazeta/dias/1805/02/08/pdfs/GMD-1805-12.pdf#page=4","Abrir facsímil")</f>
        <v>Abrir facsímil</v>
      </c>
      <c r="K5201" s="15" t="s">
        <v>22</v>
      </c>
    </row>
    <row r="5202" spans="1:11" ht="42" customHeight="1">
      <c r="A5202" s="4" t="s">
        <v>11848</v>
      </c>
      <c r="B5202" s="5" t="s">
        <v>11848</v>
      </c>
      <c r="C5202" s="5" t="s">
        <v>17</v>
      </c>
      <c r="D5202" s="5" t="s">
        <v>18</v>
      </c>
      <c r="E5202" s="5" t="s">
        <v>31</v>
      </c>
      <c r="F5202" s="9">
        <v>65</v>
      </c>
      <c r="G5202" s="9">
        <v>695</v>
      </c>
      <c r="H5202" s="5" t="s">
        <v>20</v>
      </c>
      <c r="I5202" s="5" t="s">
        <v>11849</v>
      </c>
      <c r="J5202" s="12" t="str">
        <f>HYPERLINK("https://www.boe.es/gazeta/dias/1805/08/13/pdfs/GMD-1805-65.pdf#page=7","Abrir facsímil")</f>
        <v>Abrir facsímil</v>
      </c>
      <c r="K5202" s="15" t="s">
        <v>22</v>
      </c>
    </row>
    <row r="5203" spans="1:11" ht="42" customHeight="1">
      <c r="A5203" s="4" t="s">
        <v>11850</v>
      </c>
      <c r="B5203" s="5" t="s">
        <v>11850</v>
      </c>
      <c r="C5203" s="5" t="s">
        <v>80</v>
      </c>
      <c r="D5203" s="5" t="s">
        <v>81</v>
      </c>
      <c r="E5203" s="5" t="s">
        <v>99</v>
      </c>
      <c r="F5203" s="9">
        <v>83</v>
      </c>
      <c r="G5203" s="9">
        <v>877</v>
      </c>
      <c r="H5203" s="5" t="s">
        <v>20</v>
      </c>
      <c r="I5203" s="5" t="s">
        <v>11851</v>
      </c>
      <c r="J5203" s="12" t="str">
        <f>HYPERLINK("https://www.boe.es/gazeta/dias/1805/10/15/pdfs/GMD-1805-83.pdf#page=5","Abrir facsímil")</f>
        <v>Abrir facsímil</v>
      </c>
      <c r="K5203" s="15" t="s">
        <v>22</v>
      </c>
    </row>
    <row r="5204" spans="1:11" ht="42" customHeight="1">
      <c r="A5204" s="4" t="s">
        <v>11852</v>
      </c>
      <c r="B5204" s="5" t="s">
        <v>11853</v>
      </c>
      <c r="C5204" s="5" t="s">
        <v>17</v>
      </c>
      <c r="D5204" s="5" t="s">
        <v>18</v>
      </c>
      <c r="E5204" s="5" t="s">
        <v>1494</v>
      </c>
      <c r="F5204" s="9">
        <v>31</v>
      </c>
      <c r="G5204" s="9">
        <v>336</v>
      </c>
      <c r="H5204" s="5" t="s">
        <v>20</v>
      </c>
      <c r="I5204" s="5" t="s">
        <v>11854</v>
      </c>
      <c r="J5204" s="12" t="str">
        <f>HYPERLINK("https://www.boe.es/gazeta/dias/1805/04/16/pdfs/GMD-1805-31.pdf#page=12","Abrir facsímil")</f>
        <v>Abrir facsímil</v>
      </c>
      <c r="K5204" s="15" t="s">
        <v>22</v>
      </c>
    </row>
    <row r="5205" spans="1:11" ht="42" customHeight="1">
      <c r="A5205" s="4" t="s">
        <v>11852</v>
      </c>
      <c r="B5205" s="5" t="s">
        <v>11853</v>
      </c>
      <c r="C5205" s="5" t="s">
        <v>29</v>
      </c>
      <c r="D5205" s="5" t="s">
        <v>30</v>
      </c>
      <c r="E5205" s="5" t="s">
        <v>673</v>
      </c>
      <c r="F5205" s="9">
        <v>32</v>
      </c>
      <c r="G5205" s="9">
        <v>344</v>
      </c>
      <c r="H5205" s="5" t="s">
        <v>20</v>
      </c>
      <c r="I5205" s="5" t="s">
        <v>11855</v>
      </c>
      <c r="J5205" s="12" t="str">
        <f>HYPERLINK("https://www.boe.es/gazeta/dias/1805/04/19/pdfs/GMD-1805-32.pdf#page=8","Abrir facsímil")</f>
        <v>Abrir facsímil</v>
      </c>
      <c r="K5205" s="15" t="s">
        <v>22</v>
      </c>
    </row>
    <row r="5206" spans="1:11" ht="42" customHeight="1">
      <c r="A5206" s="4" t="s">
        <v>11852</v>
      </c>
      <c r="B5206" s="5" t="s">
        <v>11853</v>
      </c>
      <c r="C5206" s="5" t="s">
        <v>29</v>
      </c>
      <c r="D5206" s="5" t="s">
        <v>30</v>
      </c>
      <c r="E5206" s="5" t="s">
        <v>196</v>
      </c>
      <c r="F5206" s="9">
        <v>67</v>
      </c>
      <c r="G5206" s="9">
        <v>719</v>
      </c>
      <c r="H5206" s="5" t="s">
        <v>20</v>
      </c>
      <c r="I5206" s="5" t="s">
        <v>11856</v>
      </c>
      <c r="J5206" s="12" t="str">
        <f>HYPERLINK("https://www.boe.es/gazeta/dias/1805/08/20/pdfs/GMD-1805-67.pdf#page=7","Abrir facsímil")</f>
        <v>Abrir facsímil</v>
      </c>
      <c r="K5206" s="15" t="s">
        <v>22</v>
      </c>
    </row>
    <row r="5207" spans="1:11" ht="42" customHeight="1">
      <c r="A5207" s="4" t="s">
        <v>11852</v>
      </c>
      <c r="B5207" s="5" t="s">
        <v>11853</v>
      </c>
      <c r="C5207" s="5" t="s">
        <v>17</v>
      </c>
      <c r="D5207" s="5" t="s">
        <v>18</v>
      </c>
      <c r="E5207" s="5" t="s">
        <v>552</v>
      </c>
      <c r="F5207" s="9">
        <v>94</v>
      </c>
      <c r="G5207" s="9">
        <v>1008</v>
      </c>
      <c r="H5207" s="5" t="s">
        <v>20</v>
      </c>
      <c r="I5207" s="5" t="s">
        <v>11857</v>
      </c>
      <c r="J5207" s="12" t="str">
        <f>HYPERLINK("https://www.boe.es/gazeta/dias/1805/11/22/pdfs/GMD-1805-94.pdf#page=8","Abrir facsímil")</f>
        <v>Abrir facsímil</v>
      </c>
      <c r="K5207" s="15" t="s">
        <v>22</v>
      </c>
    </row>
    <row r="5208" spans="1:11" ht="42" customHeight="1">
      <c r="A5208" s="4" t="s">
        <v>11858</v>
      </c>
      <c r="B5208" s="5" t="s">
        <v>11859</v>
      </c>
      <c r="C5208" s="5" t="s">
        <v>17</v>
      </c>
      <c r="D5208" s="5" t="s">
        <v>18</v>
      </c>
      <c r="E5208" s="5" t="s">
        <v>290</v>
      </c>
      <c r="F5208" s="9">
        <v>36</v>
      </c>
      <c r="G5208" s="9">
        <v>388</v>
      </c>
      <c r="H5208" s="5" t="s">
        <v>20</v>
      </c>
      <c r="I5208" s="5" t="s">
        <v>11860</v>
      </c>
      <c r="J5208" s="12" t="str">
        <f>HYPERLINK("https://www.boe.es/gazeta/dias/1805/05/03/pdfs/GMD-1805-36.pdf#page=8","Abrir facsímil")</f>
        <v>Abrir facsímil</v>
      </c>
      <c r="K5208" s="15" t="s">
        <v>22</v>
      </c>
    </row>
    <row r="5209" spans="1:11" ht="42" customHeight="1">
      <c r="A5209" s="4" t="s">
        <v>11861</v>
      </c>
      <c r="B5209" s="5" t="s">
        <v>11862</v>
      </c>
      <c r="C5209" s="5" t="s">
        <v>35</v>
      </c>
      <c r="D5209" s="5" t="s">
        <v>36</v>
      </c>
      <c r="E5209" s="5" t="s">
        <v>261</v>
      </c>
      <c r="F5209" s="9">
        <v>18</v>
      </c>
      <c r="G5209" s="9">
        <v>184</v>
      </c>
      <c r="H5209" s="5" t="s">
        <v>20</v>
      </c>
      <c r="I5209" s="5" t="s">
        <v>11863</v>
      </c>
      <c r="J5209" s="12" t="str">
        <f>HYPERLINK("https://www.boe.es/gazeta/dias/1805/03/01/pdfs/GMD-1805-18.pdf#page=4","Abrir facsímil")</f>
        <v>Abrir facsímil</v>
      </c>
      <c r="K5209" s="15" t="s">
        <v>22</v>
      </c>
    </row>
    <row r="5210" spans="1:11" ht="42" customHeight="1">
      <c r="A5210" s="4" t="s">
        <v>11864</v>
      </c>
      <c r="B5210" s="5" t="s">
        <v>11865</v>
      </c>
      <c r="C5210" s="5" t="s">
        <v>80</v>
      </c>
      <c r="D5210" s="5" t="s">
        <v>81</v>
      </c>
      <c r="E5210" s="5" t="s">
        <v>19</v>
      </c>
      <c r="F5210" s="9">
        <v>86</v>
      </c>
      <c r="G5210" s="9">
        <v>910</v>
      </c>
      <c r="H5210" s="5" t="s">
        <v>20</v>
      </c>
      <c r="I5210" s="5" t="s">
        <v>11866</v>
      </c>
      <c r="J5210" s="12" t="str">
        <f>HYPERLINK("https://www.boe.es/gazeta/dias/1805/10/25/pdfs/GMD-1805-86.pdf#page=6","Abrir facsímil")</f>
        <v>Abrir facsímil</v>
      </c>
      <c r="K5210" s="15" t="s">
        <v>22</v>
      </c>
    </row>
    <row r="5211" spans="1:11" ht="42" customHeight="1">
      <c r="A5211" s="4" t="s">
        <v>11867</v>
      </c>
      <c r="B5211" s="5" t="s">
        <v>11868</v>
      </c>
      <c r="C5211" s="5" t="s">
        <v>17</v>
      </c>
      <c r="D5211" s="5" t="s">
        <v>18</v>
      </c>
      <c r="E5211" s="5" t="s">
        <v>76</v>
      </c>
      <c r="F5211" s="9">
        <v>66</v>
      </c>
      <c r="G5211" s="9">
        <v>709</v>
      </c>
      <c r="H5211" s="5" t="s">
        <v>20</v>
      </c>
      <c r="I5211" s="5" t="s">
        <v>11869</v>
      </c>
      <c r="J5211" s="12" t="str">
        <f>HYPERLINK("https://www.boe.es/gazeta/dias/1805/08/16/pdfs/GMD-1805-66.pdf#page=9","Abrir facsímil")</f>
        <v>Abrir facsímil</v>
      </c>
      <c r="K5211" s="15" t="s">
        <v>22</v>
      </c>
    </row>
    <row r="5212" spans="1:11" ht="42" customHeight="1">
      <c r="A5212" s="4" t="s">
        <v>11870</v>
      </c>
      <c r="B5212" s="5" t="s">
        <v>11871</v>
      </c>
      <c r="C5212" s="5" t="s">
        <v>52</v>
      </c>
      <c r="D5212" s="5" t="s">
        <v>53</v>
      </c>
      <c r="E5212" s="5" t="s">
        <v>144</v>
      </c>
      <c r="F5212" s="9">
        <v>85</v>
      </c>
      <c r="G5212" s="9" t="s">
        <v>222</v>
      </c>
      <c r="H5212" s="5" t="s">
        <v>20</v>
      </c>
      <c r="I5212" s="5" t="s">
        <v>11872</v>
      </c>
      <c r="J5212" s="12" t="str">
        <f>HYPERLINK("https://www.boe.es/gazeta/dias/1805/10/22/pdfs/GMD-C-1805-85.pdf#page=1","Abrir facsímil")</f>
        <v>Abrir facsímil</v>
      </c>
      <c r="K5212" s="15" t="s">
        <v>22</v>
      </c>
    </row>
    <row r="5213" spans="1:11" ht="42" customHeight="1">
      <c r="A5213" s="4" t="s">
        <v>11873</v>
      </c>
      <c r="B5213" s="5" t="s">
        <v>11874</v>
      </c>
      <c r="C5213" s="5" t="s">
        <v>35</v>
      </c>
      <c r="D5213" s="5" t="s">
        <v>36</v>
      </c>
      <c r="E5213" s="5" t="s">
        <v>114</v>
      </c>
      <c r="F5213" s="9">
        <v>17</v>
      </c>
      <c r="G5213" s="9">
        <v>171</v>
      </c>
      <c r="H5213" s="5" t="s">
        <v>20</v>
      </c>
      <c r="I5213" s="5" t="s">
        <v>11875</v>
      </c>
      <c r="J5213" s="12" t="str">
        <f>HYPERLINK("https://www.boe.es/gazeta/dias/1805/02/26/pdfs/GMD-1805-17.pdf#page=3","Abrir facsímil")</f>
        <v>Abrir facsímil</v>
      </c>
      <c r="K5213" s="15" t="s">
        <v>22</v>
      </c>
    </row>
    <row r="5214" spans="1:11" ht="42" customHeight="1">
      <c r="A5214" s="4" t="s">
        <v>11873</v>
      </c>
      <c r="B5214" s="5" t="s">
        <v>11874</v>
      </c>
      <c r="C5214" s="5" t="s">
        <v>17</v>
      </c>
      <c r="D5214" s="5" t="s">
        <v>18</v>
      </c>
      <c r="E5214" s="5" t="s">
        <v>440</v>
      </c>
      <c r="F5214" s="9">
        <v>27</v>
      </c>
      <c r="G5214" s="9">
        <v>283</v>
      </c>
      <c r="H5214" s="5" t="s">
        <v>20</v>
      </c>
      <c r="I5214" s="5" t="s">
        <v>11876</v>
      </c>
      <c r="J5214" s="12" t="str">
        <f>HYPERLINK("https://www.boe.es/gazeta/dias/1805/04/02/pdfs/GMD-1805-27.pdf#page=3","Abrir facsímil")</f>
        <v>Abrir facsímil</v>
      </c>
      <c r="K5214" s="15" t="s">
        <v>22</v>
      </c>
    </row>
    <row r="5215" spans="1:11" ht="42" customHeight="1">
      <c r="A5215" s="4" t="s">
        <v>11877</v>
      </c>
      <c r="B5215" s="5" t="s">
        <v>11878</v>
      </c>
      <c r="C5215" s="5" t="s">
        <v>52</v>
      </c>
      <c r="D5215" s="5" t="s">
        <v>53</v>
      </c>
      <c r="E5215" s="5" t="s">
        <v>82</v>
      </c>
      <c r="F5215" s="9">
        <v>25</v>
      </c>
      <c r="G5215" s="9" t="s">
        <v>145</v>
      </c>
      <c r="H5215" s="5" t="s">
        <v>20</v>
      </c>
      <c r="I5215" s="5" t="s">
        <v>11879</v>
      </c>
      <c r="J5215" s="12" t="str">
        <f>HYPERLINK("https://www.boe.es/gazeta/dias/1805/03/26/pdfs/GMD-C-1805-25.pdf#page=2","Abrir facsímil")</f>
        <v>Abrir facsímil</v>
      </c>
      <c r="K5215" s="15" t="s">
        <v>22</v>
      </c>
    </row>
    <row r="5216" spans="1:11" ht="42" customHeight="1">
      <c r="A5216" s="4" t="s">
        <v>11880</v>
      </c>
      <c r="B5216" s="5" t="s">
        <v>11881</v>
      </c>
      <c r="C5216" s="5" t="s">
        <v>17</v>
      </c>
      <c r="D5216" s="5" t="s">
        <v>18</v>
      </c>
      <c r="E5216" s="5" t="s">
        <v>352</v>
      </c>
      <c r="F5216" s="9">
        <v>60</v>
      </c>
      <c r="G5216" s="9">
        <v>645</v>
      </c>
      <c r="H5216" s="5" t="s">
        <v>20</v>
      </c>
      <c r="I5216" s="5" t="s">
        <v>11882</v>
      </c>
      <c r="J5216" s="12" t="str">
        <f>HYPERLINK("https://www.boe.es/gazeta/dias/1805/07/26/pdfs/GMD-1805-60.pdf#page=9","Abrir facsímil")</f>
        <v>Abrir facsímil</v>
      </c>
      <c r="K5216" s="15" t="s">
        <v>22</v>
      </c>
    </row>
    <row r="5217" spans="1:11" ht="42" customHeight="1">
      <c r="A5217" s="4" t="s">
        <v>11883</v>
      </c>
      <c r="B5217" s="5" t="s">
        <v>11884</v>
      </c>
      <c r="C5217" s="5" t="s">
        <v>52</v>
      </c>
      <c r="D5217" s="5" t="s">
        <v>53</v>
      </c>
      <c r="E5217" s="5" t="s">
        <v>82</v>
      </c>
      <c r="F5217" s="9">
        <v>25</v>
      </c>
      <c r="G5217" s="9" t="s">
        <v>145</v>
      </c>
      <c r="H5217" s="5" t="s">
        <v>20</v>
      </c>
      <c r="I5217" s="5" t="s">
        <v>11885</v>
      </c>
      <c r="J5217" s="12" t="str">
        <f>HYPERLINK("https://www.boe.es/gazeta/dias/1805/03/26/pdfs/GMD-C-1805-25.pdf#page=2","Abrir facsímil")</f>
        <v>Abrir facsímil</v>
      </c>
      <c r="K5217" s="15" t="s">
        <v>22</v>
      </c>
    </row>
    <row r="5218" spans="1:11" ht="42" customHeight="1">
      <c r="A5218" s="4" t="s">
        <v>11886</v>
      </c>
      <c r="B5218" s="5" t="s">
        <v>11887</v>
      </c>
      <c r="C5218" s="5" t="s">
        <v>85</v>
      </c>
      <c r="D5218" s="5" t="s">
        <v>86</v>
      </c>
      <c r="E5218" s="5" t="s">
        <v>281</v>
      </c>
      <c r="F5218" s="9">
        <v>15</v>
      </c>
      <c r="G5218" s="9">
        <v>158</v>
      </c>
      <c r="H5218" s="5" t="s">
        <v>20</v>
      </c>
      <c r="I5218" s="5" t="s">
        <v>11888</v>
      </c>
      <c r="J5218" s="12" t="str">
        <f>HYPERLINK("https://www.boe.es/gazeta/dias/1805/02/19/pdfs/GMD-1805-15.pdf#page=10","Abrir facsímil")</f>
        <v>Abrir facsímil</v>
      </c>
      <c r="K5218" s="15" t="s">
        <v>22</v>
      </c>
    </row>
    <row r="5219" spans="1:11" ht="42" customHeight="1">
      <c r="A5219" s="4" t="s">
        <v>11889</v>
      </c>
      <c r="B5219" s="5" t="s">
        <v>11890</v>
      </c>
      <c r="C5219" s="5" t="s">
        <v>80</v>
      </c>
      <c r="D5219" s="5" t="s">
        <v>81</v>
      </c>
      <c r="E5219" s="5" t="s">
        <v>67</v>
      </c>
      <c r="F5219" s="9">
        <v>98</v>
      </c>
      <c r="G5219" s="9">
        <v>1057</v>
      </c>
      <c r="H5219" s="5" t="s">
        <v>20</v>
      </c>
      <c r="I5219" s="5" t="s">
        <v>11891</v>
      </c>
      <c r="J5219" s="12" t="str">
        <f>HYPERLINK("https://www.boe.es/gazeta/dias/1805/12/06/pdfs/GMD-1805-98.pdf#page=9","Abrir facsímil")</f>
        <v>Abrir facsímil</v>
      </c>
      <c r="K5219" s="15" t="s">
        <v>22</v>
      </c>
    </row>
    <row r="5220" spans="1:11" ht="42" customHeight="1">
      <c r="A5220" s="4" t="s">
        <v>11892</v>
      </c>
      <c r="B5220" s="5" t="s">
        <v>11893</v>
      </c>
      <c r="C5220" s="5" t="s">
        <v>35</v>
      </c>
      <c r="D5220" s="5" t="s">
        <v>36</v>
      </c>
      <c r="E5220" s="5" t="s">
        <v>141</v>
      </c>
      <c r="F5220" s="9">
        <v>82</v>
      </c>
      <c r="G5220" s="9">
        <v>870</v>
      </c>
      <c r="H5220" s="5" t="s">
        <v>20</v>
      </c>
      <c r="I5220" s="5" t="s">
        <v>11894</v>
      </c>
      <c r="J5220" s="12" t="str">
        <f>HYPERLINK("https://www.boe.es/gazeta/dias/1805/10/11/pdfs/GMD-1805-82.pdf#page=10","Abrir facsímil")</f>
        <v>Abrir facsímil</v>
      </c>
      <c r="K5220" s="15" t="s">
        <v>22</v>
      </c>
    </row>
    <row r="5221" spans="1:11" ht="42" customHeight="1">
      <c r="A5221" s="4" t="s">
        <v>11895</v>
      </c>
      <c r="B5221" s="5" t="s">
        <v>11896</v>
      </c>
      <c r="C5221" s="5" t="s">
        <v>52</v>
      </c>
      <c r="D5221" s="5" t="s">
        <v>53</v>
      </c>
      <c r="E5221" s="5" t="s">
        <v>144</v>
      </c>
      <c r="F5221" s="9">
        <v>85</v>
      </c>
      <c r="G5221" s="9" t="s">
        <v>222</v>
      </c>
      <c r="H5221" s="5" t="s">
        <v>20</v>
      </c>
      <c r="I5221" s="5" t="s">
        <v>11897</v>
      </c>
      <c r="J5221" s="12" t="str">
        <f>HYPERLINK("https://www.boe.es/gazeta/dias/1805/10/22/pdfs/GMD-C-1805-85.pdf#page=1","Abrir facsímil")</f>
        <v>Abrir facsímil</v>
      </c>
      <c r="K5221" s="15" t="s">
        <v>22</v>
      </c>
    </row>
    <row r="5222" spans="1:11" ht="42" customHeight="1">
      <c r="A5222" s="4" t="s">
        <v>11898</v>
      </c>
      <c r="B5222" s="5" t="s">
        <v>11898</v>
      </c>
      <c r="C5222" s="5" t="s">
        <v>17</v>
      </c>
      <c r="D5222" s="5" t="s">
        <v>18</v>
      </c>
      <c r="E5222" s="5" t="s">
        <v>76</v>
      </c>
      <c r="F5222" s="9">
        <v>66</v>
      </c>
      <c r="G5222" s="9">
        <v>705</v>
      </c>
      <c r="H5222" s="5" t="s">
        <v>20</v>
      </c>
      <c r="I5222" s="5" t="s">
        <v>11899</v>
      </c>
      <c r="J5222" s="12" t="str">
        <f>HYPERLINK("https://www.boe.es/gazeta/dias/1805/08/16/pdfs/GMD-1805-66.pdf#page=5","Abrir facsímil")</f>
        <v>Abrir facsímil</v>
      </c>
      <c r="K5222" s="15" t="s">
        <v>22</v>
      </c>
    </row>
    <row r="5223" spans="1:11" ht="42" customHeight="1">
      <c r="A5223" s="4" t="s">
        <v>11900</v>
      </c>
      <c r="B5223" s="5" t="s">
        <v>11901</v>
      </c>
      <c r="C5223" s="5" t="s">
        <v>35</v>
      </c>
      <c r="D5223" s="5" t="s">
        <v>36</v>
      </c>
      <c r="E5223" s="5" t="s">
        <v>399</v>
      </c>
      <c r="F5223" s="9">
        <v>39</v>
      </c>
      <c r="G5223" s="9">
        <v>422</v>
      </c>
      <c r="H5223" s="5" t="s">
        <v>20</v>
      </c>
      <c r="I5223" s="5" t="s">
        <v>11902</v>
      </c>
      <c r="J5223" s="12" t="str">
        <f>HYPERLINK("https://www.boe.es/gazeta/dias/1805/05/14/pdfs/GMD-1805-39.pdf#page=10","Abrir facsímil")</f>
        <v>Abrir facsímil</v>
      </c>
      <c r="K5223" s="15" t="s">
        <v>22</v>
      </c>
    </row>
    <row r="5224" spans="1:11" ht="42" customHeight="1">
      <c r="A5224" s="4" t="s">
        <v>11903</v>
      </c>
      <c r="B5224" s="5" t="s">
        <v>11903</v>
      </c>
      <c r="C5224" s="5" t="s">
        <v>35</v>
      </c>
      <c r="D5224" s="5" t="s">
        <v>36</v>
      </c>
      <c r="E5224" s="5" t="s">
        <v>1471</v>
      </c>
      <c r="F5224" s="9">
        <v>34</v>
      </c>
      <c r="G5224" s="9">
        <v>362</v>
      </c>
      <c r="H5224" s="5" t="s">
        <v>20</v>
      </c>
      <c r="I5224" s="5" t="s">
        <v>11904</v>
      </c>
      <c r="J5224" s="12" t="str">
        <f>HYPERLINK("https://www.boe.es/gazeta/dias/1805/04/26/pdfs/GMD-1805-34.pdf#page=6","Abrir facsímil")</f>
        <v>Abrir facsímil</v>
      </c>
      <c r="K5224" s="15" t="s">
        <v>22</v>
      </c>
    </row>
    <row r="5225" spans="1:11" ht="42" customHeight="1">
      <c r="A5225" s="4" t="s">
        <v>11905</v>
      </c>
      <c r="B5225" s="5" t="s">
        <v>11906</v>
      </c>
      <c r="C5225" s="5" t="s">
        <v>35</v>
      </c>
      <c r="D5225" s="5" t="s">
        <v>36</v>
      </c>
      <c r="E5225" s="5" t="s">
        <v>163</v>
      </c>
      <c r="F5225" s="9">
        <v>77</v>
      </c>
      <c r="G5225" s="9">
        <v>817</v>
      </c>
      <c r="H5225" s="5" t="s">
        <v>20</v>
      </c>
      <c r="I5225" s="5" t="s">
        <v>11907</v>
      </c>
      <c r="J5225" s="12" t="str">
        <f>HYPERLINK("https://www.boe.es/gazeta/dias/1805/09/24/pdfs/GMD-1805-77.pdf#page=9","Abrir facsímil")</f>
        <v>Abrir facsímil</v>
      </c>
      <c r="K5225" s="15" t="s">
        <v>22</v>
      </c>
    </row>
    <row r="5226" spans="1:11" ht="42" customHeight="1">
      <c r="A5226" s="4" t="s">
        <v>11908</v>
      </c>
      <c r="B5226" s="5" t="s">
        <v>11909</v>
      </c>
      <c r="C5226" s="5" t="s">
        <v>35</v>
      </c>
      <c r="D5226" s="5" t="s">
        <v>36</v>
      </c>
      <c r="E5226" s="5" t="s">
        <v>37</v>
      </c>
      <c r="F5226" s="9">
        <v>54</v>
      </c>
      <c r="G5226" s="9">
        <v>579</v>
      </c>
      <c r="H5226" s="5" t="s">
        <v>20</v>
      </c>
      <c r="I5226" s="5" t="s">
        <v>11910</v>
      </c>
      <c r="J5226" s="12" t="str">
        <f>HYPERLINK("https://www.boe.es/gazeta/dias/1805/07/05/pdfs/GMD-1805-54.pdf#page=7","Abrir facsímil")</f>
        <v>Abrir facsímil</v>
      </c>
      <c r="K5226" s="15" t="s">
        <v>22</v>
      </c>
    </row>
    <row r="5227" spans="1:11" ht="42" customHeight="1">
      <c r="A5227" s="4" t="s">
        <v>11911</v>
      </c>
      <c r="B5227" s="5" t="s">
        <v>11912</v>
      </c>
      <c r="C5227" s="5" t="s">
        <v>35</v>
      </c>
      <c r="D5227" s="5" t="s">
        <v>36</v>
      </c>
      <c r="E5227" s="5" t="s">
        <v>290</v>
      </c>
      <c r="F5227" s="9">
        <v>36</v>
      </c>
      <c r="G5227" s="9">
        <v>388</v>
      </c>
      <c r="H5227" s="5" t="s">
        <v>20</v>
      </c>
      <c r="I5227" s="5" t="s">
        <v>11913</v>
      </c>
      <c r="J5227" s="12" t="str">
        <f>HYPERLINK("https://www.boe.es/gazeta/dias/1805/05/03/pdfs/GMD-1805-36.pdf#page=8","Abrir facsímil")</f>
        <v>Abrir facsímil</v>
      </c>
      <c r="K5227" s="15" t="s">
        <v>22</v>
      </c>
    </row>
    <row r="5228" spans="1:11" ht="42" customHeight="1">
      <c r="A5228" s="4" t="s">
        <v>11914</v>
      </c>
      <c r="B5228" s="5" t="s">
        <v>11915</v>
      </c>
      <c r="C5228" s="5" t="s">
        <v>35</v>
      </c>
      <c r="D5228" s="5" t="s">
        <v>36</v>
      </c>
      <c r="E5228" s="5" t="s">
        <v>37</v>
      </c>
      <c r="F5228" s="9">
        <v>54</v>
      </c>
      <c r="G5228" s="9">
        <v>579</v>
      </c>
      <c r="H5228" s="5" t="s">
        <v>20</v>
      </c>
      <c r="I5228" s="5" t="s">
        <v>11916</v>
      </c>
      <c r="J5228" s="12" t="str">
        <f>HYPERLINK("https://www.boe.es/gazeta/dias/1805/07/05/pdfs/GMD-1805-54.pdf#page=7","Abrir facsímil")</f>
        <v>Abrir facsímil</v>
      </c>
      <c r="K5228" s="15" t="s">
        <v>22</v>
      </c>
    </row>
    <row r="5229" spans="1:11" ht="42" customHeight="1">
      <c r="A5229" s="4" t="s">
        <v>11917</v>
      </c>
      <c r="B5229" s="5" t="s">
        <v>11918</v>
      </c>
      <c r="C5229" s="5" t="s">
        <v>29</v>
      </c>
      <c r="D5229" s="5" t="s">
        <v>30</v>
      </c>
      <c r="E5229" s="5" t="s">
        <v>27</v>
      </c>
      <c r="F5229" s="9">
        <v>37</v>
      </c>
      <c r="G5229" s="9">
        <v>404</v>
      </c>
      <c r="H5229" s="5" t="s">
        <v>20</v>
      </c>
      <c r="I5229" s="5" t="s">
        <v>11919</v>
      </c>
      <c r="J5229" s="12" t="str">
        <f>HYPERLINK("https://www.boe.es/gazeta/dias/1805/05/07/pdfs/GMD-1805-37.pdf#page=12","Abrir facsímil")</f>
        <v>Abrir facsímil</v>
      </c>
      <c r="K5229" s="15" t="s">
        <v>22</v>
      </c>
    </row>
    <row r="5230" spans="1:11" ht="42" customHeight="1">
      <c r="A5230" s="4" t="s">
        <v>11920</v>
      </c>
      <c r="B5230" s="5" t="s">
        <v>11921</v>
      </c>
      <c r="C5230" s="5" t="s">
        <v>35</v>
      </c>
      <c r="D5230" s="5" t="s">
        <v>36</v>
      </c>
      <c r="E5230" s="5" t="s">
        <v>290</v>
      </c>
      <c r="F5230" s="9">
        <v>36</v>
      </c>
      <c r="G5230" s="9">
        <v>389</v>
      </c>
      <c r="H5230" s="5" t="s">
        <v>20</v>
      </c>
      <c r="I5230" s="5" t="s">
        <v>11922</v>
      </c>
      <c r="J5230" s="12" t="str">
        <f>HYPERLINK("https://www.boe.es/gazeta/dias/1805/05/03/pdfs/GMD-1805-36.pdf#page=9","Abrir facsímil")</f>
        <v>Abrir facsímil</v>
      </c>
      <c r="K5230" s="15" t="s">
        <v>22</v>
      </c>
    </row>
    <row r="5231" spans="1:11" ht="42" customHeight="1">
      <c r="A5231" s="4" t="s">
        <v>11923</v>
      </c>
      <c r="B5231" s="5" t="s">
        <v>11924</v>
      </c>
      <c r="C5231" s="5" t="s">
        <v>35</v>
      </c>
      <c r="D5231" s="5" t="s">
        <v>36</v>
      </c>
      <c r="E5231" s="5" t="s">
        <v>440</v>
      </c>
      <c r="F5231" s="9">
        <v>27</v>
      </c>
      <c r="G5231" s="9">
        <v>291</v>
      </c>
      <c r="H5231" s="5" t="s">
        <v>20</v>
      </c>
      <c r="I5231" s="5" t="s">
        <v>11925</v>
      </c>
      <c r="J5231" s="12" t="str">
        <f>HYPERLINK("https://www.boe.es/gazeta/dias/1805/04/02/pdfs/GMD-1805-27.pdf#page=11","Abrir facsímil")</f>
        <v>Abrir facsímil</v>
      </c>
      <c r="K5231" s="15" t="s">
        <v>22</v>
      </c>
    </row>
    <row r="5232" spans="1:11" ht="42" customHeight="1">
      <c r="A5232" s="4" t="s">
        <v>11926</v>
      </c>
      <c r="B5232" s="5" t="s">
        <v>11927</v>
      </c>
      <c r="C5232" s="5" t="s">
        <v>35</v>
      </c>
      <c r="D5232" s="5" t="s">
        <v>36</v>
      </c>
      <c r="E5232" s="5" t="s">
        <v>904</v>
      </c>
      <c r="F5232" s="9">
        <v>47</v>
      </c>
      <c r="G5232" s="9">
        <v>509</v>
      </c>
      <c r="H5232" s="5" t="s">
        <v>20</v>
      </c>
      <c r="I5232" s="5" t="s">
        <v>11928</v>
      </c>
      <c r="J5232" s="12" t="str">
        <f>HYPERLINK("https://www.boe.es/gazeta/dias/1805/06/11/pdfs/GMD-1805-47.pdf#page=9","Abrir facsímil")</f>
        <v>Abrir facsímil</v>
      </c>
      <c r="K5232" s="15" t="s">
        <v>22</v>
      </c>
    </row>
    <row r="5233" spans="1:11" ht="42" customHeight="1">
      <c r="A5233" s="4" t="s">
        <v>11929</v>
      </c>
      <c r="B5233" s="5" t="s">
        <v>11930</v>
      </c>
      <c r="C5233" s="5" t="s">
        <v>35</v>
      </c>
      <c r="D5233" s="5" t="s">
        <v>36</v>
      </c>
      <c r="E5233" s="5" t="s">
        <v>181</v>
      </c>
      <c r="F5233" s="9">
        <v>90</v>
      </c>
      <c r="G5233" s="9">
        <v>964</v>
      </c>
      <c r="H5233" s="5" t="s">
        <v>20</v>
      </c>
      <c r="I5233" s="5" t="s">
        <v>11931</v>
      </c>
      <c r="J5233" s="12" t="str">
        <f>HYPERLINK("https://www.boe.es/gazeta/dias/1805/11/08/pdfs/GMD-1805-90.pdf#page=8","Abrir facsímil")</f>
        <v>Abrir facsímil</v>
      </c>
      <c r="K5233" s="15" t="s">
        <v>22</v>
      </c>
    </row>
    <row r="5234" spans="1:11" ht="42" customHeight="1">
      <c r="A5234" s="4" t="s">
        <v>11932</v>
      </c>
      <c r="B5234" s="5" t="s">
        <v>11933</v>
      </c>
      <c r="C5234" s="5" t="s">
        <v>85</v>
      </c>
      <c r="D5234" s="5" t="s">
        <v>86</v>
      </c>
      <c r="E5234" s="5" t="s">
        <v>1494</v>
      </c>
      <c r="F5234" s="9">
        <v>31</v>
      </c>
      <c r="G5234" s="9">
        <v>333</v>
      </c>
      <c r="H5234" s="5" t="s">
        <v>20</v>
      </c>
      <c r="I5234" s="5" t="s">
        <v>11934</v>
      </c>
      <c r="J5234" s="12" t="str">
        <f>HYPERLINK("https://www.boe.es/gazeta/dias/1805/04/16/pdfs/GMD-1805-31.pdf#page=9","Abrir facsímil")</f>
        <v>Abrir facsímil</v>
      </c>
      <c r="K5234" s="15" t="s">
        <v>22</v>
      </c>
    </row>
    <row r="5235" spans="1:11" ht="42" customHeight="1">
      <c r="A5235" s="4" t="s">
        <v>11935</v>
      </c>
      <c r="B5235" s="5" t="s">
        <v>11936</v>
      </c>
      <c r="C5235" s="5" t="s">
        <v>35</v>
      </c>
      <c r="D5235" s="5" t="s">
        <v>36</v>
      </c>
      <c r="E5235" s="5" t="s">
        <v>192</v>
      </c>
      <c r="F5235" s="9">
        <v>105</v>
      </c>
      <c r="G5235" s="9">
        <v>1137</v>
      </c>
      <c r="H5235" s="5" t="s">
        <v>20</v>
      </c>
      <c r="I5235" s="5" t="s">
        <v>11937</v>
      </c>
      <c r="J5235" s="12" t="str">
        <f>HYPERLINK("https://www.boe.es/gazeta/dias/1805/12/31/pdfs/GMD-1805-105.pdf#page=9","Abrir facsímil")</f>
        <v>Abrir facsímil</v>
      </c>
      <c r="K5235" s="15" t="s">
        <v>22</v>
      </c>
    </row>
    <row r="5236" spans="1:11" ht="42" customHeight="1">
      <c r="A5236" s="4" t="s">
        <v>11938</v>
      </c>
      <c r="B5236" s="5" t="s">
        <v>11939</v>
      </c>
      <c r="C5236" s="5" t="s">
        <v>17</v>
      </c>
      <c r="D5236" s="5" t="s">
        <v>18</v>
      </c>
      <c r="E5236" s="5" t="s">
        <v>19</v>
      </c>
      <c r="F5236" s="9">
        <v>86</v>
      </c>
      <c r="G5236" s="9">
        <v>914</v>
      </c>
      <c r="H5236" s="5" t="s">
        <v>20</v>
      </c>
      <c r="I5236" s="5" t="s">
        <v>11940</v>
      </c>
      <c r="J5236" s="12" t="str">
        <f>HYPERLINK("https://www.boe.es/gazeta/dias/1805/10/25/pdfs/GMD-1805-86.pdf#page=10","Abrir facsímil")</f>
        <v>Abrir facsímil</v>
      </c>
      <c r="K5236" s="15" t="s">
        <v>22</v>
      </c>
    </row>
    <row r="5237" spans="1:11" ht="42" customHeight="1">
      <c r="A5237" s="4" t="s">
        <v>11941</v>
      </c>
      <c r="B5237" s="5" t="s">
        <v>11941</v>
      </c>
      <c r="C5237" s="5" t="s">
        <v>29</v>
      </c>
      <c r="D5237" s="5" t="s">
        <v>30</v>
      </c>
      <c r="E5237" s="5" t="s">
        <v>31</v>
      </c>
      <c r="F5237" s="9">
        <v>65</v>
      </c>
      <c r="G5237" s="9">
        <v>698</v>
      </c>
      <c r="H5237" s="5" t="s">
        <v>20</v>
      </c>
      <c r="I5237" s="5" t="s">
        <v>11942</v>
      </c>
      <c r="J5237" s="12" t="str">
        <f>HYPERLINK("https://www.boe.es/gazeta/dias/1805/08/13/pdfs/GMD-1805-65.pdf#page=10","Abrir facsímil")</f>
        <v>Abrir facsímil</v>
      </c>
      <c r="K5237" s="15" t="s">
        <v>22</v>
      </c>
    </row>
    <row r="5238" spans="1:11" ht="42" customHeight="1">
      <c r="A5238" s="4" t="s">
        <v>11941</v>
      </c>
      <c r="B5238" s="5" t="s">
        <v>11941</v>
      </c>
      <c r="C5238" s="5" t="s">
        <v>29</v>
      </c>
      <c r="D5238" s="5" t="s">
        <v>30</v>
      </c>
      <c r="E5238" s="5" t="s">
        <v>787</v>
      </c>
      <c r="F5238" s="9">
        <v>95</v>
      </c>
      <c r="G5238" s="9">
        <v>1024</v>
      </c>
      <c r="H5238" s="5" t="s">
        <v>20</v>
      </c>
      <c r="I5238" s="5" t="s">
        <v>11943</v>
      </c>
      <c r="J5238" s="12" t="str">
        <f>HYPERLINK("https://www.boe.es/gazeta/dias/1805/11/26/pdfs/GMD-1805-95.pdf#page=12","Abrir facsímil")</f>
        <v>Abrir facsímil</v>
      </c>
      <c r="K5238" s="15" t="s">
        <v>22</v>
      </c>
    </row>
    <row r="5239" spans="1:11" ht="42" customHeight="1">
      <c r="A5239" s="4" t="s">
        <v>11944</v>
      </c>
      <c r="B5239" s="5" t="s">
        <v>11944</v>
      </c>
      <c r="C5239" s="5" t="s">
        <v>29</v>
      </c>
      <c r="D5239" s="5" t="s">
        <v>30</v>
      </c>
      <c r="E5239" s="5" t="s">
        <v>144</v>
      </c>
      <c r="F5239" s="9">
        <v>85</v>
      </c>
      <c r="G5239" s="9">
        <v>904</v>
      </c>
      <c r="H5239" s="5" t="s">
        <v>20</v>
      </c>
      <c r="I5239" s="5" t="s">
        <v>11945</v>
      </c>
      <c r="J5239" s="12" t="str">
        <f>HYPERLINK("https://www.boe.es/gazeta/dias/1805/10/22/pdfs/GMD-1805-85.pdf#page=12","Abrir facsímil")</f>
        <v>Abrir facsímil</v>
      </c>
      <c r="K5239" s="15" t="s">
        <v>22</v>
      </c>
    </row>
    <row r="5240" spans="1:11" ht="42" customHeight="1">
      <c r="A5240" s="4" t="s">
        <v>11946</v>
      </c>
      <c r="B5240" s="5" t="s">
        <v>11946</v>
      </c>
      <c r="C5240" s="5" t="s">
        <v>80</v>
      </c>
      <c r="D5240" s="5" t="s">
        <v>81</v>
      </c>
      <c r="E5240" s="5" t="s">
        <v>1259</v>
      </c>
      <c r="F5240" s="9">
        <v>78</v>
      </c>
      <c r="G5240" s="9">
        <v>825</v>
      </c>
      <c r="H5240" s="5" t="s">
        <v>20</v>
      </c>
      <c r="I5240" s="5" t="s">
        <v>11947</v>
      </c>
      <c r="J5240" s="12" t="str">
        <f>HYPERLINK("https://www.boe.es/gazeta/dias/1805/09/27/pdfs/GMD-1805-78.pdf#page=5","Abrir facsímil")</f>
        <v>Abrir facsímil</v>
      </c>
      <c r="K5240" s="15" t="s">
        <v>22</v>
      </c>
    </row>
    <row r="5241" spans="1:11" ht="42" customHeight="1">
      <c r="A5241" s="4" t="s">
        <v>11948</v>
      </c>
      <c r="B5241" s="5" t="s">
        <v>11949</v>
      </c>
      <c r="C5241" s="5" t="s">
        <v>52</v>
      </c>
      <c r="D5241" s="5" t="s">
        <v>53</v>
      </c>
      <c r="E5241" s="5" t="s">
        <v>54</v>
      </c>
      <c r="F5241" s="9">
        <v>99</v>
      </c>
      <c r="G5241" s="9" t="s">
        <v>159</v>
      </c>
      <c r="H5241" s="5" t="s">
        <v>20</v>
      </c>
      <c r="I5241" s="5" t="s">
        <v>11950</v>
      </c>
      <c r="J5241" s="12" t="str">
        <f>HYPERLINK("https://www.boe.es/gazeta/dias/1805/12/10/pdfs/GMD-C-1805-99.pdf#page=3","Abrir facsímil")</f>
        <v>Abrir facsímil</v>
      </c>
      <c r="K5241" s="15" t="s">
        <v>22</v>
      </c>
    </row>
    <row r="5242" spans="1:11" ht="42" customHeight="1">
      <c r="A5242" s="4" t="s">
        <v>11951</v>
      </c>
      <c r="B5242" s="5" t="s">
        <v>11951</v>
      </c>
      <c r="C5242" s="5" t="s">
        <v>35</v>
      </c>
      <c r="D5242" s="5" t="s">
        <v>36</v>
      </c>
      <c r="E5242" s="5" t="s">
        <v>276</v>
      </c>
      <c r="F5242" s="9">
        <v>51</v>
      </c>
      <c r="G5242" s="9">
        <v>552</v>
      </c>
      <c r="H5242" s="5" t="s">
        <v>20</v>
      </c>
      <c r="I5242" s="5" t="s">
        <v>11952</v>
      </c>
      <c r="J5242" s="12" t="str">
        <f>HYPERLINK("https://www.boe.es/gazeta/dias/1805/06/25/pdfs/GMD-1805-51.pdf#page=8","Abrir facsímil")</f>
        <v>Abrir facsímil</v>
      </c>
      <c r="K5242" s="15" t="s">
        <v>22</v>
      </c>
    </row>
    <row r="5243" spans="1:11" ht="42" customHeight="1">
      <c r="A5243" s="4" t="s">
        <v>11953</v>
      </c>
      <c r="B5243" s="5" t="s">
        <v>11954</v>
      </c>
      <c r="C5243" s="5" t="s">
        <v>17</v>
      </c>
      <c r="D5243" s="5" t="s">
        <v>18</v>
      </c>
      <c r="E5243" s="5" t="s">
        <v>117</v>
      </c>
      <c r="F5243" s="9">
        <v>20</v>
      </c>
      <c r="G5243" s="9">
        <v>206</v>
      </c>
      <c r="H5243" s="5" t="s">
        <v>20</v>
      </c>
      <c r="I5243" s="5" t="s">
        <v>11955</v>
      </c>
      <c r="J5243" s="12" t="str">
        <f>HYPERLINK("https://www.boe.es/gazeta/dias/1805/03/08/pdfs/GMD-1805-20.pdf#page=6","Abrir facsímil")</f>
        <v>Abrir facsímil</v>
      </c>
      <c r="K5243" s="15" t="s">
        <v>22</v>
      </c>
    </row>
    <row r="5244" spans="1:11" ht="42" customHeight="1">
      <c r="A5244" s="4" t="s">
        <v>11956</v>
      </c>
      <c r="B5244" s="5" t="s">
        <v>11956</v>
      </c>
      <c r="C5244" s="5" t="s">
        <v>80</v>
      </c>
      <c r="D5244" s="5" t="s">
        <v>81</v>
      </c>
      <c r="E5244" s="5" t="s">
        <v>1221</v>
      </c>
      <c r="F5244" s="9">
        <v>41</v>
      </c>
      <c r="G5244" s="9">
        <v>436</v>
      </c>
      <c r="H5244" s="5" t="s">
        <v>20</v>
      </c>
      <c r="I5244" s="5" t="s">
        <v>11957</v>
      </c>
      <c r="J5244" s="12" t="str">
        <f>HYPERLINK("https://www.boe.es/gazeta/dias/1805/05/21/pdfs/GMD-1805-41.pdf#page=4","Abrir facsímil")</f>
        <v>Abrir facsímil</v>
      </c>
      <c r="K5244" s="15" t="s">
        <v>22</v>
      </c>
    </row>
    <row r="5245" spans="1:11" ht="42" customHeight="1">
      <c r="A5245" s="4" t="s">
        <v>11958</v>
      </c>
      <c r="B5245" s="5" t="s">
        <v>11959</v>
      </c>
      <c r="C5245" s="5" t="s">
        <v>80</v>
      </c>
      <c r="D5245" s="5" t="s">
        <v>81</v>
      </c>
      <c r="E5245" s="5" t="s">
        <v>1494</v>
      </c>
      <c r="F5245" s="9">
        <v>31</v>
      </c>
      <c r="G5245" s="9">
        <v>329</v>
      </c>
      <c r="H5245" s="5" t="s">
        <v>20</v>
      </c>
      <c r="I5245" s="5" t="s">
        <v>11960</v>
      </c>
      <c r="J5245" s="12" t="str">
        <f>HYPERLINK("https://www.boe.es/gazeta/dias/1805/04/16/pdfs/GMD-1805-31.pdf#page=5","Abrir facsímil")</f>
        <v>Abrir facsímil</v>
      </c>
      <c r="K5245" s="15" t="s">
        <v>22</v>
      </c>
    </row>
    <row r="5246" spans="1:11" ht="42" customHeight="1">
      <c r="A5246" s="4" t="s">
        <v>11958</v>
      </c>
      <c r="B5246" s="5" t="s">
        <v>11959</v>
      </c>
      <c r="C5246" s="5" t="s">
        <v>35</v>
      </c>
      <c r="D5246" s="5" t="s">
        <v>36</v>
      </c>
      <c r="E5246" s="5" t="s">
        <v>426</v>
      </c>
      <c r="F5246" s="9">
        <v>75</v>
      </c>
      <c r="G5246" s="9">
        <v>794</v>
      </c>
      <c r="H5246" s="5" t="s">
        <v>20</v>
      </c>
      <c r="I5246" s="5" t="s">
        <v>11961</v>
      </c>
      <c r="J5246" s="12" t="str">
        <f>HYPERLINK("https://www.boe.es/gazeta/dias/1805/09/17/pdfs/GMD-1805-75.pdf#page=6","Abrir facsímil")</f>
        <v>Abrir facsímil</v>
      </c>
      <c r="K5246" s="15" t="s">
        <v>22</v>
      </c>
    </row>
    <row r="5247" spans="1:11" ht="42" customHeight="1">
      <c r="A5247" s="4" t="s">
        <v>11962</v>
      </c>
      <c r="B5247" s="5" t="s">
        <v>11962</v>
      </c>
      <c r="C5247" s="5" t="s">
        <v>52</v>
      </c>
      <c r="D5247" s="5" t="s">
        <v>53</v>
      </c>
      <c r="E5247" s="5" t="s">
        <v>54</v>
      </c>
      <c r="F5247" s="9">
        <v>99</v>
      </c>
      <c r="G5247" s="9" t="s">
        <v>145</v>
      </c>
      <c r="H5247" s="5" t="s">
        <v>20</v>
      </c>
      <c r="I5247" s="5" t="s">
        <v>11963</v>
      </c>
      <c r="J5247" s="12" t="str">
        <f>HYPERLINK("https://www.boe.es/gazeta/dias/1805/12/10/pdfs/GMD-C-1805-99.pdf#page=2","Abrir facsímil")</f>
        <v>Abrir facsímil</v>
      </c>
      <c r="K5247" s="15" t="s">
        <v>22</v>
      </c>
    </row>
    <row r="5248" spans="1:11" ht="42" customHeight="1">
      <c r="A5248" s="4" t="s">
        <v>11964</v>
      </c>
      <c r="B5248" s="5" t="s">
        <v>11965</v>
      </c>
      <c r="C5248" s="5" t="s">
        <v>17</v>
      </c>
      <c r="D5248" s="5" t="s">
        <v>18</v>
      </c>
      <c r="E5248" s="5" t="s">
        <v>200</v>
      </c>
      <c r="F5248" s="9">
        <v>91</v>
      </c>
      <c r="G5248" s="9">
        <v>977</v>
      </c>
      <c r="H5248" s="5" t="s">
        <v>20</v>
      </c>
      <c r="I5248" s="5" t="s">
        <v>11966</v>
      </c>
      <c r="J5248" s="12" t="str">
        <f>HYPERLINK("https://www.boe.es/gazeta/dias/1805/11/12/pdfs/GMD-1805-91.pdf#page=9","Abrir facsímil")</f>
        <v>Abrir facsímil</v>
      </c>
      <c r="K5248" s="15" t="s">
        <v>22</v>
      </c>
    </row>
    <row r="5249" spans="1:11" ht="42" customHeight="1">
      <c r="A5249" s="4" t="s">
        <v>11967</v>
      </c>
      <c r="B5249" s="5" t="s">
        <v>11968</v>
      </c>
      <c r="C5249" s="5" t="s">
        <v>17</v>
      </c>
      <c r="D5249" s="5" t="s">
        <v>18</v>
      </c>
      <c r="E5249" s="5" t="s">
        <v>91</v>
      </c>
      <c r="F5249" s="9">
        <v>28</v>
      </c>
      <c r="G5249" s="9">
        <v>301</v>
      </c>
      <c r="H5249" s="5" t="s">
        <v>20</v>
      </c>
      <c r="I5249" s="5" t="s">
        <v>11969</v>
      </c>
      <c r="J5249" s="12" t="str">
        <f>HYPERLINK("https://www.boe.es/gazeta/dias/1805/04/05/pdfs/GMD-1805-28.pdf#page=9","Abrir facsímil")</f>
        <v>Abrir facsímil</v>
      </c>
      <c r="K5249" s="15" t="s">
        <v>22</v>
      </c>
    </row>
    <row r="5250" spans="1:11" ht="42" customHeight="1">
      <c r="A5250" s="4" t="s">
        <v>11970</v>
      </c>
      <c r="B5250" s="5" t="s">
        <v>11971</v>
      </c>
      <c r="C5250" s="5" t="s">
        <v>29</v>
      </c>
      <c r="D5250" s="5" t="s">
        <v>30</v>
      </c>
      <c r="E5250" s="5" t="s">
        <v>148</v>
      </c>
      <c r="F5250" s="9">
        <v>50</v>
      </c>
      <c r="G5250" s="9">
        <v>543</v>
      </c>
      <c r="H5250" s="5" t="s">
        <v>20</v>
      </c>
      <c r="I5250" s="5" t="s">
        <v>11972</v>
      </c>
      <c r="J5250" s="12" t="str">
        <f>HYPERLINK("https://www.boe.es/gazeta/dias/1805/06/21/pdfs/GMD-1805-50.pdf#page=11","Abrir facsímil")</f>
        <v>Abrir facsímil</v>
      </c>
      <c r="K5250" s="15" t="s">
        <v>22</v>
      </c>
    </row>
    <row r="5251" spans="1:11" ht="42" customHeight="1">
      <c r="A5251" s="4" t="s">
        <v>11970</v>
      </c>
      <c r="B5251" s="5" t="s">
        <v>11971</v>
      </c>
      <c r="C5251" s="5" t="s">
        <v>29</v>
      </c>
      <c r="D5251" s="5" t="s">
        <v>30</v>
      </c>
      <c r="E5251" s="5" t="s">
        <v>506</v>
      </c>
      <c r="F5251" s="9">
        <v>80</v>
      </c>
      <c r="G5251" s="9">
        <v>852</v>
      </c>
      <c r="H5251" s="5" t="s">
        <v>20</v>
      </c>
      <c r="I5251" s="5" t="s">
        <v>11973</v>
      </c>
      <c r="J5251" s="12" t="str">
        <f>HYPERLINK("https://www.boe.es/gazeta/dias/1805/10/04/pdfs/GMD-1805-80.pdf#page=12","Abrir facsímil")</f>
        <v>Abrir facsímil</v>
      </c>
      <c r="K5251" s="15" t="s">
        <v>22</v>
      </c>
    </row>
    <row r="5252" spans="1:11" ht="42" customHeight="1">
      <c r="A5252" s="4" t="s">
        <v>11974</v>
      </c>
      <c r="B5252" s="5" t="s">
        <v>11975</v>
      </c>
      <c r="C5252" s="5" t="s">
        <v>85</v>
      </c>
      <c r="D5252" s="5" t="s">
        <v>86</v>
      </c>
      <c r="E5252" s="5" t="s">
        <v>512</v>
      </c>
      <c r="F5252" s="9">
        <v>100</v>
      </c>
      <c r="G5252" s="9">
        <v>1081</v>
      </c>
      <c r="H5252" s="5" t="s">
        <v>20</v>
      </c>
      <c r="I5252" s="5" t="s">
        <v>11976</v>
      </c>
      <c r="J5252" s="12" t="str">
        <f>HYPERLINK("https://www.boe.es/gazeta/dias/1805/12/13/pdfs/GMD-1805-100.pdf#page=9","Abrir facsímil")</f>
        <v>Abrir facsímil</v>
      </c>
      <c r="K5252" s="15" t="s">
        <v>22</v>
      </c>
    </row>
    <row r="5253" spans="1:11" ht="42" customHeight="1">
      <c r="A5253" s="4" t="s">
        <v>11977</v>
      </c>
      <c r="B5253" s="5" t="s">
        <v>11978</v>
      </c>
      <c r="C5253" s="5" t="s">
        <v>35</v>
      </c>
      <c r="D5253" s="5" t="s">
        <v>36</v>
      </c>
      <c r="E5253" s="5" t="s">
        <v>290</v>
      </c>
      <c r="F5253" s="9">
        <v>36</v>
      </c>
      <c r="G5253" s="9">
        <v>388</v>
      </c>
      <c r="H5253" s="5" t="s">
        <v>20</v>
      </c>
      <c r="I5253" s="5" t="s">
        <v>11979</v>
      </c>
      <c r="J5253" s="12" t="str">
        <f>HYPERLINK("https://www.boe.es/gazeta/dias/1805/05/03/pdfs/GMD-1805-36.pdf#page=8","Abrir facsímil")</f>
        <v>Abrir facsímil</v>
      </c>
      <c r="K5253" s="15" t="s">
        <v>22</v>
      </c>
    </row>
    <row r="5254" spans="1:11" ht="42" customHeight="1">
      <c r="A5254" s="4" t="s">
        <v>11980</v>
      </c>
      <c r="B5254" s="5" t="s">
        <v>11981</v>
      </c>
      <c r="C5254" s="5" t="s">
        <v>35</v>
      </c>
      <c r="D5254" s="5" t="s">
        <v>36</v>
      </c>
      <c r="E5254" s="5" t="s">
        <v>181</v>
      </c>
      <c r="F5254" s="9">
        <v>90</v>
      </c>
      <c r="G5254" s="9">
        <v>964</v>
      </c>
      <c r="H5254" s="5" t="s">
        <v>20</v>
      </c>
      <c r="I5254" s="5" t="s">
        <v>11982</v>
      </c>
      <c r="J5254" s="12" t="str">
        <f>HYPERLINK("https://www.boe.es/gazeta/dias/1805/11/08/pdfs/GMD-1805-90.pdf#page=8","Abrir facsímil")</f>
        <v>Abrir facsímil</v>
      </c>
      <c r="K5254" s="15" t="s">
        <v>22</v>
      </c>
    </row>
    <row r="5255" spans="1:11" ht="42" customHeight="1">
      <c r="A5255" s="4" t="s">
        <v>11983</v>
      </c>
      <c r="B5255" s="5" t="s">
        <v>11984</v>
      </c>
      <c r="C5255" s="5" t="s">
        <v>35</v>
      </c>
      <c r="D5255" s="5" t="s">
        <v>36</v>
      </c>
      <c r="E5255" s="5" t="s">
        <v>107</v>
      </c>
      <c r="F5255" s="9">
        <v>19</v>
      </c>
      <c r="G5255" s="9">
        <v>198</v>
      </c>
      <c r="H5255" s="5" t="s">
        <v>20</v>
      </c>
      <c r="I5255" s="5" t="s">
        <v>11985</v>
      </c>
      <c r="J5255" s="12" t="str">
        <f>HYPERLINK("https://www.boe.es/gazeta/dias/1805/03/05/pdfs/GMD-1805-19.pdf#page=10","Abrir facsímil")</f>
        <v>Abrir facsímil</v>
      </c>
      <c r="K5255" s="15" t="s">
        <v>22</v>
      </c>
    </row>
    <row r="5256" spans="1:11" ht="42" customHeight="1">
      <c r="A5256" s="4" t="s">
        <v>11986</v>
      </c>
      <c r="B5256" s="5" t="s">
        <v>11987</v>
      </c>
      <c r="C5256" s="5" t="s">
        <v>35</v>
      </c>
      <c r="D5256" s="5" t="s">
        <v>36</v>
      </c>
      <c r="E5256" s="5" t="s">
        <v>293</v>
      </c>
      <c r="F5256" s="9">
        <v>5</v>
      </c>
      <c r="G5256" s="9">
        <v>53</v>
      </c>
      <c r="H5256" s="5" t="s">
        <v>20</v>
      </c>
      <c r="I5256" s="5" t="s">
        <v>11988</v>
      </c>
      <c r="J5256" s="12" t="str">
        <f>HYPERLINK("https://www.boe.es/gazeta/dias/1805/01/15/pdfs/GMD-1805-5.pdf#page=9","Abrir facsímil")</f>
        <v>Abrir facsímil</v>
      </c>
      <c r="K5256" s="15" t="s">
        <v>22</v>
      </c>
    </row>
    <row r="5257" spans="1:11" ht="42" customHeight="1">
      <c r="A5257" s="4" t="s">
        <v>11989</v>
      </c>
      <c r="B5257" s="5" t="s">
        <v>11989</v>
      </c>
      <c r="C5257" s="5" t="s">
        <v>35</v>
      </c>
      <c r="D5257" s="5" t="s">
        <v>36</v>
      </c>
      <c r="E5257" s="5" t="s">
        <v>273</v>
      </c>
      <c r="F5257" s="9">
        <v>8</v>
      </c>
      <c r="G5257" s="9">
        <v>91</v>
      </c>
      <c r="H5257" s="5" t="s">
        <v>20</v>
      </c>
      <c r="I5257" s="5" t="s">
        <v>11990</v>
      </c>
      <c r="J5257" s="12" t="str">
        <f>HYPERLINK("https://www.boe.es/gazeta/dias/1805/01/25/pdfs/GMD-1805-8.pdf#page=11","Abrir facsímil")</f>
        <v>Abrir facsímil</v>
      </c>
      <c r="K5257" s="15" t="s">
        <v>22</v>
      </c>
    </row>
    <row r="5258" spans="1:11" ht="42" customHeight="1">
      <c r="A5258" s="4" t="s">
        <v>11989</v>
      </c>
      <c r="B5258" s="5" t="s">
        <v>11989</v>
      </c>
      <c r="C5258" s="5" t="s">
        <v>35</v>
      </c>
      <c r="D5258" s="5" t="s">
        <v>36</v>
      </c>
      <c r="E5258" s="5" t="s">
        <v>352</v>
      </c>
      <c r="F5258" s="9">
        <v>60</v>
      </c>
      <c r="G5258" s="9">
        <v>647</v>
      </c>
      <c r="H5258" s="5" t="s">
        <v>20</v>
      </c>
      <c r="I5258" s="5" t="s">
        <v>11991</v>
      </c>
      <c r="J5258" s="12" t="str">
        <f>HYPERLINK("https://www.boe.es/gazeta/dias/1805/07/26/pdfs/GMD-1805-60.pdf#page=11","Abrir facsímil")</f>
        <v>Abrir facsímil</v>
      </c>
      <c r="K5258" s="15" t="s">
        <v>22</v>
      </c>
    </row>
    <row r="5259" spans="1:11" ht="42" customHeight="1">
      <c r="A5259" s="4" t="s">
        <v>11992</v>
      </c>
      <c r="B5259" s="5" t="s">
        <v>11992</v>
      </c>
      <c r="C5259" s="5" t="s">
        <v>17</v>
      </c>
      <c r="D5259" s="5" t="s">
        <v>18</v>
      </c>
      <c r="E5259" s="5" t="s">
        <v>1132</v>
      </c>
      <c r="F5259" s="9">
        <v>72</v>
      </c>
      <c r="G5259" s="9">
        <v>768</v>
      </c>
      <c r="H5259" s="5" t="s">
        <v>20</v>
      </c>
      <c r="I5259" s="5" t="s">
        <v>11993</v>
      </c>
      <c r="J5259" s="12" t="str">
        <f>HYPERLINK("https://www.boe.es/gazeta/dias/1805/09/06/pdfs/GMD-1805-72.pdf#page=8","Abrir facsímil")</f>
        <v>Abrir facsímil</v>
      </c>
      <c r="K5259" s="15" t="s">
        <v>22</v>
      </c>
    </row>
    <row r="5260" spans="1:11" ht="42" customHeight="1">
      <c r="A5260" s="4" t="s">
        <v>11994</v>
      </c>
      <c r="B5260" s="5" t="s">
        <v>11994</v>
      </c>
      <c r="C5260" s="5" t="s">
        <v>85</v>
      </c>
      <c r="D5260" s="5" t="s">
        <v>86</v>
      </c>
      <c r="E5260" s="5" t="s">
        <v>37</v>
      </c>
      <c r="F5260" s="9">
        <v>54</v>
      </c>
      <c r="G5260" s="9">
        <v>579</v>
      </c>
      <c r="H5260" s="5" t="s">
        <v>20</v>
      </c>
      <c r="I5260" s="5" t="s">
        <v>11995</v>
      </c>
      <c r="J5260" s="12" t="str">
        <f>HYPERLINK("https://www.boe.es/gazeta/dias/1805/07/05/pdfs/GMD-1805-54.pdf#page=7","Abrir facsímil")</f>
        <v>Abrir facsímil</v>
      </c>
      <c r="K5260" s="15" t="s">
        <v>22</v>
      </c>
    </row>
    <row r="5261" spans="1:11" ht="42" customHeight="1">
      <c r="A5261" s="4" t="s">
        <v>11996</v>
      </c>
      <c r="B5261" s="5" t="s">
        <v>11996</v>
      </c>
      <c r="C5261" s="5" t="s">
        <v>17</v>
      </c>
      <c r="D5261" s="5" t="s">
        <v>18</v>
      </c>
      <c r="E5261" s="5" t="s">
        <v>669</v>
      </c>
      <c r="F5261" s="9">
        <v>84</v>
      </c>
      <c r="G5261" s="9">
        <v>890</v>
      </c>
      <c r="H5261" s="5" t="s">
        <v>20</v>
      </c>
      <c r="I5261" s="5" t="s">
        <v>11997</v>
      </c>
      <c r="J5261" s="12" t="str">
        <f>HYPERLINK("https://www.boe.es/gazeta/dias/1805/10/18/pdfs/GMD-1805-84.pdf#page=6","Abrir facsímil")</f>
        <v>Abrir facsímil</v>
      </c>
      <c r="K5261" s="15" t="s">
        <v>22</v>
      </c>
    </row>
    <row r="5262" spans="1:11" ht="42" customHeight="1">
      <c r="A5262" s="4" t="s">
        <v>11998</v>
      </c>
      <c r="B5262" s="5" t="s">
        <v>11998</v>
      </c>
      <c r="C5262" s="5" t="s">
        <v>17</v>
      </c>
      <c r="D5262" s="5" t="s">
        <v>18</v>
      </c>
      <c r="E5262" s="5" t="s">
        <v>196</v>
      </c>
      <c r="F5262" s="9">
        <v>67</v>
      </c>
      <c r="G5262" s="9">
        <v>718</v>
      </c>
      <c r="H5262" s="5" t="s">
        <v>20</v>
      </c>
      <c r="I5262" s="5" t="s">
        <v>11999</v>
      </c>
      <c r="J5262" s="12" t="str">
        <f>HYPERLINK("https://www.boe.es/gazeta/dias/1805/08/20/pdfs/GMD-1805-67.pdf#page=6","Abrir facsímil")</f>
        <v>Abrir facsímil</v>
      </c>
      <c r="K5262" s="15" t="s">
        <v>22</v>
      </c>
    </row>
    <row r="5263" spans="1:11" ht="42" customHeight="1">
      <c r="A5263" s="4" t="s">
        <v>12000</v>
      </c>
      <c r="B5263" s="5" t="s">
        <v>12001</v>
      </c>
      <c r="C5263" s="5" t="s">
        <v>29</v>
      </c>
      <c r="D5263" s="5" t="s">
        <v>30</v>
      </c>
      <c r="E5263" s="5" t="s">
        <v>958</v>
      </c>
      <c r="F5263" s="9">
        <v>58</v>
      </c>
      <c r="G5263" s="9">
        <v>624</v>
      </c>
      <c r="H5263" s="5" t="s">
        <v>20</v>
      </c>
      <c r="I5263" s="5" t="s">
        <v>12002</v>
      </c>
      <c r="J5263" s="12" t="str">
        <f>HYPERLINK("https://www.boe.es/gazeta/dias/1805/07/19/pdfs/GMD-1805-58.pdf#page=8","Abrir facsímil")</f>
        <v>Abrir facsímil</v>
      </c>
      <c r="K5263" s="15" t="s">
        <v>22</v>
      </c>
    </row>
    <row r="5264" spans="1:11" ht="42" customHeight="1">
      <c r="A5264" s="4" t="s">
        <v>12003</v>
      </c>
      <c r="B5264" s="5" t="s">
        <v>12004</v>
      </c>
      <c r="C5264" s="5" t="s">
        <v>17</v>
      </c>
      <c r="D5264" s="5" t="s">
        <v>18</v>
      </c>
      <c r="E5264" s="5" t="s">
        <v>19</v>
      </c>
      <c r="F5264" s="9">
        <v>86</v>
      </c>
      <c r="G5264" s="9">
        <v>915</v>
      </c>
      <c r="H5264" s="5" t="s">
        <v>20</v>
      </c>
      <c r="I5264" s="5" t="s">
        <v>12005</v>
      </c>
      <c r="J5264" s="12" t="str">
        <f>HYPERLINK("https://www.boe.es/gazeta/dias/1805/10/25/pdfs/GMD-1805-86.pdf#page=11","Abrir facsímil")</f>
        <v>Abrir facsímil</v>
      </c>
      <c r="K5264" s="15" t="s">
        <v>22</v>
      </c>
    </row>
    <row r="5265" spans="1:11" ht="42" customHeight="1">
      <c r="A5265" s="4" t="s">
        <v>12006</v>
      </c>
      <c r="B5265" s="5" t="s">
        <v>12007</v>
      </c>
      <c r="C5265" s="5" t="s">
        <v>17</v>
      </c>
      <c r="D5265" s="5" t="s">
        <v>18</v>
      </c>
      <c r="E5265" s="5" t="s">
        <v>63</v>
      </c>
      <c r="F5265" s="9">
        <v>101</v>
      </c>
      <c r="G5265" s="9">
        <v>1091</v>
      </c>
      <c r="H5265" s="5" t="s">
        <v>20</v>
      </c>
      <c r="I5265" s="5" t="s">
        <v>12008</v>
      </c>
      <c r="J5265" s="12" t="str">
        <f>HYPERLINK("https://www.boe.es/gazeta/dias/1805/12/17/pdfs/GMD-1805-101.pdf#page=7","Abrir facsímil")</f>
        <v>Abrir facsímil</v>
      </c>
      <c r="K5265" s="15" t="s">
        <v>22</v>
      </c>
    </row>
    <row r="5266" spans="1:11" ht="42" customHeight="1">
      <c r="A5266" s="4" t="s">
        <v>12006</v>
      </c>
      <c r="B5266" s="5" t="s">
        <v>12007</v>
      </c>
      <c r="C5266" s="5" t="s">
        <v>17</v>
      </c>
      <c r="D5266" s="5" t="s">
        <v>18</v>
      </c>
      <c r="E5266" s="5" t="s">
        <v>63</v>
      </c>
      <c r="F5266" s="9">
        <v>101</v>
      </c>
      <c r="G5266" s="9">
        <v>1093</v>
      </c>
      <c r="H5266" s="5" t="s">
        <v>20</v>
      </c>
      <c r="I5266" s="5" t="s">
        <v>12009</v>
      </c>
      <c r="J5266" s="12" t="str">
        <f>HYPERLINK("https://www.boe.es/gazeta/dias/1805/12/17/pdfs/GMD-1805-101.pdf#page=9","Abrir facsímil")</f>
        <v>Abrir facsímil</v>
      </c>
      <c r="K5266" s="15" t="s">
        <v>22</v>
      </c>
    </row>
    <row r="5267" spans="1:11" ht="42" customHeight="1">
      <c r="A5267" s="4" t="s">
        <v>12010</v>
      </c>
      <c r="B5267" s="5" t="s">
        <v>12011</v>
      </c>
      <c r="C5267" s="5" t="s">
        <v>35</v>
      </c>
      <c r="D5267" s="5" t="s">
        <v>36</v>
      </c>
      <c r="E5267" s="5" t="s">
        <v>196</v>
      </c>
      <c r="F5267" s="9">
        <v>67</v>
      </c>
      <c r="G5267" s="9">
        <v>717</v>
      </c>
      <c r="H5267" s="5" t="s">
        <v>20</v>
      </c>
      <c r="I5267" s="5" t="s">
        <v>12012</v>
      </c>
      <c r="J5267" s="12" t="str">
        <f>HYPERLINK("https://www.boe.es/gazeta/dias/1805/08/20/pdfs/GMD-1805-67.pdf#page=5","Abrir facsímil")</f>
        <v>Abrir facsímil</v>
      </c>
      <c r="K5267" s="15" t="s">
        <v>22</v>
      </c>
    </row>
    <row r="5268" spans="1:11" ht="42" customHeight="1">
      <c r="A5268" s="4" t="s">
        <v>12013</v>
      </c>
      <c r="B5268" s="5" t="s">
        <v>12014</v>
      </c>
      <c r="C5268" s="5" t="s">
        <v>29</v>
      </c>
      <c r="D5268" s="5" t="s">
        <v>30</v>
      </c>
      <c r="E5268" s="5" t="s">
        <v>440</v>
      </c>
      <c r="F5268" s="9">
        <v>27</v>
      </c>
      <c r="G5268" s="9">
        <v>291</v>
      </c>
      <c r="H5268" s="5" t="s">
        <v>20</v>
      </c>
      <c r="I5268" s="5" t="s">
        <v>12015</v>
      </c>
      <c r="J5268" s="12" t="str">
        <f>HYPERLINK("https://www.boe.es/gazeta/dias/1805/04/02/pdfs/GMD-1805-27.pdf#page=11","Abrir facsímil")</f>
        <v>Abrir facsímil</v>
      </c>
      <c r="K5268" s="15" t="s">
        <v>22</v>
      </c>
    </row>
    <row r="5269" spans="1:11" ht="42" customHeight="1">
      <c r="A5269" s="4" t="s">
        <v>12013</v>
      </c>
      <c r="B5269" s="5" t="s">
        <v>12014</v>
      </c>
      <c r="C5269" s="5" t="s">
        <v>29</v>
      </c>
      <c r="D5269" s="5" t="s">
        <v>30</v>
      </c>
      <c r="E5269" s="5" t="s">
        <v>196</v>
      </c>
      <c r="F5269" s="9">
        <v>67</v>
      </c>
      <c r="G5269" s="9">
        <v>720</v>
      </c>
      <c r="H5269" s="5" t="s">
        <v>20</v>
      </c>
      <c r="I5269" s="5" t="s">
        <v>12016</v>
      </c>
      <c r="J5269" s="12" t="str">
        <f>HYPERLINK("https://www.boe.es/gazeta/dias/1805/08/20/pdfs/GMD-1805-67.pdf#page=8","Abrir facsímil")</f>
        <v>Abrir facsímil</v>
      </c>
      <c r="K5269" s="15" t="s">
        <v>22</v>
      </c>
    </row>
    <row r="5270" spans="1:11" ht="42" customHeight="1">
      <c r="A5270" s="4" t="s">
        <v>12017</v>
      </c>
      <c r="B5270" s="5" t="s">
        <v>12018</v>
      </c>
      <c r="C5270" s="5" t="s">
        <v>17</v>
      </c>
      <c r="D5270" s="5" t="s">
        <v>18</v>
      </c>
      <c r="E5270" s="5" t="s">
        <v>393</v>
      </c>
      <c r="F5270" s="9">
        <v>44</v>
      </c>
      <c r="G5270" s="9">
        <v>475</v>
      </c>
      <c r="H5270" s="5" t="s">
        <v>20</v>
      </c>
      <c r="I5270" s="5" t="s">
        <v>12019</v>
      </c>
      <c r="J5270" s="12" t="str">
        <f>HYPERLINK("https://www.boe.es/gazeta/dias/1805/05/31/pdfs/GMD-1805-44.pdf#page=11","Abrir facsímil")</f>
        <v>Abrir facsímil</v>
      </c>
      <c r="K5270" s="15" t="s">
        <v>22</v>
      </c>
    </row>
    <row r="5271" spans="1:11" ht="42" customHeight="1">
      <c r="A5271" s="4" t="s">
        <v>12020</v>
      </c>
      <c r="B5271" s="5" t="s">
        <v>12021</v>
      </c>
      <c r="C5271" s="5" t="s">
        <v>35</v>
      </c>
      <c r="D5271" s="5" t="s">
        <v>36</v>
      </c>
      <c r="E5271" s="5" t="s">
        <v>188</v>
      </c>
      <c r="F5271" s="9">
        <v>68</v>
      </c>
      <c r="G5271" s="9">
        <v>723</v>
      </c>
      <c r="H5271" s="5" t="s">
        <v>20</v>
      </c>
      <c r="I5271" s="5" t="s">
        <v>12022</v>
      </c>
      <c r="J5271" s="12" t="str">
        <f>HYPERLINK("https://www.boe.es/gazeta/dias/1805/08/23/pdfs/GMD-1805-68.pdf#page=3","Abrir facsímil")</f>
        <v>Abrir facsímil</v>
      </c>
      <c r="K5271" s="15" t="s">
        <v>22</v>
      </c>
    </row>
    <row r="5272" spans="1:11" ht="42" customHeight="1">
      <c r="A5272" s="4" t="s">
        <v>12020</v>
      </c>
      <c r="B5272" s="5" t="s">
        <v>12021</v>
      </c>
      <c r="C5272" s="5" t="s">
        <v>80</v>
      </c>
      <c r="D5272" s="5" t="s">
        <v>81</v>
      </c>
      <c r="E5272" s="5" t="s">
        <v>135</v>
      </c>
      <c r="F5272" s="9">
        <v>71</v>
      </c>
      <c r="G5272" s="9">
        <v>751</v>
      </c>
      <c r="H5272" s="5" t="s">
        <v>20</v>
      </c>
      <c r="I5272" s="5" t="s">
        <v>12023</v>
      </c>
      <c r="J5272" s="12" t="str">
        <f>HYPERLINK("https://www.boe.es/gazeta/dias/1805/09/03/pdfs/GMD-1805-71.pdf#page=3","Abrir facsímil")</f>
        <v>Abrir facsímil</v>
      </c>
      <c r="K5272" s="15" t="s">
        <v>22</v>
      </c>
    </row>
    <row r="5273" spans="1:11" ht="42" customHeight="1">
      <c r="A5273" s="4" t="s">
        <v>12024</v>
      </c>
      <c r="B5273" s="5" t="s">
        <v>12025</v>
      </c>
      <c r="C5273" s="5" t="s">
        <v>80</v>
      </c>
      <c r="D5273" s="5" t="s">
        <v>81</v>
      </c>
      <c r="E5273" s="5" t="s">
        <v>63</v>
      </c>
      <c r="F5273" s="9">
        <v>101</v>
      </c>
      <c r="G5273" s="9">
        <v>1085</v>
      </c>
      <c r="H5273" s="5" t="s">
        <v>20</v>
      </c>
      <c r="I5273" s="5" t="s">
        <v>12026</v>
      </c>
      <c r="J5273" s="12" t="str">
        <f>HYPERLINK("https://www.boe.es/gazeta/dias/1805/12/17/pdfs/GMD-1805-101.pdf#page=1","Abrir facsímil")</f>
        <v>Abrir facsímil</v>
      </c>
      <c r="K5273" s="15" t="s">
        <v>22</v>
      </c>
    </row>
    <row r="5274" spans="1:11" ht="42" customHeight="1">
      <c r="A5274" s="4" t="s">
        <v>12027</v>
      </c>
      <c r="B5274" s="5" t="s">
        <v>12027</v>
      </c>
      <c r="C5274" s="5" t="s">
        <v>35</v>
      </c>
      <c r="D5274" s="5" t="s">
        <v>36</v>
      </c>
      <c r="E5274" s="5" t="s">
        <v>76</v>
      </c>
      <c r="F5274" s="9">
        <v>66</v>
      </c>
      <c r="G5274" s="9">
        <v>711</v>
      </c>
      <c r="H5274" s="5" t="s">
        <v>20</v>
      </c>
      <c r="I5274" s="5" t="s">
        <v>12028</v>
      </c>
      <c r="J5274" s="12" t="str">
        <f>HYPERLINK("https://www.boe.es/gazeta/dias/1805/08/16/pdfs/GMD-1805-66.pdf#page=11","Abrir facsímil")</f>
        <v>Abrir facsímil</v>
      </c>
      <c r="K5274" s="15" t="s">
        <v>22</v>
      </c>
    </row>
    <row r="5275" spans="1:11" ht="42" customHeight="1">
      <c r="A5275" s="4" t="s">
        <v>12029</v>
      </c>
      <c r="B5275" s="5" t="s">
        <v>12030</v>
      </c>
      <c r="C5275" s="5" t="s">
        <v>17</v>
      </c>
      <c r="D5275" s="5" t="s">
        <v>18</v>
      </c>
      <c r="E5275" s="5" t="s">
        <v>200</v>
      </c>
      <c r="F5275" s="9">
        <v>91</v>
      </c>
      <c r="G5275" s="9">
        <v>977</v>
      </c>
      <c r="H5275" s="5" t="s">
        <v>20</v>
      </c>
      <c r="I5275" s="5" t="s">
        <v>12031</v>
      </c>
      <c r="J5275" s="12" t="str">
        <f>HYPERLINK("https://www.boe.es/gazeta/dias/1805/11/12/pdfs/GMD-1805-91.pdf#page=9","Abrir facsímil")</f>
        <v>Abrir facsímil</v>
      </c>
      <c r="K5275" s="15" t="s">
        <v>22</v>
      </c>
    </row>
    <row r="5276" spans="1:11" ht="42" customHeight="1">
      <c r="A5276" s="4" t="s">
        <v>12032</v>
      </c>
      <c r="B5276" s="5" t="s">
        <v>12033</v>
      </c>
      <c r="C5276" s="5" t="s">
        <v>85</v>
      </c>
      <c r="D5276" s="5" t="s">
        <v>86</v>
      </c>
      <c r="E5276" s="5" t="s">
        <v>188</v>
      </c>
      <c r="F5276" s="9">
        <v>68</v>
      </c>
      <c r="G5276" s="9">
        <v>728</v>
      </c>
      <c r="H5276" s="5" t="s">
        <v>20</v>
      </c>
      <c r="I5276" s="5" t="s">
        <v>12034</v>
      </c>
      <c r="J5276" s="12" t="str">
        <f>HYPERLINK("https://www.boe.es/gazeta/dias/1805/08/23/pdfs/GMD-1805-68.pdf#page=8","Abrir facsímil")</f>
        <v>Abrir facsímil</v>
      </c>
      <c r="K5276" s="15" t="s">
        <v>22</v>
      </c>
    </row>
    <row r="5277" spans="1:11" ht="42" customHeight="1">
      <c r="A5277" s="4" t="s">
        <v>12035</v>
      </c>
      <c r="B5277" s="5" t="s">
        <v>12036</v>
      </c>
      <c r="C5277" s="5" t="s">
        <v>35</v>
      </c>
      <c r="D5277" s="5" t="s">
        <v>36</v>
      </c>
      <c r="E5277" s="5" t="s">
        <v>512</v>
      </c>
      <c r="F5277" s="9">
        <v>100</v>
      </c>
      <c r="G5277" s="9">
        <v>1073</v>
      </c>
      <c r="H5277" s="5" t="s">
        <v>20</v>
      </c>
      <c r="I5277" s="5" t="s">
        <v>12037</v>
      </c>
      <c r="J5277" s="12" t="str">
        <f>HYPERLINK("https://www.boe.es/gazeta/dias/1805/12/13/pdfs/GMD-1805-100.pdf#page=1","Abrir facsímil")</f>
        <v>Abrir facsímil</v>
      </c>
      <c r="K5277" s="15" t="s">
        <v>22</v>
      </c>
    </row>
    <row r="5278" spans="1:11" ht="42" customHeight="1">
      <c r="A5278" s="4" t="s">
        <v>12038</v>
      </c>
      <c r="B5278" s="5" t="s">
        <v>12038</v>
      </c>
      <c r="C5278" s="5" t="s">
        <v>85</v>
      </c>
      <c r="D5278" s="5" t="s">
        <v>86</v>
      </c>
      <c r="E5278" s="5" t="s">
        <v>273</v>
      </c>
      <c r="F5278" s="9">
        <v>8</v>
      </c>
      <c r="G5278" s="9">
        <v>88</v>
      </c>
      <c r="H5278" s="5" t="s">
        <v>20</v>
      </c>
      <c r="I5278" s="5" t="s">
        <v>12039</v>
      </c>
      <c r="J5278" s="12" t="str">
        <f>HYPERLINK("https://www.boe.es/gazeta/dias/1805/01/25/pdfs/GMD-1805-8.pdf#page=8","Abrir facsímil")</f>
        <v>Abrir facsímil</v>
      </c>
      <c r="K5278" s="15" t="s">
        <v>22</v>
      </c>
    </row>
    <row r="5279" spans="1:11" ht="42" customHeight="1">
      <c r="A5279" s="4" t="s">
        <v>12040</v>
      </c>
      <c r="B5279" s="5" t="s">
        <v>12040</v>
      </c>
      <c r="C5279" s="5" t="s">
        <v>17</v>
      </c>
      <c r="D5279" s="5" t="s">
        <v>18</v>
      </c>
      <c r="E5279" s="5" t="s">
        <v>71</v>
      </c>
      <c r="F5279" s="9">
        <v>33</v>
      </c>
      <c r="G5279" s="9">
        <v>352</v>
      </c>
      <c r="H5279" s="5" t="s">
        <v>20</v>
      </c>
      <c r="I5279" s="5" t="s">
        <v>12041</v>
      </c>
      <c r="J5279" s="12" t="str">
        <f>HYPERLINK("https://www.boe.es/gazeta/dias/1805/04/23/pdfs/GMD-1805-33.pdf#page=8","Abrir facsímil")</f>
        <v>Abrir facsímil</v>
      </c>
      <c r="K5279" s="15" t="s">
        <v>22</v>
      </c>
    </row>
    <row r="5280" spans="1:11" ht="42" customHeight="1">
      <c r="A5280" s="4" t="s">
        <v>12042</v>
      </c>
      <c r="B5280" s="5" t="s">
        <v>12042</v>
      </c>
      <c r="C5280" s="5" t="s">
        <v>80</v>
      </c>
      <c r="D5280" s="5" t="s">
        <v>81</v>
      </c>
      <c r="E5280" s="5" t="s">
        <v>958</v>
      </c>
      <c r="F5280" s="9">
        <v>58</v>
      </c>
      <c r="G5280" s="9">
        <v>617</v>
      </c>
      <c r="H5280" s="5" t="s">
        <v>20</v>
      </c>
      <c r="I5280" s="5" t="s">
        <v>12043</v>
      </c>
      <c r="J5280" s="12" t="str">
        <f>HYPERLINK("https://www.boe.es/gazeta/dias/1805/07/19/pdfs/GMD-1805-58.pdf#page=1","Abrir facsímil")</f>
        <v>Abrir facsímil</v>
      </c>
      <c r="K5280" s="15" t="s">
        <v>22</v>
      </c>
    </row>
    <row r="5281" spans="1:11" ht="42" customHeight="1">
      <c r="A5281" s="4" t="s">
        <v>12044</v>
      </c>
      <c r="B5281" s="5" t="s">
        <v>12045</v>
      </c>
      <c r="C5281" s="5" t="s">
        <v>85</v>
      </c>
      <c r="D5281" s="5" t="s">
        <v>86</v>
      </c>
      <c r="E5281" s="5" t="s">
        <v>787</v>
      </c>
      <c r="F5281" s="9">
        <v>95</v>
      </c>
      <c r="G5281" s="9">
        <v>1015</v>
      </c>
      <c r="H5281" s="5" t="s">
        <v>20</v>
      </c>
      <c r="I5281" s="5" t="s">
        <v>12046</v>
      </c>
      <c r="J5281" s="12" t="str">
        <f>HYPERLINK("https://www.boe.es/gazeta/dias/1805/11/26/pdfs/GMD-1805-95.pdf#page=3","Abrir facsímil")</f>
        <v>Abrir facsímil</v>
      </c>
      <c r="K5281" s="15" t="s">
        <v>22</v>
      </c>
    </row>
    <row r="5282" spans="1:11" ht="42" customHeight="1">
      <c r="A5282" s="4" t="s">
        <v>12047</v>
      </c>
      <c r="B5282" s="5" t="s">
        <v>12047</v>
      </c>
      <c r="C5282" s="5" t="s">
        <v>17</v>
      </c>
      <c r="D5282" s="5" t="s">
        <v>18</v>
      </c>
      <c r="E5282" s="5" t="s">
        <v>144</v>
      </c>
      <c r="F5282" s="9">
        <v>85</v>
      </c>
      <c r="G5282" s="9">
        <v>903</v>
      </c>
      <c r="H5282" s="5" t="s">
        <v>20</v>
      </c>
      <c r="I5282" s="5" t="s">
        <v>12048</v>
      </c>
      <c r="J5282" s="12" t="str">
        <f>HYPERLINK("https://www.boe.es/gazeta/dias/1805/10/22/pdfs/GMD-1805-85.pdf#page=11","Abrir facsímil")</f>
        <v>Abrir facsímil</v>
      </c>
      <c r="K5282" s="15" t="s">
        <v>22</v>
      </c>
    </row>
    <row r="5283" spans="1:11" ht="42" customHeight="1">
      <c r="A5283" s="4" t="s">
        <v>12049</v>
      </c>
      <c r="B5283" s="5" t="s">
        <v>12050</v>
      </c>
      <c r="C5283" s="5" t="s">
        <v>80</v>
      </c>
      <c r="D5283" s="5" t="s">
        <v>81</v>
      </c>
      <c r="E5283" s="5" t="s">
        <v>117</v>
      </c>
      <c r="F5283" s="9">
        <v>20</v>
      </c>
      <c r="G5283" s="9">
        <v>202</v>
      </c>
      <c r="H5283" s="5" t="s">
        <v>20</v>
      </c>
      <c r="I5283" s="5" t="s">
        <v>12051</v>
      </c>
      <c r="J5283" s="12" t="str">
        <f>HYPERLINK("https://www.boe.es/gazeta/dias/1805/03/08/pdfs/GMD-1805-20.pdf#page=2","Abrir facsímil")</f>
        <v>Abrir facsímil</v>
      </c>
      <c r="K5283" s="15" t="s">
        <v>22</v>
      </c>
    </row>
    <row r="5284" spans="1:11" ht="42" customHeight="1">
      <c r="A5284" s="4" t="s">
        <v>12049</v>
      </c>
      <c r="B5284" s="5" t="s">
        <v>12050</v>
      </c>
      <c r="C5284" s="5" t="s">
        <v>80</v>
      </c>
      <c r="D5284" s="5" t="s">
        <v>81</v>
      </c>
      <c r="E5284" s="5" t="s">
        <v>393</v>
      </c>
      <c r="F5284" s="9">
        <v>44</v>
      </c>
      <c r="G5284" s="9">
        <v>466</v>
      </c>
      <c r="H5284" s="5" t="s">
        <v>20</v>
      </c>
      <c r="I5284" s="5" t="s">
        <v>12052</v>
      </c>
      <c r="J5284" s="12" t="str">
        <f>HYPERLINK("https://www.boe.es/gazeta/dias/1805/05/31/pdfs/GMD-1805-44.pdf#page=2","Abrir facsímil")</f>
        <v>Abrir facsímil</v>
      </c>
      <c r="K5284" s="15" t="s">
        <v>22</v>
      </c>
    </row>
    <row r="5285" spans="1:11" ht="42" customHeight="1">
      <c r="A5285" s="4" t="s">
        <v>12053</v>
      </c>
      <c r="B5285" s="5" t="s">
        <v>12054</v>
      </c>
      <c r="C5285" s="5" t="s">
        <v>80</v>
      </c>
      <c r="D5285" s="5" t="s">
        <v>81</v>
      </c>
      <c r="E5285" s="5" t="s">
        <v>63</v>
      </c>
      <c r="F5285" s="9">
        <v>101</v>
      </c>
      <c r="G5285" s="9">
        <v>1086</v>
      </c>
      <c r="H5285" s="5" t="s">
        <v>20</v>
      </c>
      <c r="I5285" s="5" t="s">
        <v>12055</v>
      </c>
      <c r="J5285" s="12" t="str">
        <f>HYPERLINK("https://www.boe.es/gazeta/dias/1805/12/17/pdfs/GMD-1805-101.pdf#page=2","Abrir facsímil")</f>
        <v>Abrir facsímil</v>
      </c>
      <c r="K5285" s="15" t="s">
        <v>22</v>
      </c>
    </row>
    <row r="5286" spans="1:11" ht="42" customHeight="1">
      <c r="A5286" s="4" t="s">
        <v>12056</v>
      </c>
      <c r="B5286" s="5" t="s">
        <v>12057</v>
      </c>
      <c r="C5286" s="5" t="s">
        <v>17</v>
      </c>
      <c r="D5286" s="5" t="s">
        <v>18</v>
      </c>
      <c r="E5286" s="5" t="s">
        <v>585</v>
      </c>
      <c r="F5286" s="9">
        <v>64</v>
      </c>
      <c r="G5286" s="9">
        <v>687</v>
      </c>
      <c r="H5286" s="5" t="s">
        <v>20</v>
      </c>
      <c r="I5286" s="5" t="s">
        <v>12058</v>
      </c>
      <c r="J5286" s="12" t="str">
        <f>HYPERLINK("https://www.boe.es/gazeta/dias/1805/08/09/pdfs/GMD-1805-64.pdf#page=11","Abrir facsímil")</f>
        <v>Abrir facsímil</v>
      </c>
      <c r="K5286" s="15" t="s">
        <v>22</v>
      </c>
    </row>
    <row r="5287" spans="1:11" ht="42" customHeight="1">
      <c r="A5287" s="4" t="s">
        <v>12059</v>
      </c>
      <c r="B5287" s="5" t="s">
        <v>12060</v>
      </c>
      <c r="C5287" s="5" t="s">
        <v>35</v>
      </c>
      <c r="D5287" s="5" t="s">
        <v>36</v>
      </c>
      <c r="E5287" s="5" t="s">
        <v>144</v>
      </c>
      <c r="F5287" s="9">
        <v>85</v>
      </c>
      <c r="G5287" s="9">
        <v>902</v>
      </c>
      <c r="H5287" s="5" t="s">
        <v>20</v>
      </c>
      <c r="I5287" s="5" t="s">
        <v>12061</v>
      </c>
      <c r="J5287" s="12" t="str">
        <f>HYPERLINK("https://www.boe.es/gazeta/dias/1805/10/22/pdfs/GMD-1805-85.pdf#page=10","Abrir facsímil")</f>
        <v>Abrir facsímil</v>
      </c>
      <c r="K5287" s="15" t="s">
        <v>22</v>
      </c>
    </row>
    <row r="5288" spans="1:11" ht="42" customHeight="1">
      <c r="A5288" s="4" t="s">
        <v>12062</v>
      </c>
      <c r="B5288" s="5" t="s">
        <v>12063</v>
      </c>
      <c r="C5288" s="5" t="s">
        <v>184</v>
      </c>
      <c r="D5288" s="5" t="s">
        <v>86</v>
      </c>
      <c r="E5288" s="5" t="s">
        <v>276</v>
      </c>
      <c r="F5288" s="9">
        <v>51</v>
      </c>
      <c r="G5288" s="9">
        <v>547</v>
      </c>
      <c r="H5288" s="5" t="s">
        <v>20</v>
      </c>
      <c r="I5288" s="5" t="s">
        <v>12064</v>
      </c>
      <c r="J5288" s="12" t="str">
        <f>HYPERLINK("https://www.boe.es/gazeta/dias/1805/06/25/pdfs/GMD-1805-51.pdf#page=3","Abrir facsímil")</f>
        <v>Abrir facsímil</v>
      </c>
      <c r="K5288" s="15" t="s">
        <v>22</v>
      </c>
    </row>
    <row r="5289" spans="1:11" ht="42" customHeight="1">
      <c r="A5289" s="4" t="s">
        <v>12065</v>
      </c>
      <c r="B5289" s="5" t="s">
        <v>12066</v>
      </c>
      <c r="C5289" s="5" t="s">
        <v>184</v>
      </c>
      <c r="D5289" s="5" t="s">
        <v>86</v>
      </c>
      <c r="E5289" s="5" t="s">
        <v>1022</v>
      </c>
      <c r="F5289" s="9">
        <v>52</v>
      </c>
      <c r="G5289" s="9">
        <v>560</v>
      </c>
      <c r="H5289" s="5" t="s">
        <v>20</v>
      </c>
      <c r="I5289" s="5" t="s">
        <v>12067</v>
      </c>
      <c r="J5289" s="12" t="str">
        <f>HYPERLINK("https://www.boe.es/gazeta/dias/1805/06/28/pdfs/GMD-1805-52.pdf#page=8","Abrir facsímil")</f>
        <v>Abrir facsímil</v>
      </c>
      <c r="K5289" s="15" t="s">
        <v>22</v>
      </c>
    </row>
    <row r="5290" spans="1:11" ht="42" customHeight="1">
      <c r="A5290" s="4" t="s">
        <v>12068</v>
      </c>
      <c r="B5290" s="5" t="s">
        <v>12069</v>
      </c>
      <c r="C5290" s="5" t="s">
        <v>17</v>
      </c>
      <c r="D5290" s="5" t="s">
        <v>18</v>
      </c>
      <c r="E5290" s="5" t="s">
        <v>27</v>
      </c>
      <c r="F5290" s="9">
        <v>37</v>
      </c>
      <c r="G5290" s="9">
        <v>401</v>
      </c>
      <c r="H5290" s="5" t="s">
        <v>20</v>
      </c>
      <c r="I5290" s="5" t="s">
        <v>12070</v>
      </c>
      <c r="J5290" s="12" t="str">
        <f>HYPERLINK("https://www.boe.es/gazeta/dias/1805/05/07/pdfs/GMD-1805-37.pdf#page=9","Abrir facsímil")</f>
        <v>Abrir facsímil</v>
      </c>
      <c r="K5290" s="15" t="s">
        <v>22</v>
      </c>
    </row>
    <row r="5291" spans="1:11" ht="42" customHeight="1">
      <c r="A5291" s="4" t="s">
        <v>12068</v>
      </c>
      <c r="B5291" s="5" t="s">
        <v>12069</v>
      </c>
      <c r="C5291" s="5" t="s">
        <v>17</v>
      </c>
      <c r="D5291" s="5" t="s">
        <v>18</v>
      </c>
      <c r="E5291" s="5" t="s">
        <v>276</v>
      </c>
      <c r="F5291" s="9">
        <v>51</v>
      </c>
      <c r="G5291" s="9">
        <v>550</v>
      </c>
      <c r="H5291" s="5" t="s">
        <v>20</v>
      </c>
      <c r="I5291" s="5" t="s">
        <v>12071</v>
      </c>
      <c r="J5291" s="12" t="str">
        <f>HYPERLINK("https://www.boe.es/gazeta/dias/1805/06/25/pdfs/GMD-1805-51.pdf#page=6","Abrir facsímil")</f>
        <v>Abrir facsímil</v>
      </c>
      <c r="K5291" s="15" t="s">
        <v>22</v>
      </c>
    </row>
    <row r="5292" spans="1:11" ht="42" customHeight="1">
      <c r="A5292" s="4" t="s">
        <v>12068</v>
      </c>
      <c r="B5292" s="5" t="s">
        <v>12069</v>
      </c>
      <c r="C5292" s="5" t="s">
        <v>17</v>
      </c>
      <c r="D5292" s="5" t="s">
        <v>18</v>
      </c>
      <c r="E5292" s="5" t="s">
        <v>181</v>
      </c>
      <c r="F5292" s="9">
        <v>90</v>
      </c>
      <c r="G5292" s="9">
        <v>963</v>
      </c>
      <c r="H5292" s="5" t="s">
        <v>20</v>
      </c>
      <c r="I5292" s="5" t="s">
        <v>12072</v>
      </c>
      <c r="J5292" s="12" t="str">
        <f>HYPERLINK("https://www.boe.es/gazeta/dias/1805/11/08/pdfs/GMD-1805-90.pdf#page=7","Abrir facsímil")</f>
        <v>Abrir facsímil</v>
      </c>
      <c r="K5292" s="15" t="s">
        <v>22</v>
      </c>
    </row>
    <row r="5293" spans="1:11" ht="42" customHeight="1">
      <c r="A5293" s="4" t="s">
        <v>12073</v>
      </c>
      <c r="B5293" s="5" t="s">
        <v>12074</v>
      </c>
      <c r="C5293" s="5" t="s">
        <v>17</v>
      </c>
      <c r="D5293" s="5" t="s">
        <v>18</v>
      </c>
      <c r="E5293" s="5" t="s">
        <v>649</v>
      </c>
      <c r="F5293" s="9">
        <v>7</v>
      </c>
      <c r="G5293" s="9">
        <v>74</v>
      </c>
      <c r="H5293" s="5" t="s">
        <v>20</v>
      </c>
      <c r="I5293" s="5" t="s">
        <v>12075</v>
      </c>
      <c r="J5293" s="12" t="str">
        <f>HYPERLINK("https://www.boe.es/gazeta/dias/1805/01/22/pdfs/GMD-1805-7.pdf#page=6","Abrir facsímil")</f>
        <v>Abrir facsímil</v>
      </c>
      <c r="K5293" s="15" t="s">
        <v>22</v>
      </c>
    </row>
    <row r="5294" spans="1:11" ht="42" customHeight="1">
      <c r="A5294" s="4" t="s">
        <v>12076</v>
      </c>
      <c r="B5294" s="5" t="s">
        <v>12077</v>
      </c>
      <c r="C5294" s="5" t="s">
        <v>35</v>
      </c>
      <c r="D5294" s="5" t="s">
        <v>36</v>
      </c>
      <c r="E5294" s="5" t="s">
        <v>1132</v>
      </c>
      <c r="F5294" s="9">
        <v>72</v>
      </c>
      <c r="G5294" s="9">
        <v>767</v>
      </c>
      <c r="H5294" s="5" t="s">
        <v>20</v>
      </c>
      <c r="I5294" s="5" t="s">
        <v>12078</v>
      </c>
      <c r="J5294" s="12" t="str">
        <f>HYPERLINK("https://www.boe.es/gazeta/dias/1805/09/06/pdfs/GMD-1805-72.pdf#page=7","Abrir facsímil")</f>
        <v>Abrir facsímil</v>
      </c>
      <c r="K5294" s="15" t="s">
        <v>22</v>
      </c>
    </row>
    <row r="5295" spans="1:11" ht="42" customHeight="1">
      <c r="A5295" s="4" t="s">
        <v>12079</v>
      </c>
      <c r="B5295" s="5" t="s">
        <v>12080</v>
      </c>
      <c r="C5295" s="5" t="s">
        <v>17</v>
      </c>
      <c r="D5295" s="5" t="s">
        <v>18</v>
      </c>
      <c r="E5295" s="5" t="s">
        <v>63</v>
      </c>
      <c r="F5295" s="9">
        <v>101</v>
      </c>
      <c r="G5295" s="9">
        <v>1090</v>
      </c>
      <c r="H5295" s="5" t="s">
        <v>20</v>
      </c>
      <c r="I5295" s="5" t="s">
        <v>12081</v>
      </c>
      <c r="J5295" s="12" t="str">
        <f>HYPERLINK("https://www.boe.es/gazeta/dias/1805/12/17/pdfs/GMD-1805-101.pdf#page=6","Abrir facsímil")</f>
        <v>Abrir facsímil</v>
      </c>
      <c r="K5295" s="15" t="s">
        <v>22</v>
      </c>
    </row>
    <row r="5296" spans="1:11" ht="42" customHeight="1">
      <c r="A5296" s="4" t="s">
        <v>12079</v>
      </c>
      <c r="B5296" s="5" t="s">
        <v>12080</v>
      </c>
      <c r="C5296" s="5" t="s">
        <v>184</v>
      </c>
      <c r="D5296" s="5" t="s">
        <v>86</v>
      </c>
      <c r="E5296" s="5" t="s">
        <v>138</v>
      </c>
      <c r="F5296" s="9">
        <v>102</v>
      </c>
      <c r="G5296" s="9">
        <v>1100</v>
      </c>
      <c r="H5296" s="5" t="s">
        <v>20</v>
      </c>
      <c r="I5296" s="5" t="s">
        <v>12082</v>
      </c>
      <c r="J5296" s="12" t="str">
        <f>HYPERLINK("https://www.boe.es/gazeta/dias/1805/12/20/pdfs/GMD-1805-102.pdf#page=4","Abrir facsímil")</f>
        <v>Abrir facsímil</v>
      </c>
      <c r="K5296" s="15" t="s">
        <v>22</v>
      </c>
    </row>
    <row r="5297" spans="1:11" ht="42" customHeight="1">
      <c r="A5297" s="4" t="s">
        <v>12083</v>
      </c>
      <c r="B5297" s="5" t="s">
        <v>12084</v>
      </c>
      <c r="C5297" s="5" t="s">
        <v>35</v>
      </c>
      <c r="D5297" s="5" t="s">
        <v>36</v>
      </c>
      <c r="E5297" s="5" t="s">
        <v>226</v>
      </c>
      <c r="F5297" s="9">
        <v>73</v>
      </c>
      <c r="G5297" s="9">
        <v>774</v>
      </c>
      <c r="H5297" s="5" t="s">
        <v>20</v>
      </c>
      <c r="I5297" s="5" t="s">
        <v>12085</v>
      </c>
      <c r="J5297" s="12" t="str">
        <f>HYPERLINK("https://www.boe.es/gazeta/dias/1805/09/10/pdfs/GMD-1805-73.pdf#page=6","Abrir facsímil")</f>
        <v>Abrir facsímil</v>
      </c>
      <c r="K5297" s="15" t="s">
        <v>22</v>
      </c>
    </row>
    <row r="5298" spans="1:11" ht="42" customHeight="1">
      <c r="A5298" s="4" t="s">
        <v>12086</v>
      </c>
      <c r="B5298" s="5" t="s">
        <v>12087</v>
      </c>
      <c r="C5298" s="5" t="s">
        <v>35</v>
      </c>
      <c r="D5298" s="5" t="s">
        <v>36</v>
      </c>
      <c r="E5298" s="5" t="s">
        <v>31</v>
      </c>
      <c r="F5298" s="9">
        <v>65</v>
      </c>
      <c r="G5298" s="9">
        <v>693</v>
      </c>
      <c r="H5298" s="5" t="s">
        <v>20</v>
      </c>
      <c r="I5298" s="5" t="s">
        <v>12088</v>
      </c>
      <c r="J5298" s="12" t="str">
        <f>HYPERLINK("https://www.boe.es/gazeta/dias/1805/08/13/pdfs/GMD-1805-65.pdf#page=5","Abrir facsímil")</f>
        <v>Abrir facsímil</v>
      </c>
      <c r="K5298" s="15" t="s">
        <v>22</v>
      </c>
    </row>
    <row r="5299" spans="1:11" ht="42" customHeight="1">
      <c r="A5299" s="4" t="s">
        <v>12089</v>
      </c>
      <c r="B5299" s="5" t="s">
        <v>12090</v>
      </c>
      <c r="C5299" s="5" t="s">
        <v>52</v>
      </c>
      <c r="D5299" s="5" t="s">
        <v>53</v>
      </c>
      <c r="E5299" s="5" t="s">
        <v>54</v>
      </c>
      <c r="F5299" s="9">
        <v>99</v>
      </c>
      <c r="G5299" s="9" t="s">
        <v>55</v>
      </c>
      <c r="H5299" s="5" t="s">
        <v>20</v>
      </c>
      <c r="I5299" s="5" t="s">
        <v>12091</v>
      </c>
      <c r="J5299" s="12" t="str">
        <f>HYPERLINK("https://www.boe.es/gazeta/dias/1805/12/10/pdfs/GMD-C-1805-99.pdf#page=4","Abrir facsímil")</f>
        <v>Abrir facsímil</v>
      </c>
      <c r="K5299" s="15" t="s">
        <v>22</v>
      </c>
    </row>
    <row r="5300" spans="1:11" ht="42" customHeight="1">
      <c r="A5300" s="4" t="s">
        <v>12092</v>
      </c>
      <c r="B5300" s="5" t="s">
        <v>12092</v>
      </c>
      <c r="C5300" s="5" t="s">
        <v>264</v>
      </c>
      <c r="D5300" s="5" t="s">
        <v>265</v>
      </c>
      <c r="E5300" s="5" t="s">
        <v>261</v>
      </c>
      <c r="F5300" s="9">
        <v>18</v>
      </c>
      <c r="G5300" s="9" t="s">
        <v>55</v>
      </c>
      <c r="H5300" s="5" t="s">
        <v>20</v>
      </c>
      <c r="I5300" s="5" t="s">
        <v>12093</v>
      </c>
      <c r="J5300" s="12" t="str">
        <f>HYPERLINK("https://www.boe.es/gazeta/dias/1805/03/01/pdfs/GMD-C-1805-18.pdf#page=4","Abrir facsímil")</f>
        <v>Abrir facsímil</v>
      </c>
      <c r="K5300" s="15" t="s">
        <v>22</v>
      </c>
    </row>
    <row r="5301" spans="1:11" ht="42" customHeight="1">
      <c r="A5301" s="4" t="s">
        <v>12094</v>
      </c>
      <c r="B5301" s="5" t="s">
        <v>12095</v>
      </c>
      <c r="C5301" s="5" t="s">
        <v>35</v>
      </c>
      <c r="D5301" s="5" t="s">
        <v>36</v>
      </c>
      <c r="E5301" s="5" t="s">
        <v>213</v>
      </c>
      <c r="F5301" s="9">
        <v>56</v>
      </c>
      <c r="G5301" s="9">
        <v>600</v>
      </c>
      <c r="H5301" s="5" t="s">
        <v>20</v>
      </c>
      <c r="I5301" s="5" t="s">
        <v>12096</v>
      </c>
      <c r="J5301" s="12" t="str">
        <f>HYPERLINK("https://www.boe.es/gazeta/dias/1805/07/12/pdfs/GMD-1805-56.pdf#page=8","Abrir facsímil")</f>
        <v>Abrir facsímil</v>
      </c>
      <c r="K5301" s="15" t="s">
        <v>22</v>
      </c>
    </row>
    <row r="5302" spans="1:11" ht="42" customHeight="1">
      <c r="A5302" s="4" t="s">
        <v>12097</v>
      </c>
      <c r="B5302" s="5" t="s">
        <v>12098</v>
      </c>
      <c r="C5302" s="5" t="s">
        <v>184</v>
      </c>
      <c r="D5302" s="5" t="s">
        <v>86</v>
      </c>
      <c r="E5302" s="5" t="s">
        <v>1471</v>
      </c>
      <c r="F5302" s="9">
        <v>34</v>
      </c>
      <c r="G5302" s="9">
        <v>362</v>
      </c>
      <c r="H5302" s="5" t="s">
        <v>20</v>
      </c>
      <c r="I5302" s="5" t="s">
        <v>12099</v>
      </c>
      <c r="J5302" s="12" t="str">
        <f>HYPERLINK("https://www.boe.es/gazeta/dias/1805/04/26/pdfs/GMD-1805-34.pdf#page=6","Abrir facsímil")</f>
        <v>Abrir facsímil</v>
      </c>
      <c r="K5302" s="15" t="s">
        <v>22</v>
      </c>
    </row>
    <row r="5303" spans="1:11" ht="42" customHeight="1">
      <c r="A5303" s="4" t="s">
        <v>12100</v>
      </c>
      <c r="B5303" s="5" t="s">
        <v>12101</v>
      </c>
      <c r="C5303" s="5" t="s">
        <v>80</v>
      </c>
      <c r="D5303" s="5" t="s">
        <v>81</v>
      </c>
      <c r="E5303" s="5" t="s">
        <v>789</v>
      </c>
      <c r="F5303" s="9">
        <v>104</v>
      </c>
      <c r="G5303" s="9">
        <v>1122</v>
      </c>
      <c r="H5303" s="5" t="s">
        <v>20</v>
      </c>
      <c r="I5303" s="5" t="s">
        <v>12102</v>
      </c>
      <c r="J5303" s="12" t="str">
        <f>HYPERLINK("https://www.boe.es/gazeta/dias/1805/12/27/pdfs/GMD-1805-104.pdf#page=6","Abrir facsímil")</f>
        <v>Abrir facsímil</v>
      </c>
      <c r="K5303" s="15" t="s">
        <v>22</v>
      </c>
    </row>
    <row r="5304" spans="1:11" ht="42" customHeight="1">
      <c r="A5304" s="4" t="s">
        <v>12100</v>
      </c>
      <c r="B5304" s="5" t="s">
        <v>12101</v>
      </c>
      <c r="C5304" s="5" t="s">
        <v>80</v>
      </c>
      <c r="D5304" s="5" t="s">
        <v>81</v>
      </c>
      <c r="E5304" s="5" t="s">
        <v>192</v>
      </c>
      <c r="F5304" s="9">
        <v>105</v>
      </c>
      <c r="G5304" s="9">
        <v>1134</v>
      </c>
      <c r="H5304" s="5" t="s">
        <v>20</v>
      </c>
      <c r="I5304" s="5" t="s">
        <v>12103</v>
      </c>
      <c r="J5304" s="12" t="str">
        <f>HYPERLINK("https://www.boe.es/gazeta/dias/1805/12/31/pdfs/GMD-1805-105.pdf#page=6","Abrir facsímil")</f>
        <v>Abrir facsímil</v>
      </c>
      <c r="K5304" s="15" t="s">
        <v>22</v>
      </c>
    </row>
    <row r="5305" spans="1:11" ht="42" customHeight="1">
      <c r="A5305" s="4" t="s">
        <v>12104</v>
      </c>
      <c r="B5305" s="5" t="s">
        <v>12105</v>
      </c>
      <c r="C5305" s="5" t="s">
        <v>35</v>
      </c>
      <c r="D5305" s="5" t="s">
        <v>36</v>
      </c>
      <c r="E5305" s="5" t="s">
        <v>426</v>
      </c>
      <c r="F5305" s="9">
        <v>75</v>
      </c>
      <c r="G5305" s="9">
        <v>799</v>
      </c>
      <c r="H5305" s="5" t="s">
        <v>20</v>
      </c>
      <c r="I5305" s="5" t="s">
        <v>12106</v>
      </c>
      <c r="J5305" s="12" t="str">
        <f>HYPERLINK("https://www.boe.es/gazeta/dias/1805/09/17/pdfs/GMD-1805-75.pdf#page=11","Abrir facsímil")</f>
        <v>Abrir facsímil</v>
      </c>
      <c r="K5305" s="15" t="s">
        <v>22</v>
      </c>
    </row>
    <row r="5306" spans="1:11" ht="42" customHeight="1">
      <c r="A5306" s="4" t="s">
        <v>12107</v>
      </c>
      <c r="B5306" s="5" t="s">
        <v>12107</v>
      </c>
      <c r="C5306" s="5" t="s">
        <v>17</v>
      </c>
      <c r="D5306" s="5" t="s">
        <v>18</v>
      </c>
      <c r="E5306" s="5" t="s">
        <v>335</v>
      </c>
      <c r="F5306" s="9">
        <v>79</v>
      </c>
      <c r="G5306" s="9">
        <v>839</v>
      </c>
      <c r="H5306" s="5" t="s">
        <v>20</v>
      </c>
      <c r="I5306" s="5" t="s">
        <v>12108</v>
      </c>
      <c r="J5306" s="12" t="str">
        <f>HYPERLINK("https://www.boe.es/gazeta/dias/1805/10/01/pdfs/GMD-1805-79.pdf#page=11","Abrir facsímil")</f>
        <v>Abrir facsímil</v>
      </c>
      <c r="K5306" s="15" t="s">
        <v>22</v>
      </c>
    </row>
    <row r="5307" spans="1:11" ht="42" customHeight="1">
      <c r="A5307" s="4" t="s">
        <v>12109</v>
      </c>
      <c r="B5307" s="5" t="s">
        <v>12109</v>
      </c>
      <c r="C5307" s="5" t="s">
        <v>80</v>
      </c>
      <c r="D5307" s="5" t="s">
        <v>81</v>
      </c>
      <c r="E5307" s="5" t="s">
        <v>365</v>
      </c>
      <c r="F5307" s="9">
        <v>3</v>
      </c>
      <c r="G5307" s="9">
        <v>28</v>
      </c>
      <c r="H5307" s="5" t="s">
        <v>20</v>
      </c>
      <c r="I5307" s="5" t="s">
        <v>12110</v>
      </c>
      <c r="J5307" s="12" t="str">
        <f>HYPERLINK("https://www.boe.es/gazeta/dias/1805/01/08/pdfs/GMD-1805-3.pdf#page=4","Abrir facsímil")</f>
        <v>Abrir facsímil</v>
      </c>
      <c r="K5307" s="15" t="s">
        <v>22</v>
      </c>
    </row>
    <row r="5308" spans="1:11" ht="42" customHeight="1">
      <c r="A5308" s="4" t="s">
        <v>12111</v>
      </c>
      <c r="B5308" s="5" t="s">
        <v>12112</v>
      </c>
      <c r="C5308" s="5" t="s">
        <v>52</v>
      </c>
      <c r="D5308" s="5" t="s">
        <v>53</v>
      </c>
      <c r="E5308" s="5" t="s">
        <v>54</v>
      </c>
      <c r="F5308" s="9">
        <v>99</v>
      </c>
      <c r="G5308" s="9" t="s">
        <v>159</v>
      </c>
      <c r="H5308" s="5" t="s">
        <v>20</v>
      </c>
      <c r="I5308" s="5" t="s">
        <v>12113</v>
      </c>
      <c r="J5308" s="12" t="str">
        <f>HYPERLINK("https://www.boe.es/gazeta/dias/1805/12/10/pdfs/GMD-C-1805-99.pdf#page=3","Abrir facsímil")</f>
        <v>Abrir facsímil</v>
      </c>
      <c r="K5308" s="15" t="s">
        <v>22</v>
      </c>
    </row>
    <row r="5309" spans="1:11" ht="42" customHeight="1">
      <c r="A5309" s="4" t="s">
        <v>12114</v>
      </c>
      <c r="B5309" s="5" t="s">
        <v>12115</v>
      </c>
      <c r="C5309" s="5" t="s">
        <v>52</v>
      </c>
      <c r="D5309" s="5" t="s">
        <v>53</v>
      </c>
      <c r="E5309" s="5" t="s">
        <v>82</v>
      </c>
      <c r="F5309" s="9">
        <v>25</v>
      </c>
      <c r="G5309" s="9" t="s">
        <v>222</v>
      </c>
      <c r="H5309" s="5" t="s">
        <v>20</v>
      </c>
      <c r="I5309" s="5" t="s">
        <v>12116</v>
      </c>
      <c r="J5309" s="12" t="str">
        <f>HYPERLINK("https://www.boe.es/gazeta/dias/1805/03/26/pdfs/GMD-C-1805-25.pdf#page=1","Abrir facsímil")</f>
        <v>Abrir facsímil</v>
      </c>
      <c r="K5309" s="15" t="s">
        <v>22</v>
      </c>
    </row>
    <row r="5310" spans="1:11" ht="42" customHeight="1">
      <c r="A5310" s="4" t="s">
        <v>12117</v>
      </c>
      <c r="B5310" s="5" t="s">
        <v>12118</v>
      </c>
      <c r="C5310" s="5" t="s">
        <v>17</v>
      </c>
      <c r="D5310" s="5" t="s">
        <v>18</v>
      </c>
      <c r="E5310" s="5" t="s">
        <v>422</v>
      </c>
      <c r="F5310" s="9">
        <v>74</v>
      </c>
      <c r="G5310" s="9">
        <v>786</v>
      </c>
      <c r="H5310" s="5" t="s">
        <v>20</v>
      </c>
      <c r="I5310" s="5" t="s">
        <v>12119</v>
      </c>
      <c r="J5310" s="12" t="str">
        <f>HYPERLINK("https://www.boe.es/gazeta/dias/1805/09/13/pdfs/GMD-1805-74.pdf#page=10","Abrir facsímil")</f>
        <v>Abrir facsímil</v>
      </c>
      <c r="K5310" s="15" t="s">
        <v>22</v>
      </c>
    </row>
    <row r="5311" spans="1:11" ht="42" customHeight="1">
      <c r="A5311" s="4" t="s">
        <v>12120</v>
      </c>
      <c r="B5311" s="5" t="s">
        <v>12121</v>
      </c>
      <c r="C5311" s="5" t="s">
        <v>85</v>
      </c>
      <c r="D5311" s="5" t="s">
        <v>86</v>
      </c>
      <c r="E5311" s="5" t="s">
        <v>904</v>
      </c>
      <c r="F5311" s="9">
        <v>47</v>
      </c>
      <c r="G5311" s="9">
        <v>509</v>
      </c>
      <c r="H5311" s="5" t="s">
        <v>20</v>
      </c>
      <c r="I5311" s="5" t="s">
        <v>12122</v>
      </c>
      <c r="J5311" s="12" t="str">
        <f>HYPERLINK("https://www.boe.es/gazeta/dias/1805/06/11/pdfs/GMD-1805-47.pdf#page=9","Abrir facsímil")</f>
        <v>Abrir facsímil</v>
      </c>
      <c r="K5311" s="15" t="s">
        <v>22</v>
      </c>
    </row>
    <row r="5312" spans="1:11" ht="42" customHeight="1">
      <c r="A5312" s="4" t="s">
        <v>12123</v>
      </c>
      <c r="B5312" s="5" t="s">
        <v>12124</v>
      </c>
      <c r="C5312" s="5" t="s">
        <v>35</v>
      </c>
      <c r="D5312" s="5" t="s">
        <v>36</v>
      </c>
      <c r="E5312" s="5" t="s">
        <v>352</v>
      </c>
      <c r="F5312" s="9">
        <v>60</v>
      </c>
      <c r="G5312" s="9">
        <v>645</v>
      </c>
      <c r="H5312" s="5" t="s">
        <v>20</v>
      </c>
      <c r="I5312" s="5" t="s">
        <v>12125</v>
      </c>
      <c r="J5312" s="12" t="str">
        <f>HYPERLINK("https://www.boe.es/gazeta/dias/1805/07/26/pdfs/GMD-1805-60.pdf#page=9","Abrir facsímil")</f>
        <v>Abrir facsímil</v>
      </c>
      <c r="K5312" s="15" t="s">
        <v>22</v>
      </c>
    </row>
    <row r="5313" spans="1:11" ht="42" customHeight="1">
      <c r="A5313" s="4" t="s">
        <v>12126</v>
      </c>
      <c r="B5313" s="5" t="s">
        <v>12127</v>
      </c>
      <c r="C5313" s="5" t="s">
        <v>52</v>
      </c>
      <c r="D5313" s="5" t="s">
        <v>53</v>
      </c>
      <c r="E5313" s="5" t="s">
        <v>144</v>
      </c>
      <c r="F5313" s="9">
        <v>85</v>
      </c>
      <c r="G5313" s="9" t="s">
        <v>1153</v>
      </c>
      <c r="H5313" s="5" t="s">
        <v>20</v>
      </c>
      <c r="I5313" s="5" t="s">
        <v>12128</v>
      </c>
      <c r="J5313" s="12" t="str">
        <f>HYPERLINK("https://www.boe.es/gazeta/dias/1805/10/22/pdfs/GMD-C-1805-85.pdf#page=8","Abrir facsímil")</f>
        <v>Abrir facsímil</v>
      </c>
      <c r="K5313" s="15" t="s">
        <v>22</v>
      </c>
    </row>
    <row r="5314" spans="1:11" ht="42" customHeight="1">
      <c r="A5314" s="4" t="s">
        <v>12129</v>
      </c>
      <c r="B5314" s="5" t="s">
        <v>12130</v>
      </c>
      <c r="C5314" s="5" t="s">
        <v>29</v>
      </c>
      <c r="D5314" s="5" t="s">
        <v>30</v>
      </c>
      <c r="E5314" s="5" t="s">
        <v>303</v>
      </c>
      <c r="F5314" s="9">
        <v>57</v>
      </c>
      <c r="G5314" s="9">
        <v>610</v>
      </c>
      <c r="H5314" s="5" t="s">
        <v>20</v>
      </c>
      <c r="I5314" s="5" t="s">
        <v>12131</v>
      </c>
      <c r="J5314" s="12" t="str">
        <f>HYPERLINK("https://www.boe.es/gazeta/dias/1805/07/16/pdfs/GMD-1805-57.pdf#page=6","Abrir facsímil")</f>
        <v>Abrir facsímil</v>
      </c>
      <c r="K5314" s="15" t="s">
        <v>22</v>
      </c>
    </row>
    <row r="5315" spans="1:11" ht="42" customHeight="1">
      <c r="A5315" s="4" t="s">
        <v>12132</v>
      </c>
      <c r="B5315" s="5" t="s">
        <v>12133</v>
      </c>
      <c r="C5315" s="5" t="s">
        <v>35</v>
      </c>
      <c r="D5315" s="5" t="s">
        <v>36</v>
      </c>
      <c r="E5315" s="5" t="s">
        <v>163</v>
      </c>
      <c r="F5315" s="9">
        <v>77</v>
      </c>
      <c r="G5315" s="9">
        <v>817</v>
      </c>
      <c r="H5315" s="5" t="s">
        <v>20</v>
      </c>
      <c r="I5315" s="5" t="s">
        <v>12134</v>
      </c>
      <c r="J5315" s="12" t="str">
        <f>HYPERLINK("https://www.boe.es/gazeta/dias/1805/09/24/pdfs/GMD-1805-77.pdf#page=9","Abrir facsímil")</f>
        <v>Abrir facsímil</v>
      </c>
      <c r="K5315" s="15" t="s">
        <v>22</v>
      </c>
    </row>
    <row r="5316" spans="1:11" ht="42" customHeight="1">
      <c r="A5316" s="4" t="s">
        <v>12135</v>
      </c>
      <c r="B5316" s="5" t="s">
        <v>12136</v>
      </c>
      <c r="C5316" s="5" t="s">
        <v>35</v>
      </c>
      <c r="D5316" s="5" t="s">
        <v>36</v>
      </c>
      <c r="E5316" s="5" t="s">
        <v>200</v>
      </c>
      <c r="F5316" s="9">
        <v>91</v>
      </c>
      <c r="G5316" s="9">
        <v>977</v>
      </c>
      <c r="H5316" s="5" t="s">
        <v>20</v>
      </c>
      <c r="I5316" s="5" t="s">
        <v>12137</v>
      </c>
      <c r="J5316" s="12" t="str">
        <f>HYPERLINK("https://www.boe.es/gazeta/dias/1805/11/12/pdfs/GMD-1805-91.pdf#page=9","Abrir facsímil")</f>
        <v>Abrir facsímil</v>
      </c>
      <c r="K5316" s="15" t="s">
        <v>22</v>
      </c>
    </row>
    <row r="5317" spans="1:11" ht="42" customHeight="1">
      <c r="A5317" s="4" t="s">
        <v>12138</v>
      </c>
      <c r="B5317" s="5" t="s">
        <v>12139</v>
      </c>
      <c r="C5317" s="5" t="s">
        <v>35</v>
      </c>
      <c r="D5317" s="5" t="s">
        <v>36</v>
      </c>
      <c r="E5317" s="5" t="s">
        <v>303</v>
      </c>
      <c r="F5317" s="9">
        <v>57</v>
      </c>
      <c r="G5317" s="9">
        <v>610</v>
      </c>
      <c r="H5317" s="5" t="s">
        <v>20</v>
      </c>
      <c r="I5317" s="5" t="s">
        <v>12140</v>
      </c>
      <c r="J5317" s="12" t="str">
        <f>HYPERLINK("https://www.boe.es/gazeta/dias/1805/07/16/pdfs/GMD-1805-57.pdf#page=6","Abrir facsímil")</f>
        <v>Abrir facsímil</v>
      </c>
      <c r="K5317" s="15" t="s">
        <v>22</v>
      </c>
    </row>
    <row r="5318" spans="1:11" ht="42" customHeight="1">
      <c r="A5318" s="4" t="s">
        <v>12138</v>
      </c>
      <c r="B5318" s="5" t="s">
        <v>12139</v>
      </c>
      <c r="C5318" s="5" t="s">
        <v>52</v>
      </c>
      <c r="D5318" s="5" t="s">
        <v>53</v>
      </c>
      <c r="E5318" s="5" t="s">
        <v>144</v>
      </c>
      <c r="F5318" s="9">
        <v>85</v>
      </c>
      <c r="G5318" s="9" t="s">
        <v>159</v>
      </c>
      <c r="H5318" s="5" t="s">
        <v>20</v>
      </c>
      <c r="I5318" s="5" t="s">
        <v>12141</v>
      </c>
      <c r="J5318" s="12" t="str">
        <f>HYPERLINK("https://www.boe.es/gazeta/dias/1805/10/22/pdfs/GMD-C-1805-85.pdf#page=3","Abrir facsímil")</f>
        <v>Abrir facsímil</v>
      </c>
      <c r="K5318" s="15" t="s">
        <v>22</v>
      </c>
    </row>
    <row r="5319" spans="1:11" ht="42" customHeight="1">
      <c r="A5319" s="4" t="s">
        <v>12142</v>
      </c>
      <c r="B5319" s="5" t="s">
        <v>12143</v>
      </c>
      <c r="C5319" s="5" t="s">
        <v>17</v>
      </c>
      <c r="D5319" s="5" t="s">
        <v>18</v>
      </c>
      <c r="E5319" s="5" t="s">
        <v>495</v>
      </c>
      <c r="F5319" s="9">
        <v>103</v>
      </c>
      <c r="G5319" s="9">
        <v>1113</v>
      </c>
      <c r="H5319" s="5" t="s">
        <v>20</v>
      </c>
      <c r="I5319" s="5" t="s">
        <v>12144</v>
      </c>
      <c r="J5319" s="12" t="str">
        <f>HYPERLINK("https://www.boe.es/gazeta/dias/1805/12/24/pdfs/GMD-1805-103.pdf#page=5","Abrir facsímil")</f>
        <v>Abrir facsímil</v>
      </c>
      <c r="K5319" s="15" t="s">
        <v>22</v>
      </c>
    </row>
    <row r="5320" spans="1:11" ht="42" customHeight="1">
      <c r="A5320" s="4" t="s">
        <v>12145</v>
      </c>
      <c r="B5320" s="5" t="s">
        <v>12146</v>
      </c>
      <c r="C5320" s="5" t="s">
        <v>17</v>
      </c>
      <c r="D5320" s="5" t="s">
        <v>18</v>
      </c>
      <c r="E5320" s="5" t="s">
        <v>276</v>
      </c>
      <c r="F5320" s="9">
        <v>51</v>
      </c>
      <c r="G5320" s="9">
        <v>550</v>
      </c>
      <c r="H5320" s="5" t="s">
        <v>20</v>
      </c>
      <c r="I5320" s="5" t="s">
        <v>12147</v>
      </c>
      <c r="J5320" s="12" t="str">
        <f>HYPERLINK("https://www.boe.es/gazeta/dias/1805/06/25/pdfs/GMD-1805-51.pdf#page=6","Abrir facsímil")</f>
        <v>Abrir facsímil</v>
      </c>
      <c r="K5320" s="15" t="s">
        <v>22</v>
      </c>
    </row>
    <row r="5321" spans="1:11" ht="42" customHeight="1">
      <c r="A5321" s="4" t="s">
        <v>12148</v>
      </c>
      <c r="B5321" s="5" t="s">
        <v>12149</v>
      </c>
      <c r="C5321" s="5" t="s">
        <v>17</v>
      </c>
      <c r="D5321" s="5" t="s">
        <v>18</v>
      </c>
      <c r="E5321" s="5" t="s">
        <v>276</v>
      </c>
      <c r="F5321" s="9">
        <v>51</v>
      </c>
      <c r="G5321" s="9">
        <v>550</v>
      </c>
      <c r="H5321" s="5" t="s">
        <v>20</v>
      </c>
      <c r="I5321" s="5" t="s">
        <v>12150</v>
      </c>
      <c r="J5321" s="12" t="str">
        <f>HYPERLINK("https://www.boe.es/gazeta/dias/1805/06/25/pdfs/GMD-1805-51.pdf#page=6","Abrir facsímil")</f>
        <v>Abrir facsímil</v>
      </c>
      <c r="K5321" s="15" t="s">
        <v>22</v>
      </c>
    </row>
    <row r="5322" spans="1:11" ht="42" customHeight="1">
      <c r="A5322" s="4" t="s">
        <v>12151</v>
      </c>
      <c r="B5322" s="5" t="s">
        <v>12152</v>
      </c>
      <c r="C5322" s="5" t="s">
        <v>17</v>
      </c>
      <c r="D5322" s="5" t="s">
        <v>18</v>
      </c>
      <c r="E5322" s="5" t="s">
        <v>471</v>
      </c>
      <c r="F5322" s="9">
        <v>22</v>
      </c>
      <c r="G5322" s="9">
        <v>232</v>
      </c>
      <c r="H5322" s="5" t="s">
        <v>20</v>
      </c>
      <c r="I5322" s="5" t="s">
        <v>12153</v>
      </c>
      <c r="J5322" s="12" t="str">
        <f>HYPERLINK("https://www.boe.es/gazeta/dias/1805/03/15/pdfs/GMD-1805-22.pdf#page=8","Abrir facsímil")</f>
        <v>Abrir facsímil</v>
      </c>
      <c r="K5322" s="15" t="s">
        <v>22</v>
      </c>
    </row>
    <row r="5323" spans="1:11" ht="42" customHeight="1">
      <c r="A5323" s="4" t="s">
        <v>12154</v>
      </c>
      <c r="B5323" s="5" t="s">
        <v>12155</v>
      </c>
      <c r="C5323" s="5" t="s">
        <v>35</v>
      </c>
      <c r="D5323" s="5" t="s">
        <v>36</v>
      </c>
      <c r="E5323" s="5" t="s">
        <v>365</v>
      </c>
      <c r="F5323" s="9">
        <v>3</v>
      </c>
      <c r="G5323" s="9">
        <v>29</v>
      </c>
      <c r="H5323" s="5" t="s">
        <v>20</v>
      </c>
      <c r="I5323" s="5" t="s">
        <v>12156</v>
      </c>
      <c r="J5323" s="12" t="str">
        <f>HYPERLINK("https://www.boe.es/gazeta/dias/1805/01/08/pdfs/GMD-1805-3.pdf#page=5","Abrir facsímil")</f>
        <v>Abrir facsímil</v>
      </c>
      <c r="K5323" s="15" t="s">
        <v>22</v>
      </c>
    </row>
    <row r="5324" spans="1:11" ht="42" customHeight="1">
      <c r="A5324" s="4" t="s">
        <v>12157</v>
      </c>
      <c r="B5324" s="5" t="s">
        <v>12158</v>
      </c>
      <c r="C5324" s="5" t="s">
        <v>35</v>
      </c>
      <c r="D5324" s="5" t="s">
        <v>36</v>
      </c>
      <c r="E5324" s="5" t="s">
        <v>365</v>
      </c>
      <c r="F5324" s="9">
        <v>3</v>
      </c>
      <c r="G5324" s="9">
        <v>29</v>
      </c>
      <c r="H5324" s="5" t="s">
        <v>20</v>
      </c>
      <c r="I5324" s="5" t="s">
        <v>12159</v>
      </c>
      <c r="J5324" s="12" t="str">
        <f>HYPERLINK("https://www.boe.es/gazeta/dias/1805/01/08/pdfs/GMD-1805-3.pdf#page=5","Abrir facsímil")</f>
        <v>Abrir facsímil</v>
      </c>
      <c r="K5324" s="15" t="s">
        <v>22</v>
      </c>
    </row>
    <row r="5325" spans="1:11" ht="42" customHeight="1">
      <c r="A5325" s="4" t="s">
        <v>12160</v>
      </c>
      <c r="B5325" s="5" t="s">
        <v>12160</v>
      </c>
      <c r="C5325" s="5" t="s">
        <v>17</v>
      </c>
      <c r="D5325" s="5" t="s">
        <v>18</v>
      </c>
      <c r="E5325" s="5" t="s">
        <v>1432</v>
      </c>
      <c r="F5325" s="9">
        <v>53</v>
      </c>
      <c r="G5325" s="9">
        <v>567</v>
      </c>
      <c r="H5325" s="5" t="s">
        <v>20</v>
      </c>
      <c r="I5325" s="5" t="s">
        <v>12161</v>
      </c>
      <c r="J5325" s="12" t="str">
        <f>HYPERLINK("https://www.boe.es/gazeta/dias/1805/07/02/pdfs/GMD-1805-53.pdf#page=3","Abrir facsímil")</f>
        <v>Abrir facsímil</v>
      </c>
      <c r="K5325" s="15" t="s">
        <v>22</v>
      </c>
    </row>
    <row r="5326" spans="1:11" ht="42" customHeight="1">
      <c r="A5326" s="4" t="s">
        <v>12162</v>
      </c>
      <c r="B5326" s="5" t="s">
        <v>12163</v>
      </c>
      <c r="C5326" s="5" t="s">
        <v>35</v>
      </c>
      <c r="D5326" s="5" t="s">
        <v>36</v>
      </c>
      <c r="E5326" s="5" t="s">
        <v>365</v>
      </c>
      <c r="F5326" s="9">
        <v>3</v>
      </c>
      <c r="G5326" s="9">
        <v>29</v>
      </c>
      <c r="H5326" s="5" t="s">
        <v>20</v>
      </c>
      <c r="I5326" s="5" t="s">
        <v>12164</v>
      </c>
      <c r="J5326" s="12" t="str">
        <f>HYPERLINK("https://www.boe.es/gazeta/dias/1805/01/08/pdfs/GMD-1805-3.pdf#page=5","Abrir facsímil")</f>
        <v>Abrir facsímil</v>
      </c>
      <c r="K5326" s="15" t="s">
        <v>22</v>
      </c>
    </row>
    <row r="5327" spans="1:11" ht="42" customHeight="1">
      <c r="A5327" s="4" t="s">
        <v>12165</v>
      </c>
      <c r="B5327" s="5" t="s">
        <v>12166</v>
      </c>
      <c r="C5327" s="5" t="s">
        <v>17</v>
      </c>
      <c r="D5327" s="5" t="s">
        <v>18</v>
      </c>
      <c r="E5327" s="5" t="s">
        <v>40</v>
      </c>
      <c r="F5327" s="9">
        <v>59</v>
      </c>
      <c r="G5327" s="9">
        <v>631</v>
      </c>
      <c r="H5327" s="5" t="s">
        <v>20</v>
      </c>
      <c r="I5327" s="5" t="s">
        <v>12167</v>
      </c>
      <c r="J5327" s="12" t="str">
        <f>HYPERLINK("https://www.boe.es/gazeta/dias/1805/07/23/pdfs/GMD-1805-59.pdf#page=7","Abrir facsímil")</f>
        <v>Abrir facsímil</v>
      </c>
      <c r="K5327" s="15" t="s">
        <v>22</v>
      </c>
    </row>
    <row r="5328" spans="1:11" ht="42" customHeight="1">
      <c r="A5328" s="4" t="s">
        <v>12168</v>
      </c>
      <c r="B5328" s="5" t="s">
        <v>12169</v>
      </c>
      <c r="C5328" s="5" t="s">
        <v>35</v>
      </c>
      <c r="D5328" s="5" t="s">
        <v>36</v>
      </c>
      <c r="E5328" s="5" t="s">
        <v>864</v>
      </c>
      <c r="F5328" s="9">
        <v>88</v>
      </c>
      <c r="G5328" s="9">
        <v>938</v>
      </c>
      <c r="H5328" s="5" t="s">
        <v>20</v>
      </c>
      <c r="I5328" s="5" t="s">
        <v>12170</v>
      </c>
      <c r="J5328" s="12" t="str">
        <f>HYPERLINK("https://www.boe.es/gazeta/dias/1805/11/01/pdfs/GMD-1805-88.pdf#page=10","Abrir facsímil")</f>
        <v>Abrir facsímil</v>
      </c>
      <c r="K5328" s="15" t="s">
        <v>22</v>
      </c>
    </row>
    <row r="5329" spans="1:11" ht="42" customHeight="1">
      <c r="A5329" s="4" t="s">
        <v>12171</v>
      </c>
      <c r="B5329" s="5" t="s">
        <v>12171</v>
      </c>
      <c r="C5329" s="5" t="s">
        <v>35</v>
      </c>
      <c r="D5329" s="5" t="s">
        <v>36</v>
      </c>
      <c r="E5329" s="5" t="s">
        <v>422</v>
      </c>
      <c r="F5329" s="9">
        <v>74</v>
      </c>
      <c r="G5329" s="9">
        <v>780</v>
      </c>
      <c r="H5329" s="5" t="s">
        <v>20</v>
      </c>
      <c r="I5329" s="5" t="s">
        <v>12172</v>
      </c>
      <c r="J5329" s="12" t="str">
        <f>HYPERLINK("https://www.boe.es/gazeta/dias/1805/09/13/pdfs/GMD-1805-74.pdf#page=4","Abrir facsímil")</f>
        <v>Abrir facsímil</v>
      </c>
      <c r="K5329" s="15" t="s">
        <v>22</v>
      </c>
    </row>
    <row r="5330" spans="1:11" ht="42" customHeight="1">
      <c r="A5330" s="4" t="s">
        <v>12173</v>
      </c>
      <c r="B5330" s="5" t="s">
        <v>12174</v>
      </c>
      <c r="C5330" s="5" t="s">
        <v>85</v>
      </c>
      <c r="D5330" s="5" t="s">
        <v>86</v>
      </c>
      <c r="E5330" s="5" t="s">
        <v>27</v>
      </c>
      <c r="F5330" s="9">
        <v>37</v>
      </c>
      <c r="G5330" s="9">
        <v>402</v>
      </c>
      <c r="H5330" s="5" t="s">
        <v>20</v>
      </c>
      <c r="I5330" s="5" t="s">
        <v>12175</v>
      </c>
      <c r="J5330" s="12" t="str">
        <f>HYPERLINK("https://www.boe.es/gazeta/dias/1805/05/07/pdfs/GMD-1805-37.pdf#page=10","Abrir facsímil")</f>
        <v>Abrir facsímil</v>
      </c>
      <c r="K5330" s="15" t="s">
        <v>22</v>
      </c>
    </row>
    <row r="5331" spans="1:11" ht="42" customHeight="1">
      <c r="A5331" s="4" t="s">
        <v>12176</v>
      </c>
      <c r="B5331" s="5" t="s">
        <v>12177</v>
      </c>
      <c r="C5331" s="5" t="s">
        <v>35</v>
      </c>
      <c r="D5331" s="5" t="s">
        <v>36</v>
      </c>
      <c r="E5331" s="5" t="s">
        <v>107</v>
      </c>
      <c r="F5331" s="9">
        <v>19</v>
      </c>
      <c r="G5331" s="9">
        <v>198</v>
      </c>
      <c r="H5331" s="5" t="s">
        <v>20</v>
      </c>
      <c r="I5331" s="5" t="s">
        <v>12178</v>
      </c>
      <c r="J5331" s="12" t="str">
        <f>HYPERLINK("https://www.boe.es/gazeta/dias/1805/03/05/pdfs/GMD-1805-19.pdf#page=10","Abrir facsímil")</f>
        <v>Abrir facsímil</v>
      </c>
      <c r="K5331" s="15" t="s">
        <v>22</v>
      </c>
    </row>
    <row r="5332" spans="1:11" ht="42" customHeight="1">
      <c r="A5332" s="4" t="s">
        <v>12179</v>
      </c>
      <c r="B5332" s="5" t="s">
        <v>12180</v>
      </c>
      <c r="C5332" s="5" t="s">
        <v>35</v>
      </c>
      <c r="D5332" s="5" t="s">
        <v>36</v>
      </c>
      <c r="E5332" s="5" t="s">
        <v>645</v>
      </c>
      <c r="F5332" s="9">
        <v>55</v>
      </c>
      <c r="G5332" s="9">
        <v>585</v>
      </c>
      <c r="H5332" s="5" t="s">
        <v>20</v>
      </c>
      <c r="I5332" s="5" t="s">
        <v>12181</v>
      </c>
      <c r="J5332" s="12" t="str">
        <f>HYPERLINK("https://www.boe.es/gazeta/dias/1805/07/09/pdfs/GMD-1805-55.pdf#page=5","Abrir facsímil")</f>
        <v>Abrir facsímil</v>
      </c>
      <c r="K5332" s="15" t="s">
        <v>22</v>
      </c>
    </row>
    <row r="5333" spans="1:11" ht="42" customHeight="1">
      <c r="A5333" s="4" t="s">
        <v>12182</v>
      </c>
      <c r="B5333" s="5" t="s">
        <v>12183</v>
      </c>
      <c r="C5333" s="5" t="s">
        <v>35</v>
      </c>
      <c r="D5333" s="5" t="s">
        <v>36</v>
      </c>
      <c r="E5333" s="5" t="s">
        <v>426</v>
      </c>
      <c r="F5333" s="9">
        <v>75</v>
      </c>
      <c r="G5333" s="9">
        <v>798</v>
      </c>
      <c r="H5333" s="5" t="s">
        <v>20</v>
      </c>
      <c r="I5333" s="5" t="s">
        <v>12184</v>
      </c>
      <c r="J5333" s="12" t="str">
        <f>HYPERLINK("https://www.boe.es/gazeta/dias/1805/09/17/pdfs/GMD-1805-75.pdf#page=10","Abrir facsímil")</f>
        <v>Abrir facsímil</v>
      </c>
      <c r="K5333" s="15" t="s">
        <v>22</v>
      </c>
    </row>
    <row r="5334" spans="1:11" ht="42" customHeight="1">
      <c r="A5334" s="4" t="s">
        <v>12185</v>
      </c>
      <c r="B5334" s="5" t="s">
        <v>12186</v>
      </c>
      <c r="C5334" s="5" t="s">
        <v>35</v>
      </c>
      <c r="D5334" s="5" t="s">
        <v>36</v>
      </c>
      <c r="E5334" s="5" t="s">
        <v>1445</v>
      </c>
      <c r="F5334" s="9">
        <v>6</v>
      </c>
      <c r="G5334" s="9">
        <v>67</v>
      </c>
      <c r="H5334" s="5" t="s">
        <v>20</v>
      </c>
      <c r="I5334" s="5" t="s">
        <v>12187</v>
      </c>
      <c r="J5334" s="12" t="str">
        <f>HYPERLINK("https://www.boe.es/gazeta/dias/1805/01/18/pdfs/GMD-1805-6.pdf#page=11","Abrir facsímil")</f>
        <v>Abrir facsímil</v>
      </c>
      <c r="K5334" s="15" t="s">
        <v>22</v>
      </c>
    </row>
    <row r="5335" spans="1:11" ht="42" customHeight="1">
      <c r="A5335" s="4" t="s">
        <v>12188</v>
      </c>
      <c r="B5335" s="5" t="s">
        <v>12189</v>
      </c>
      <c r="C5335" s="5" t="s">
        <v>85</v>
      </c>
      <c r="D5335" s="5" t="s">
        <v>86</v>
      </c>
      <c r="E5335" s="5" t="s">
        <v>286</v>
      </c>
      <c r="F5335" s="9">
        <v>48</v>
      </c>
      <c r="G5335" s="9">
        <v>524</v>
      </c>
      <c r="H5335" s="5" t="s">
        <v>20</v>
      </c>
      <c r="I5335" s="5" t="s">
        <v>12190</v>
      </c>
      <c r="J5335" s="12" t="str">
        <f>HYPERLINK("https://www.boe.es/gazeta/dias/1805/06/14/pdfs/GMD-1805-48.pdf#page=12","Abrir facsímil")</f>
        <v>Abrir facsímil</v>
      </c>
      <c r="K5335" s="15" t="s">
        <v>22</v>
      </c>
    </row>
    <row r="5336" spans="1:11" ht="42" customHeight="1">
      <c r="A5336" s="4" t="s">
        <v>12191</v>
      </c>
      <c r="B5336" s="5" t="s">
        <v>12192</v>
      </c>
      <c r="C5336" s="5" t="s">
        <v>184</v>
      </c>
      <c r="D5336" s="5" t="s">
        <v>86</v>
      </c>
      <c r="E5336" s="5" t="s">
        <v>293</v>
      </c>
      <c r="F5336" s="9">
        <v>5</v>
      </c>
      <c r="G5336" s="9">
        <v>53</v>
      </c>
      <c r="H5336" s="5" t="s">
        <v>20</v>
      </c>
      <c r="I5336" s="5" t="s">
        <v>12193</v>
      </c>
      <c r="J5336" s="12" t="str">
        <f>HYPERLINK("https://www.boe.es/gazeta/dias/1805/01/15/pdfs/GMD-1805-5.pdf#page=9","Abrir facsímil")</f>
        <v>Abrir facsímil</v>
      </c>
      <c r="K5336" s="15" t="s">
        <v>22</v>
      </c>
    </row>
    <row r="5337" spans="1:11" ht="42" customHeight="1">
      <c r="A5337" s="4" t="s">
        <v>12194</v>
      </c>
      <c r="B5337" s="5" t="s">
        <v>12195</v>
      </c>
      <c r="C5337" s="5" t="s">
        <v>35</v>
      </c>
      <c r="D5337" s="5" t="s">
        <v>36</v>
      </c>
      <c r="E5337" s="5" t="s">
        <v>192</v>
      </c>
      <c r="F5337" s="9">
        <v>105</v>
      </c>
      <c r="G5337" s="9">
        <v>1136</v>
      </c>
      <c r="H5337" s="5" t="s">
        <v>20</v>
      </c>
      <c r="I5337" s="5" t="s">
        <v>12196</v>
      </c>
      <c r="J5337" s="12" t="str">
        <f>HYPERLINK("https://www.boe.es/gazeta/dias/1805/12/31/pdfs/GMD-1805-105.pdf#page=8","Abrir facsímil")</f>
        <v>Abrir facsímil</v>
      </c>
      <c r="K5337" s="15" t="s">
        <v>22</v>
      </c>
    </row>
    <row r="5338" spans="1:11" ht="42" customHeight="1">
      <c r="A5338" s="4" t="s">
        <v>12197</v>
      </c>
      <c r="B5338" s="5" t="s">
        <v>12198</v>
      </c>
      <c r="C5338" s="5" t="s">
        <v>17</v>
      </c>
      <c r="D5338" s="5" t="s">
        <v>18</v>
      </c>
      <c r="E5338" s="5" t="s">
        <v>135</v>
      </c>
      <c r="F5338" s="9">
        <v>71</v>
      </c>
      <c r="G5338" s="9">
        <v>756</v>
      </c>
      <c r="H5338" s="5" t="s">
        <v>20</v>
      </c>
      <c r="I5338" s="5" t="s">
        <v>12199</v>
      </c>
      <c r="J5338" s="12" t="str">
        <f>HYPERLINK("https://www.boe.es/gazeta/dias/1805/09/03/pdfs/GMD-1805-71.pdf#page=8","Abrir facsímil")</f>
        <v>Abrir facsímil</v>
      </c>
      <c r="K5338" s="15" t="s">
        <v>22</v>
      </c>
    </row>
    <row r="5339" spans="1:11" ht="42" customHeight="1">
      <c r="A5339" s="4" t="s">
        <v>12200</v>
      </c>
      <c r="B5339" s="5" t="s">
        <v>12201</v>
      </c>
      <c r="C5339" s="5" t="s">
        <v>35</v>
      </c>
      <c r="D5339" s="5" t="s">
        <v>36</v>
      </c>
      <c r="E5339" s="5" t="s">
        <v>141</v>
      </c>
      <c r="F5339" s="9">
        <v>82</v>
      </c>
      <c r="G5339" s="9">
        <v>870</v>
      </c>
      <c r="H5339" s="5" t="s">
        <v>20</v>
      </c>
      <c r="I5339" s="5" t="s">
        <v>12202</v>
      </c>
      <c r="J5339" s="12" t="str">
        <f>HYPERLINK("https://www.boe.es/gazeta/dias/1805/10/11/pdfs/GMD-1805-82.pdf#page=10","Abrir facsímil")</f>
        <v>Abrir facsímil</v>
      </c>
      <c r="K5339" s="15" t="s">
        <v>22</v>
      </c>
    </row>
    <row r="5340" spans="1:11" ht="42" customHeight="1">
      <c r="A5340" s="4" t="s">
        <v>12203</v>
      </c>
      <c r="B5340" s="5" t="s">
        <v>12204</v>
      </c>
      <c r="C5340" s="5" t="s">
        <v>35</v>
      </c>
      <c r="D5340" s="5" t="s">
        <v>36</v>
      </c>
      <c r="E5340" s="5" t="s">
        <v>63</v>
      </c>
      <c r="F5340" s="9">
        <v>101</v>
      </c>
      <c r="G5340" s="9">
        <v>1093</v>
      </c>
      <c r="H5340" s="5" t="s">
        <v>20</v>
      </c>
      <c r="I5340" s="5" t="s">
        <v>12205</v>
      </c>
      <c r="J5340" s="12" t="str">
        <f>HYPERLINK("https://www.boe.es/gazeta/dias/1805/12/17/pdfs/GMD-1805-101.pdf#page=9","Abrir facsímil")</f>
        <v>Abrir facsímil</v>
      </c>
      <c r="K5340" s="15" t="s">
        <v>22</v>
      </c>
    </row>
    <row r="5341" spans="1:11" ht="42" customHeight="1">
      <c r="A5341" s="4" t="s">
        <v>12206</v>
      </c>
      <c r="B5341" s="5" t="s">
        <v>12207</v>
      </c>
      <c r="C5341" s="5" t="s">
        <v>35</v>
      </c>
      <c r="D5341" s="5" t="s">
        <v>36</v>
      </c>
      <c r="E5341" s="5" t="s">
        <v>226</v>
      </c>
      <c r="F5341" s="9">
        <v>73</v>
      </c>
      <c r="G5341" s="9">
        <v>773</v>
      </c>
      <c r="H5341" s="5" t="s">
        <v>20</v>
      </c>
      <c r="I5341" s="5" t="s">
        <v>12208</v>
      </c>
      <c r="J5341" s="12" t="str">
        <f>HYPERLINK("https://www.boe.es/gazeta/dias/1805/09/10/pdfs/GMD-1805-73.pdf#page=5","Abrir facsímil")</f>
        <v>Abrir facsímil</v>
      </c>
      <c r="K5341" s="15" t="s">
        <v>22</v>
      </c>
    </row>
    <row r="5342" spans="1:11" ht="42" customHeight="1">
      <c r="A5342" s="4" t="s">
        <v>12209</v>
      </c>
      <c r="B5342" s="5" t="s">
        <v>12210</v>
      </c>
      <c r="C5342" s="5" t="s">
        <v>17</v>
      </c>
      <c r="D5342" s="5" t="s">
        <v>18</v>
      </c>
      <c r="E5342" s="5" t="s">
        <v>63</v>
      </c>
      <c r="F5342" s="9">
        <v>101</v>
      </c>
      <c r="G5342" s="9">
        <v>1092</v>
      </c>
      <c r="H5342" s="5" t="s">
        <v>20</v>
      </c>
      <c r="I5342" s="5" t="s">
        <v>12211</v>
      </c>
      <c r="J5342" s="12" t="str">
        <f>HYPERLINK("https://www.boe.es/gazeta/dias/1805/12/17/pdfs/GMD-1805-101.pdf#page=8","Abrir facsímil")</f>
        <v>Abrir facsímil</v>
      </c>
      <c r="K5342" s="15" t="s">
        <v>22</v>
      </c>
    </row>
    <row r="5343" spans="1:11" ht="42" customHeight="1">
      <c r="A5343" s="4" t="s">
        <v>12212</v>
      </c>
      <c r="B5343" s="5" t="s">
        <v>12213</v>
      </c>
      <c r="C5343" s="5" t="s">
        <v>85</v>
      </c>
      <c r="D5343" s="5" t="s">
        <v>86</v>
      </c>
      <c r="E5343" s="5" t="s">
        <v>181</v>
      </c>
      <c r="F5343" s="9">
        <v>90</v>
      </c>
      <c r="G5343" s="9">
        <v>964</v>
      </c>
      <c r="H5343" s="5" t="s">
        <v>20</v>
      </c>
      <c r="I5343" s="5" t="s">
        <v>12214</v>
      </c>
      <c r="J5343" s="12" t="str">
        <f>HYPERLINK("https://www.boe.es/gazeta/dias/1805/11/08/pdfs/GMD-1805-90.pdf#page=8","Abrir facsímil")</f>
        <v>Abrir facsímil</v>
      </c>
      <c r="K5343" s="15" t="s">
        <v>22</v>
      </c>
    </row>
    <row r="5344" spans="1:11" ht="42" customHeight="1">
      <c r="A5344" s="4" t="s">
        <v>12215</v>
      </c>
      <c r="B5344" s="5" t="s">
        <v>12216</v>
      </c>
      <c r="C5344" s="5" t="s">
        <v>52</v>
      </c>
      <c r="D5344" s="5" t="s">
        <v>53</v>
      </c>
      <c r="E5344" s="5" t="s">
        <v>82</v>
      </c>
      <c r="F5344" s="9">
        <v>25</v>
      </c>
      <c r="G5344" s="9" t="s">
        <v>145</v>
      </c>
      <c r="H5344" s="5" t="s">
        <v>20</v>
      </c>
      <c r="I5344" s="5" t="s">
        <v>12217</v>
      </c>
      <c r="J5344" s="12" t="str">
        <f>HYPERLINK("https://www.boe.es/gazeta/dias/1805/03/26/pdfs/GMD-C-1805-25.pdf#page=2","Abrir facsímil")</f>
        <v>Abrir facsímil</v>
      </c>
      <c r="K5344" s="15" t="s">
        <v>22</v>
      </c>
    </row>
    <row r="5345" spans="1:11" ht="42" customHeight="1">
      <c r="A5345" s="4" t="s">
        <v>12218</v>
      </c>
      <c r="B5345" s="5" t="s">
        <v>12219</v>
      </c>
      <c r="C5345" s="5" t="s">
        <v>85</v>
      </c>
      <c r="D5345" s="5" t="s">
        <v>86</v>
      </c>
      <c r="E5345" s="5" t="s">
        <v>335</v>
      </c>
      <c r="F5345" s="9">
        <v>79</v>
      </c>
      <c r="G5345" s="9">
        <v>838</v>
      </c>
      <c r="H5345" s="5" t="s">
        <v>20</v>
      </c>
      <c r="I5345" s="5" t="s">
        <v>12220</v>
      </c>
      <c r="J5345" s="12" t="str">
        <f>HYPERLINK("https://www.boe.es/gazeta/dias/1805/10/01/pdfs/GMD-1805-79.pdf#page=10","Abrir facsímil")</f>
        <v>Abrir facsímil</v>
      </c>
      <c r="K5345" s="15" t="s">
        <v>22</v>
      </c>
    </row>
    <row r="5346" spans="1:11" ht="42" customHeight="1">
      <c r="A5346" s="4" t="s">
        <v>12221</v>
      </c>
      <c r="B5346" s="5" t="s">
        <v>12221</v>
      </c>
      <c r="C5346" s="5" t="s">
        <v>17</v>
      </c>
      <c r="D5346" s="5" t="s">
        <v>18</v>
      </c>
      <c r="E5346" s="5" t="s">
        <v>585</v>
      </c>
      <c r="F5346" s="9">
        <v>64</v>
      </c>
      <c r="G5346" s="9">
        <v>687</v>
      </c>
      <c r="H5346" s="5" t="s">
        <v>20</v>
      </c>
      <c r="I5346" s="5" t="s">
        <v>12222</v>
      </c>
      <c r="J5346" s="12" t="str">
        <f>HYPERLINK("https://www.boe.es/gazeta/dias/1805/08/09/pdfs/GMD-1805-64.pdf#page=11","Abrir facsímil")</f>
        <v>Abrir facsímil</v>
      </c>
      <c r="K5346" s="15" t="s">
        <v>22</v>
      </c>
    </row>
    <row r="5347" spans="1:11" ht="42" customHeight="1">
      <c r="A5347" s="4" t="s">
        <v>12221</v>
      </c>
      <c r="B5347" s="5" t="s">
        <v>12221</v>
      </c>
      <c r="C5347" s="5" t="s">
        <v>80</v>
      </c>
      <c r="D5347" s="5" t="s">
        <v>81</v>
      </c>
      <c r="E5347" s="5" t="s">
        <v>512</v>
      </c>
      <c r="F5347" s="9">
        <v>100</v>
      </c>
      <c r="G5347" s="9">
        <v>1077</v>
      </c>
      <c r="H5347" s="5" t="s">
        <v>20</v>
      </c>
      <c r="I5347" s="5" t="s">
        <v>12223</v>
      </c>
      <c r="J5347" s="12" t="str">
        <f>HYPERLINK("https://www.boe.es/gazeta/dias/1805/12/13/pdfs/GMD-1805-100.pdf#page=5","Abrir facsímil")</f>
        <v>Abrir facsímil</v>
      </c>
      <c r="K5347" s="15" t="s">
        <v>22</v>
      </c>
    </row>
    <row r="5348" spans="1:11" ht="42" customHeight="1">
      <c r="A5348" s="4" t="s">
        <v>12224</v>
      </c>
      <c r="B5348" s="5" t="s">
        <v>12225</v>
      </c>
      <c r="C5348" s="5" t="s">
        <v>29</v>
      </c>
      <c r="D5348" s="5" t="s">
        <v>30</v>
      </c>
      <c r="E5348" s="5" t="s">
        <v>296</v>
      </c>
      <c r="F5348" s="9">
        <v>26</v>
      </c>
      <c r="G5348" s="9">
        <v>280</v>
      </c>
      <c r="H5348" s="5" t="s">
        <v>20</v>
      </c>
      <c r="I5348" s="5" t="s">
        <v>12226</v>
      </c>
      <c r="J5348" s="12" t="str">
        <f>HYPERLINK("https://www.boe.es/gazeta/dias/1805/03/29/pdfs/GMD-1805-26.pdf#page=12","Abrir facsímil")</f>
        <v>Abrir facsímil</v>
      </c>
      <c r="K5348" s="15" t="s">
        <v>22</v>
      </c>
    </row>
    <row r="5349" spans="1:11" ht="42" customHeight="1">
      <c r="A5349" s="4" t="s">
        <v>12227</v>
      </c>
      <c r="B5349" s="5" t="s">
        <v>12227</v>
      </c>
      <c r="C5349" s="5" t="s">
        <v>17</v>
      </c>
      <c r="D5349" s="5" t="s">
        <v>18</v>
      </c>
      <c r="E5349" s="5" t="s">
        <v>440</v>
      </c>
      <c r="F5349" s="9">
        <v>27</v>
      </c>
      <c r="G5349" s="9">
        <v>283</v>
      </c>
      <c r="H5349" s="5" t="s">
        <v>20</v>
      </c>
      <c r="I5349" s="5" t="s">
        <v>12228</v>
      </c>
      <c r="J5349" s="12" t="str">
        <f>HYPERLINK("https://www.boe.es/gazeta/dias/1805/04/02/pdfs/GMD-1805-27.pdf#page=3","Abrir facsímil")</f>
        <v>Abrir facsímil</v>
      </c>
      <c r="K5349" s="15" t="s">
        <v>22</v>
      </c>
    </row>
    <row r="5350" spans="1:11" ht="42" customHeight="1">
      <c r="A5350" s="4" t="s">
        <v>12227</v>
      </c>
      <c r="B5350" s="5" t="s">
        <v>12227</v>
      </c>
      <c r="C5350" s="5" t="s">
        <v>17</v>
      </c>
      <c r="D5350" s="5" t="s">
        <v>18</v>
      </c>
      <c r="E5350" s="5" t="s">
        <v>135</v>
      </c>
      <c r="F5350" s="9">
        <v>71</v>
      </c>
      <c r="G5350" s="9">
        <v>752</v>
      </c>
      <c r="H5350" s="5" t="s">
        <v>20</v>
      </c>
      <c r="I5350" s="5" t="s">
        <v>12229</v>
      </c>
      <c r="J5350" s="12" t="str">
        <f>HYPERLINK("https://www.boe.es/gazeta/dias/1805/09/03/pdfs/GMD-1805-71.pdf#page=4","Abrir facsímil")</f>
        <v>Abrir facsímil</v>
      </c>
      <c r="K5350" s="15" t="s">
        <v>22</v>
      </c>
    </row>
    <row r="5351" spans="1:11" ht="42" customHeight="1">
      <c r="A5351" s="4" t="s">
        <v>12227</v>
      </c>
      <c r="B5351" s="5" t="s">
        <v>12227</v>
      </c>
      <c r="C5351" s="5" t="s">
        <v>35</v>
      </c>
      <c r="D5351" s="5" t="s">
        <v>36</v>
      </c>
      <c r="E5351" s="5" t="s">
        <v>1132</v>
      </c>
      <c r="F5351" s="9">
        <v>72</v>
      </c>
      <c r="G5351" s="9">
        <v>763</v>
      </c>
      <c r="H5351" s="5" t="s">
        <v>20</v>
      </c>
      <c r="I5351" s="5" t="s">
        <v>12230</v>
      </c>
      <c r="J5351" s="12" t="str">
        <f>HYPERLINK("https://www.boe.es/gazeta/dias/1805/09/06/pdfs/GMD-1805-72.pdf#page=3","Abrir facsímil")</f>
        <v>Abrir facsímil</v>
      </c>
      <c r="K5351" s="15" t="s">
        <v>22</v>
      </c>
    </row>
    <row r="5352" spans="1:11" ht="42" customHeight="1">
      <c r="A5352" s="4" t="s">
        <v>12227</v>
      </c>
      <c r="B5352" s="5" t="s">
        <v>12227</v>
      </c>
      <c r="C5352" s="5" t="s">
        <v>80</v>
      </c>
      <c r="D5352" s="5" t="s">
        <v>81</v>
      </c>
      <c r="E5352" s="5" t="s">
        <v>207</v>
      </c>
      <c r="F5352" s="9">
        <v>76</v>
      </c>
      <c r="G5352" s="9">
        <v>803</v>
      </c>
      <c r="H5352" s="5" t="s">
        <v>20</v>
      </c>
      <c r="I5352" s="5" t="s">
        <v>12231</v>
      </c>
      <c r="J5352" s="12" t="str">
        <f>HYPERLINK("https://www.boe.es/gazeta/dias/1805/09/20/pdfs/GMD-1805-76.pdf#page=3","Abrir facsímil")</f>
        <v>Abrir facsímil</v>
      </c>
      <c r="K5352" s="15" t="s">
        <v>22</v>
      </c>
    </row>
    <row r="5353" spans="1:11" ht="42" customHeight="1">
      <c r="A5353" s="4" t="s">
        <v>12232</v>
      </c>
      <c r="B5353" s="5" t="s">
        <v>12233</v>
      </c>
      <c r="C5353" s="5" t="s">
        <v>80</v>
      </c>
      <c r="D5353" s="5" t="s">
        <v>81</v>
      </c>
      <c r="E5353" s="5" t="s">
        <v>213</v>
      </c>
      <c r="F5353" s="9">
        <v>56</v>
      </c>
      <c r="G5353" s="9">
        <v>596</v>
      </c>
      <c r="H5353" s="5" t="s">
        <v>20</v>
      </c>
      <c r="I5353" s="5" t="s">
        <v>12234</v>
      </c>
      <c r="J5353" s="12" t="str">
        <f>HYPERLINK("https://www.boe.es/gazeta/dias/1805/07/12/pdfs/GMD-1805-56.pdf#page=4","Abrir facsímil")</f>
        <v>Abrir facsímil</v>
      </c>
      <c r="K5353" s="15" t="s">
        <v>22</v>
      </c>
    </row>
    <row r="5354" spans="1:11" ht="42" customHeight="1">
      <c r="A5354" s="4" t="s">
        <v>12235</v>
      </c>
      <c r="B5354" s="5" t="s">
        <v>12236</v>
      </c>
      <c r="C5354" s="5" t="s">
        <v>35</v>
      </c>
      <c r="D5354" s="5" t="s">
        <v>36</v>
      </c>
      <c r="E5354" s="5" t="s">
        <v>59</v>
      </c>
      <c r="F5354" s="9">
        <v>21</v>
      </c>
      <c r="G5354" s="9">
        <v>221</v>
      </c>
      <c r="H5354" s="5" t="s">
        <v>20</v>
      </c>
      <c r="I5354" s="5" t="s">
        <v>12237</v>
      </c>
      <c r="J5354" s="12" t="str">
        <f>HYPERLINK("https://www.boe.es/gazeta/dias/1805/03/12/pdfs/GMD-1805-21.pdf#page=9","Abrir facsímil")</f>
        <v>Abrir facsímil</v>
      </c>
      <c r="K5354" s="15" t="s">
        <v>22</v>
      </c>
    </row>
    <row r="5355" spans="1:11" ht="42" customHeight="1">
      <c r="A5355" s="4" t="s">
        <v>12238</v>
      </c>
      <c r="B5355" s="5" t="s">
        <v>12239</v>
      </c>
      <c r="C5355" s="5" t="s">
        <v>35</v>
      </c>
      <c r="D5355" s="5" t="s">
        <v>36</v>
      </c>
      <c r="E5355" s="5" t="s">
        <v>132</v>
      </c>
      <c r="F5355" s="9">
        <v>2</v>
      </c>
      <c r="G5355" s="9">
        <v>21</v>
      </c>
      <c r="H5355" s="5" t="s">
        <v>20</v>
      </c>
      <c r="I5355" s="5" t="s">
        <v>12240</v>
      </c>
      <c r="J5355" s="12" t="str">
        <f>HYPERLINK("https://www.boe.es/gazeta/dias/1805/01/04/pdfs/GMD-1805-2.pdf#page=9","Abrir facsímil")</f>
        <v>Abrir facsímil</v>
      </c>
      <c r="K5355" s="15" t="s">
        <v>22</v>
      </c>
    </row>
    <row r="5356" spans="1:11" ht="42" customHeight="1">
      <c r="A5356" s="4" t="s">
        <v>12241</v>
      </c>
      <c r="B5356" s="5" t="s">
        <v>12242</v>
      </c>
      <c r="C5356" s="5" t="s">
        <v>17</v>
      </c>
      <c r="D5356" s="5" t="s">
        <v>18</v>
      </c>
      <c r="E5356" s="5" t="s">
        <v>63</v>
      </c>
      <c r="F5356" s="9">
        <v>101</v>
      </c>
      <c r="G5356" s="9">
        <v>1091</v>
      </c>
      <c r="H5356" s="5" t="s">
        <v>20</v>
      </c>
      <c r="I5356" s="5" t="s">
        <v>12243</v>
      </c>
      <c r="J5356" s="12" t="str">
        <f>HYPERLINK("https://www.boe.es/gazeta/dias/1805/12/17/pdfs/GMD-1805-101.pdf#page=7","Abrir facsímil")</f>
        <v>Abrir facsímil</v>
      </c>
      <c r="K5356" s="15" t="s">
        <v>22</v>
      </c>
    </row>
    <row r="5357" spans="1:11" ht="42" customHeight="1">
      <c r="A5357" s="4" t="s">
        <v>12244</v>
      </c>
      <c r="B5357" s="5" t="s">
        <v>12245</v>
      </c>
      <c r="C5357" s="5" t="s">
        <v>35</v>
      </c>
      <c r="D5357" s="5" t="s">
        <v>36</v>
      </c>
      <c r="E5357" s="5" t="s">
        <v>539</v>
      </c>
      <c r="F5357" s="9">
        <v>97</v>
      </c>
      <c r="G5357" s="9">
        <v>1044</v>
      </c>
      <c r="H5357" s="5" t="s">
        <v>20</v>
      </c>
      <c r="I5357" s="5" t="s">
        <v>12246</v>
      </c>
      <c r="J5357" s="12" t="str">
        <f>HYPERLINK("https://www.boe.es/gazeta/dias/1805/12/03/pdfs/GMD-1805-97.pdf#page=8","Abrir facsímil")</f>
        <v>Abrir facsímil</v>
      </c>
      <c r="K5357" s="15" t="s">
        <v>22</v>
      </c>
    </row>
    <row r="5358" spans="1:11" ht="42" customHeight="1">
      <c r="A5358" s="4" t="s">
        <v>12247</v>
      </c>
      <c r="B5358" s="5" t="s">
        <v>12248</v>
      </c>
      <c r="C5358" s="5" t="s">
        <v>52</v>
      </c>
      <c r="D5358" s="5" t="s">
        <v>53</v>
      </c>
      <c r="E5358" s="5" t="s">
        <v>82</v>
      </c>
      <c r="F5358" s="9">
        <v>25</v>
      </c>
      <c r="G5358" s="9" t="s">
        <v>145</v>
      </c>
      <c r="H5358" s="5" t="s">
        <v>20</v>
      </c>
      <c r="I5358" s="5" t="s">
        <v>12249</v>
      </c>
      <c r="J5358" s="12" t="str">
        <f>HYPERLINK("https://www.boe.es/gazeta/dias/1805/03/26/pdfs/GMD-C-1805-25.pdf#page=2","Abrir facsímil")</f>
        <v>Abrir facsímil</v>
      </c>
      <c r="K5358" s="15" t="s">
        <v>22</v>
      </c>
    </row>
    <row r="5359" spans="1:11" ht="42" customHeight="1">
      <c r="A5359" s="4" t="s">
        <v>12250</v>
      </c>
      <c r="B5359" s="5" t="s">
        <v>12251</v>
      </c>
      <c r="C5359" s="5" t="s">
        <v>85</v>
      </c>
      <c r="D5359" s="5" t="s">
        <v>86</v>
      </c>
      <c r="E5359" s="5" t="s">
        <v>387</v>
      </c>
      <c r="F5359" s="9">
        <v>4</v>
      </c>
      <c r="G5359" s="9">
        <v>42</v>
      </c>
      <c r="H5359" s="5" t="s">
        <v>20</v>
      </c>
      <c r="I5359" s="5" t="s">
        <v>12252</v>
      </c>
      <c r="J5359" s="12" t="str">
        <f>HYPERLINK("https://www.boe.es/gazeta/dias/1805/01/11/pdfs/GMD-1805-4.pdf#page=10","Abrir facsímil")</f>
        <v>Abrir facsímil</v>
      </c>
      <c r="K5359" s="15" t="s">
        <v>22</v>
      </c>
    </row>
    <row r="5360" spans="1:11" ht="42" customHeight="1">
      <c r="A5360" s="4" t="s">
        <v>12253</v>
      </c>
      <c r="B5360" s="5" t="s">
        <v>12254</v>
      </c>
      <c r="C5360" s="5" t="s">
        <v>17</v>
      </c>
      <c r="D5360" s="5" t="s">
        <v>18</v>
      </c>
      <c r="E5360" s="5" t="s">
        <v>196</v>
      </c>
      <c r="F5360" s="9">
        <v>67</v>
      </c>
      <c r="G5360" s="9">
        <v>718</v>
      </c>
      <c r="H5360" s="5" t="s">
        <v>20</v>
      </c>
      <c r="I5360" s="5" t="s">
        <v>12255</v>
      </c>
      <c r="J5360" s="12" t="str">
        <f>HYPERLINK("https://www.boe.es/gazeta/dias/1805/08/20/pdfs/GMD-1805-67.pdf#page=6","Abrir facsímil")</f>
        <v>Abrir facsímil</v>
      </c>
      <c r="K5360" s="15" t="s">
        <v>22</v>
      </c>
    </row>
    <row r="5361" spans="1:11" ht="42" customHeight="1">
      <c r="A5361" s="4" t="s">
        <v>12256</v>
      </c>
      <c r="B5361" s="5" t="s">
        <v>12256</v>
      </c>
      <c r="C5361" s="5" t="s">
        <v>35</v>
      </c>
      <c r="D5361" s="5" t="s">
        <v>36</v>
      </c>
      <c r="E5361" s="5" t="s">
        <v>261</v>
      </c>
      <c r="F5361" s="9">
        <v>18</v>
      </c>
      <c r="G5361" s="9" t="s">
        <v>159</v>
      </c>
      <c r="H5361" s="5" t="s">
        <v>20</v>
      </c>
      <c r="I5361" s="5" t="s">
        <v>12257</v>
      </c>
      <c r="J5361" s="12" t="str">
        <f>HYPERLINK("https://www.boe.es/gazeta/dias/1805/03/01/pdfs/GMD-C-1805-18.pdf#page=3","Abrir facsímil")</f>
        <v>Abrir facsímil</v>
      </c>
      <c r="K5361" s="15" t="s">
        <v>22</v>
      </c>
    </row>
    <row r="5362" spans="1:11" ht="42" customHeight="1">
      <c r="A5362" s="4" t="s">
        <v>12258</v>
      </c>
      <c r="B5362" s="5" t="s">
        <v>12258</v>
      </c>
      <c r="C5362" s="5" t="s">
        <v>85</v>
      </c>
      <c r="D5362" s="5" t="s">
        <v>86</v>
      </c>
      <c r="E5362" s="5" t="s">
        <v>1187</v>
      </c>
      <c r="F5362" s="9">
        <v>40</v>
      </c>
      <c r="G5362" s="9">
        <v>431</v>
      </c>
      <c r="H5362" s="5" t="s">
        <v>20</v>
      </c>
      <c r="I5362" s="5" t="s">
        <v>12259</v>
      </c>
      <c r="J5362" s="12" t="str">
        <f>HYPERLINK("https://www.boe.es/gazeta/dias/1805/05/17/pdfs/GMD-1805-40.pdf#page=7","Abrir facsímil")</f>
        <v>Abrir facsímil</v>
      </c>
      <c r="K5362" s="15" t="s">
        <v>22</v>
      </c>
    </row>
    <row r="5363" spans="1:11" ht="42" customHeight="1">
      <c r="A5363" s="4" t="s">
        <v>12260</v>
      </c>
      <c r="B5363" s="5" t="s">
        <v>12260</v>
      </c>
      <c r="C5363" s="5" t="s">
        <v>35</v>
      </c>
      <c r="D5363" s="5" t="s">
        <v>36</v>
      </c>
      <c r="E5363" s="5" t="s">
        <v>91</v>
      </c>
      <c r="F5363" s="9">
        <v>28</v>
      </c>
      <c r="G5363" s="9">
        <v>301</v>
      </c>
      <c r="H5363" s="5" t="s">
        <v>20</v>
      </c>
      <c r="I5363" s="5" t="s">
        <v>12261</v>
      </c>
      <c r="J5363" s="12" t="str">
        <f>HYPERLINK("https://www.boe.es/gazeta/dias/1805/04/05/pdfs/GMD-1805-28.pdf#page=9","Abrir facsímil")</f>
        <v>Abrir facsímil</v>
      </c>
      <c r="K5363" s="15" t="s">
        <v>22</v>
      </c>
    </row>
    <row r="5364" spans="1:11" ht="42" customHeight="1">
      <c r="A5364" s="4" t="s">
        <v>12262</v>
      </c>
      <c r="B5364" s="5" t="s">
        <v>12262</v>
      </c>
      <c r="C5364" s="5" t="s">
        <v>17</v>
      </c>
      <c r="D5364" s="5" t="s">
        <v>18</v>
      </c>
      <c r="E5364" s="5" t="s">
        <v>138</v>
      </c>
      <c r="F5364" s="9">
        <v>102</v>
      </c>
      <c r="G5364" s="9">
        <v>1107</v>
      </c>
      <c r="H5364" s="5" t="s">
        <v>20</v>
      </c>
      <c r="I5364" s="5" t="s">
        <v>12263</v>
      </c>
      <c r="J5364" s="12" t="str">
        <f>HYPERLINK("https://www.boe.es/gazeta/dias/1805/12/20/pdfs/GMD-1805-102.pdf#page=11","Abrir facsímil")</f>
        <v>Abrir facsímil</v>
      </c>
      <c r="K5364" s="15" t="s">
        <v>22</v>
      </c>
    </row>
    <row r="5365" spans="1:11" ht="42" customHeight="1">
      <c r="A5365" s="4" t="s">
        <v>12264</v>
      </c>
      <c r="B5365" s="5" t="s">
        <v>12264</v>
      </c>
      <c r="C5365" s="5" t="s">
        <v>52</v>
      </c>
      <c r="D5365" s="5" t="s">
        <v>53</v>
      </c>
      <c r="E5365" s="5" t="s">
        <v>54</v>
      </c>
      <c r="F5365" s="9">
        <v>99</v>
      </c>
      <c r="G5365" s="9" t="s">
        <v>145</v>
      </c>
      <c r="H5365" s="5" t="s">
        <v>20</v>
      </c>
      <c r="I5365" s="5" t="s">
        <v>12265</v>
      </c>
      <c r="J5365" s="12" t="str">
        <f>HYPERLINK("https://www.boe.es/gazeta/dias/1805/12/10/pdfs/GMD-C-1805-99.pdf#page=2","Abrir facsímil")</f>
        <v>Abrir facsímil</v>
      </c>
      <c r="K5365" s="15" t="s">
        <v>22</v>
      </c>
    </row>
    <row r="5366" spans="1:11" ht="42" customHeight="1">
      <c r="A5366" s="4" t="s">
        <v>12266</v>
      </c>
      <c r="B5366" s="5" t="s">
        <v>12266</v>
      </c>
      <c r="C5366" s="5" t="s">
        <v>184</v>
      </c>
      <c r="D5366" s="5" t="s">
        <v>86</v>
      </c>
      <c r="E5366" s="5" t="s">
        <v>188</v>
      </c>
      <c r="F5366" s="9">
        <v>68</v>
      </c>
      <c r="G5366" s="9">
        <v>730</v>
      </c>
      <c r="H5366" s="5" t="s">
        <v>20</v>
      </c>
      <c r="I5366" s="5" t="s">
        <v>12267</v>
      </c>
      <c r="J5366" s="12" t="str">
        <f>HYPERLINK("https://www.boe.es/gazeta/dias/1805/08/23/pdfs/GMD-1805-68.pdf#page=10","Abrir facsímil")</f>
        <v>Abrir facsímil</v>
      </c>
      <c r="K5366" s="15" t="s">
        <v>22</v>
      </c>
    </row>
    <row r="5367" spans="1:11" ht="42" customHeight="1">
      <c r="A5367" s="4" t="s">
        <v>12268</v>
      </c>
      <c r="B5367" s="5" t="s">
        <v>12268</v>
      </c>
      <c r="C5367" s="5" t="s">
        <v>17</v>
      </c>
      <c r="D5367" s="5" t="s">
        <v>18</v>
      </c>
      <c r="E5367" s="5" t="s">
        <v>585</v>
      </c>
      <c r="F5367" s="9">
        <v>64</v>
      </c>
      <c r="G5367" s="9">
        <v>687</v>
      </c>
      <c r="H5367" s="5" t="s">
        <v>20</v>
      </c>
      <c r="I5367" s="5" t="s">
        <v>12269</v>
      </c>
      <c r="J5367" s="12" t="str">
        <f>HYPERLINK("https://www.boe.es/gazeta/dias/1805/08/09/pdfs/GMD-1805-64.pdf#page=11","Abrir facsímil")</f>
        <v>Abrir facsímil</v>
      </c>
      <c r="K5367" s="15" t="s">
        <v>22</v>
      </c>
    </row>
    <row r="5368" spans="1:11" ht="42" customHeight="1">
      <c r="A5368" s="4" t="s">
        <v>12270</v>
      </c>
      <c r="B5368" s="5" t="s">
        <v>12270</v>
      </c>
      <c r="C5368" s="5" t="s">
        <v>184</v>
      </c>
      <c r="D5368" s="5" t="s">
        <v>86</v>
      </c>
      <c r="E5368" s="5" t="s">
        <v>114</v>
      </c>
      <c r="F5368" s="9">
        <v>17</v>
      </c>
      <c r="G5368" s="9">
        <v>179</v>
      </c>
      <c r="H5368" s="5" t="s">
        <v>20</v>
      </c>
      <c r="I5368" s="5" t="s">
        <v>12271</v>
      </c>
      <c r="J5368" s="12" t="str">
        <f>HYPERLINK("https://www.boe.es/gazeta/dias/1805/02/26/pdfs/GMD-1805-17.pdf#page=11","Abrir facsímil")</f>
        <v>Abrir facsímil</v>
      </c>
      <c r="K5368" s="15" t="s">
        <v>22</v>
      </c>
    </row>
    <row r="5369" spans="1:11" ht="42" customHeight="1">
      <c r="A5369" s="4" t="s">
        <v>12270</v>
      </c>
      <c r="B5369" s="5" t="s">
        <v>12270</v>
      </c>
      <c r="C5369" s="5" t="s">
        <v>17</v>
      </c>
      <c r="D5369" s="5" t="s">
        <v>18</v>
      </c>
      <c r="E5369" s="5" t="s">
        <v>1187</v>
      </c>
      <c r="F5369" s="9">
        <v>40</v>
      </c>
      <c r="G5369" s="9">
        <v>430</v>
      </c>
      <c r="H5369" s="5" t="s">
        <v>20</v>
      </c>
      <c r="I5369" s="5" t="s">
        <v>12272</v>
      </c>
      <c r="J5369" s="12" t="str">
        <f>HYPERLINK("https://www.boe.es/gazeta/dias/1805/05/17/pdfs/GMD-1805-40.pdf#page=6","Abrir facsímil")</f>
        <v>Abrir facsímil</v>
      </c>
      <c r="K5369" s="15" t="s">
        <v>22</v>
      </c>
    </row>
    <row r="5370" spans="1:11" ht="42" customHeight="1">
      <c r="A5370" s="4" t="s">
        <v>12273</v>
      </c>
      <c r="B5370" s="5" t="s">
        <v>12273</v>
      </c>
      <c r="C5370" s="5" t="s">
        <v>17</v>
      </c>
      <c r="D5370" s="5" t="s">
        <v>18</v>
      </c>
      <c r="E5370" s="5" t="s">
        <v>293</v>
      </c>
      <c r="F5370" s="9">
        <v>5</v>
      </c>
      <c r="G5370" s="9">
        <v>53</v>
      </c>
      <c r="H5370" s="5" t="s">
        <v>20</v>
      </c>
      <c r="I5370" s="5" t="s">
        <v>12274</v>
      </c>
      <c r="J5370" s="12" t="str">
        <f>HYPERLINK("https://www.boe.es/gazeta/dias/1805/01/15/pdfs/GMD-1805-5.pdf#page=9","Abrir facsímil")</f>
        <v>Abrir facsímil</v>
      </c>
      <c r="K5370" s="15" t="s">
        <v>22</v>
      </c>
    </row>
    <row r="5371" spans="1:11" ht="42" customHeight="1">
      <c r="A5371" s="4" t="s">
        <v>12275</v>
      </c>
      <c r="B5371" s="5" t="s">
        <v>12275</v>
      </c>
      <c r="C5371" s="5" t="s">
        <v>17</v>
      </c>
      <c r="D5371" s="5" t="s">
        <v>18</v>
      </c>
      <c r="E5371" s="5" t="s">
        <v>59</v>
      </c>
      <c r="F5371" s="9">
        <v>21</v>
      </c>
      <c r="G5371" s="9">
        <v>220</v>
      </c>
      <c r="H5371" s="5" t="s">
        <v>20</v>
      </c>
      <c r="I5371" s="5" t="s">
        <v>12276</v>
      </c>
      <c r="J5371" s="12" t="str">
        <f>HYPERLINK("https://www.boe.es/gazeta/dias/1805/03/12/pdfs/GMD-1805-21.pdf#page=8","Abrir facsímil")</f>
        <v>Abrir facsímil</v>
      </c>
      <c r="K5371" s="15" t="s">
        <v>22</v>
      </c>
    </row>
    <row r="5372" spans="1:11" ht="42" customHeight="1">
      <c r="A5372" s="4" t="s">
        <v>12277</v>
      </c>
      <c r="B5372" s="5" t="s">
        <v>12277</v>
      </c>
      <c r="C5372" s="5" t="s">
        <v>17</v>
      </c>
      <c r="D5372" s="5" t="s">
        <v>18</v>
      </c>
      <c r="E5372" s="5" t="s">
        <v>76</v>
      </c>
      <c r="F5372" s="9">
        <v>66</v>
      </c>
      <c r="G5372" s="9">
        <v>707</v>
      </c>
      <c r="H5372" s="5" t="s">
        <v>20</v>
      </c>
      <c r="I5372" s="5" t="s">
        <v>12278</v>
      </c>
      <c r="J5372" s="12" t="str">
        <f>HYPERLINK("https://www.boe.es/gazeta/dias/1805/08/16/pdfs/GMD-1805-66.pdf#page=7","Abrir facsímil")</f>
        <v>Abrir facsímil</v>
      </c>
      <c r="K5372" s="15" t="s">
        <v>22</v>
      </c>
    </row>
    <row r="5373" spans="1:11" ht="42" customHeight="1">
      <c r="A5373" s="4" t="s">
        <v>12279</v>
      </c>
      <c r="B5373" s="5" t="s">
        <v>12280</v>
      </c>
      <c r="C5373" s="5" t="s">
        <v>184</v>
      </c>
      <c r="D5373" s="5" t="s">
        <v>86</v>
      </c>
      <c r="E5373" s="5" t="s">
        <v>91</v>
      </c>
      <c r="F5373" s="9">
        <v>28</v>
      </c>
      <c r="G5373" s="9">
        <v>303</v>
      </c>
      <c r="H5373" s="5" t="s">
        <v>20</v>
      </c>
      <c r="I5373" s="5" t="s">
        <v>12281</v>
      </c>
      <c r="J5373" s="12" t="str">
        <f>HYPERLINK("https://www.boe.es/gazeta/dias/1805/04/05/pdfs/GMD-1805-28.pdf#page=11","Abrir facsímil")</f>
        <v>Abrir facsímil</v>
      </c>
      <c r="K5373" s="15" t="s">
        <v>22</v>
      </c>
    </row>
    <row r="5374" spans="1:11" ht="42" customHeight="1">
      <c r="A5374" s="4" t="s">
        <v>12282</v>
      </c>
      <c r="B5374" s="5" t="s">
        <v>12283</v>
      </c>
      <c r="C5374" s="5" t="s">
        <v>29</v>
      </c>
      <c r="D5374" s="5" t="s">
        <v>30</v>
      </c>
      <c r="E5374" s="5" t="s">
        <v>440</v>
      </c>
      <c r="F5374" s="9">
        <v>27</v>
      </c>
      <c r="G5374" s="9">
        <v>292</v>
      </c>
      <c r="H5374" s="5" t="s">
        <v>20</v>
      </c>
      <c r="I5374" s="5" t="s">
        <v>12284</v>
      </c>
      <c r="J5374" s="12" t="str">
        <f>HYPERLINK("https://www.boe.es/gazeta/dias/1805/04/02/pdfs/GMD-1805-27.pdf#page=12","Abrir facsímil")</f>
        <v>Abrir facsímil</v>
      </c>
      <c r="K5374" s="15" t="s">
        <v>22</v>
      </c>
    </row>
    <row r="5375" spans="1:11" ht="42" customHeight="1">
      <c r="A5375" s="4" t="s">
        <v>12285</v>
      </c>
      <c r="B5375" s="5" t="s">
        <v>12286</v>
      </c>
      <c r="C5375" s="5" t="s">
        <v>17</v>
      </c>
      <c r="D5375" s="5" t="s">
        <v>18</v>
      </c>
      <c r="E5375" s="5" t="s">
        <v>495</v>
      </c>
      <c r="F5375" s="9">
        <v>103</v>
      </c>
      <c r="G5375" s="9">
        <v>1114</v>
      </c>
      <c r="H5375" s="5" t="s">
        <v>20</v>
      </c>
      <c r="I5375" s="5" t="s">
        <v>12287</v>
      </c>
      <c r="J5375" s="12" t="str">
        <f>HYPERLINK("https://www.boe.es/gazeta/dias/1805/12/24/pdfs/GMD-1805-103.pdf#page=6","Abrir facsímil")</f>
        <v>Abrir facsímil</v>
      </c>
      <c r="K5375" s="15" t="s">
        <v>22</v>
      </c>
    </row>
    <row r="5376" spans="1:11" ht="42" customHeight="1">
      <c r="A5376" s="4" t="s">
        <v>12288</v>
      </c>
      <c r="B5376" s="5" t="s">
        <v>12289</v>
      </c>
      <c r="C5376" s="5" t="s">
        <v>17</v>
      </c>
      <c r="D5376" s="5" t="s">
        <v>18</v>
      </c>
      <c r="E5376" s="5" t="s">
        <v>163</v>
      </c>
      <c r="F5376" s="9">
        <v>77</v>
      </c>
      <c r="G5376" s="9">
        <v>819</v>
      </c>
      <c r="H5376" s="5" t="s">
        <v>20</v>
      </c>
      <c r="I5376" s="5" t="s">
        <v>12290</v>
      </c>
      <c r="J5376" s="12" t="str">
        <f>HYPERLINK("https://www.boe.es/gazeta/dias/1805/09/24/pdfs/GMD-1805-77.pdf#page=11","Abrir facsímil")</f>
        <v>Abrir facsímil</v>
      </c>
      <c r="K5376" s="15" t="s">
        <v>22</v>
      </c>
    </row>
    <row r="5377" spans="1:11" ht="42" customHeight="1">
      <c r="A5377" s="4" t="s">
        <v>12291</v>
      </c>
      <c r="B5377" s="5" t="s">
        <v>12292</v>
      </c>
      <c r="C5377" s="5" t="s">
        <v>29</v>
      </c>
      <c r="D5377" s="5" t="s">
        <v>30</v>
      </c>
      <c r="E5377" s="5" t="s">
        <v>958</v>
      </c>
      <c r="F5377" s="9">
        <v>58</v>
      </c>
      <c r="G5377" s="9">
        <v>623</v>
      </c>
      <c r="H5377" s="5" t="s">
        <v>20</v>
      </c>
      <c r="I5377" s="5" t="s">
        <v>12293</v>
      </c>
      <c r="J5377" s="12" t="str">
        <f>HYPERLINK("https://www.boe.es/gazeta/dias/1805/07/19/pdfs/GMD-1805-58.pdf#page=7","Abrir facsímil")</f>
        <v>Abrir facsímil</v>
      </c>
      <c r="K5377" s="15" t="s">
        <v>22</v>
      </c>
    </row>
    <row r="5378" spans="1:11" ht="42" customHeight="1">
      <c r="A5378" s="4" t="s">
        <v>12291</v>
      </c>
      <c r="B5378" s="5" t="s">
        <v>12292</v>
      </c>
      <c r="C5378" s="5" t="s">
        <v>17</v>
      </c>
      <c r="D5378" s="5" t="s">
        <v>18</v>
      </c>
      <c r="E5378" s="5" t="s">
        <v>711</v>
      </c>
      <c r="F5378" s="9">
        <v>63</v>
      </c>
      <c r="G5378" s="9">
        <v>676</v>
      </c>
      <c r="H5378" s="5" t="s">
        <v>20</v>
      </c>
      <c r="I5378" s="5" t="s">
        <v>12294</v>
      </c>
      <c r="J5378" s="12" t="str">
        <f>HYPERLINK("https://www.boe.es/gazeta/dias/1805/08/06/pdfs/GMD-1805-63.pdf#page=12","Abrir facsímil")</f>
        <v>Abrir facsímil</v>
      </c>
      <c r="K5378" s="15" t="s">
        <v>22</v>
      </c>
    </row>
    <row r="5379" spans="1:11" ht="42" customHeight="1">
      <c r="A5379" s="4" t="s">
        <v>12291</v>
      </c>
      <c r="B5379" s="5" t="s">
        <v>12292</v>
      </c>
      <c r="C5379" s="5" t="s">
        <v>17</v>
      </c>
      <c r="D5379" s="5" t="s">
        <v>18</v>
      </c>
      <c r="E5379" s="5" t="s">
        <v>1132</v>
      </c>
      <c r="F5379" s="9">
        <v>72</v>
      </c>
      <c r="G5379" s="9">
        <v>768</v>
      </c>
      <c r="H5379" s="5" t="s">
        <v>20</v>
      </c>
      <c r="I5379" s="5" t="s">
        <v>12295</v>
      </c>
      <c r="J5379" s="12" t="str">
        <f>HYPERLINK("https://www.boe.es/gazeta/dias/1805/09/06/pdfs/GMD-1805-72.pdf#page=8","Abrir facsímil")</f>
        <v>Abrir facsímil</v>
      </c>
      <c r="K5379" s="15" t="s">
        <v>22</v>
      </c>
    </row>
    <row r="5380" spans="1:11" ht="42" customHeight="1">
      <c r="A5380" s="4" t="s">
        <v>12291</v>
      </c>
      <c r="B5380" s="5" t="s">
        <v>12292</v>
      </c>
      <c r="C5380" s="5" t="s">
        <v>29</v>
      </c>
      <c r="D5380" s="5" t="s">
        <v>30</v>
      </c>
      <c r="E5380" s="5" t="s">
        <v>19</v>
      </c>
      <c r="F5380" s="9">
        <v>86</v>
      </c>
      <c r="G5380" s="9">
        <v>916</v>
      </c>
      <c r="H5380" s="5" t="s">
        <v>20</v>
      </c>
      <c r="I5380" s="5" t="s">
        <v>12296</v>
      </c>
      <c r="J5380" s="12" t="str">
        <f>HYPERLINK("https://www.boe.es/gazeta/dias/1805/10/25/pdfs/GMD-1805-86.pdf#page=12","Abrir facsímil")</f>
        <v>Abrir facsímil</v>
      </c>
      <c r="K5380" s="15" t="s">
        <v>22</v>
      </c>
    </row>
    <row r="5381" spans="1:11" ht="42" customHeight="1">
      <c r="A5381" s="4" t="s">
        <v>12297</v>
      </c>
      <c r="B5381" s="5" t="s">
        <v>12298</v>
      </c>
      <c r="C5381" s="5" t="s">
        <v>17</v>
      </c>
      <c r="D5381" s="5" t="s">
        <v>18</v>
      </c>
      <c r="E5381" s="5" t="s">
        <v>63</v>
      </c>
      <c r="F5381" s="9">
        <v>101</v>
      </c>
      <c r="G5381" s="9">
        <v>1091</v>
      </c>
      <c r="H5381" s="5" t="s">
        <v>20</v>
      </c>
      <c r="I5381" s="5" t="s">
        <v>12299</v>
      </c>
      <c r="J5381" s="12" t="str">
        <f>HYPERLINK("https://www.boe.es/gazeta/dias/1805/12/17/pdfs/GMD-1805-101.pdf#page=7","Abrir facsímil")</f>
        <v>Abrir facsímil</v>
      </c>
      <c r="K5381" s="15" t="s">
        <v>22</v>
      </c>
    </row>
    <row r="5382" spans="1:11" ht="42" customHeight="1">
      <c r="A5382" s="4" t="s">
        <v>12300</v>
      </c>
      <c r="B5382" s="5" t="s">
        <v>12301</v>
      </c>
      <c r="C5382" s="5" t="s">
        <v>35</v>
      </c>
      <c r="D5382" s="5" t="s">
        <v>36</v>
      </c>
      <c r="E5382" s="5" t="s">
        <v>276</v>
      </c>
      <c r="F5382" s="9">
        <v>51</v>
      </c>
      <c r="G5382" s="9">
        <v>552</v>
      </c>
      <c r="H5382" s="5" t="s">
        <v>20</v>
      </c>
      <c r="I5382" s="5" t="s">
        <v>12302</v>
      </c>
      <c r="J5382" s="12" t="str">
        <f>HYPERLINK("https://www.boe.es/gazeta/dias/1805/06/25/pdfs/GMD-1805-51.pdf#page=8","Abrir facsímil")</f>
        <v>Abrir facsímil</v>
      </c>
      <c r="K5382" s="15" t="s">
        <v>22</v>
      </c>
    </row>
    <row r="5383" spans="1:11" ht="42" customHeight="1">
      <c r="A5383" s="4" t="s">
        <v>12303</v>
      </c>
      <c r="B5383" s="5" t="s">
        <v>12304</v>
      </c>
      <c r="C5383" s="5" t="s">
        <v>29</v>
      </c>
      <c r="D5383" s="5" t="s">
        <v>30</v>
      </c>
      <c r="E5383" s="5" t="s">
        <v>148</v>
      </c>
      <c r="F5383" s="9">
        <v>50</v>
      </c>
      <c r="G5383" s="9">
        <v>543</v>
      </c>
      <c r="H5383" s="5" t="s">
        <v>20</v>
      </c>
      <c r="I5383" s="5" t="s">
        <v>12305</v>
      </c>
      <c r="J5383" s="12" t="str">
        <f>HYPERLINK("https://www.boe.es/gazeta/dias/1805/06/21/pdfs/GMD-1805-50.pdf#page=11","Abrir facsímil")</f>
        <v>Abrir facsímil</v>
      </c>
      <c r="K5383" s="15" t="s">
        <v>22</v>
      </c>
    </row>
    <row r="5384" spans="1:11" ht="42" customHeight="1">
      <c r="A5384" s="4" t="s">
        <v>12306</v>
      </c>
      <c r="B5384" s="5" t="s">
        <v>12307</v>
      </c>
      <c r="C5384" s="5" t="s">
        <v>184</v>
      </c>
      <c r="D5384" s="5" t="s">
        <v>86</v>
      </c>
      <c r="E5384" s="5" t="s">
        <v>1132</v>
      </c>
      <c r="F5384" s="9">
        <v>72</v>
      </c>
      <c r="G5384" s="9">
        <v>767</v>
      </c>
      <c r="H5384" s="5" t="s">
        <v>20</v>
      </c>
      <c r="I5384" s="5" t="s">
        <v>12308</v>
      </c>
      <c r="J5384" s="12" t="str">
        <f>HYPERLINK("https://www.boe.es/gazeta/dias/1805/09/06/pdfs/GMD-1805-72.pdf#page=7","Abrir facsímil")</f>
        <v>Abrir facsímil</v>
      </c>
      <c r="K5384" s="15" t="s">
        <v>22</v>
      </c>
    </row>
    <row r="5385" spans="1:11" ht="42" customHeight="1">
      <c r="A5385" s="4" t="s">
        <v>12309</v>
      </c>
      <c r="B5385" s="5" t="s">
        <v>12310</v>
      </c>
      <c r="C5385" s="5" t="s">
        <v>184</v>
      </c>
      <c r="D5385" s="5" t="s">
        <v>86</v>
      </c>
      <c r="E5385" s="5" t="s">
        <v>539</v>
      </c>
      <c r="F5385" s="9">
        <v>97</v>
      </c>
      <c r="G5385" s="9">
        <v>1046</v>
      </c>
      <c r="H5385" s="5" t="s">
        <v>20</v>
      </c>
      <c r="I5385" s="5" t="s">
        <v>12311</v>
      </c>
      <c r="J5385" s="12" t="str">
        <f>HYPERLINK("https://www.boe.es/gazeta/dias/1805/12/03/pdfs/GMD-1805-97.pdf#page=10","Abrir facsímil")</f>
        <v>Abrir facsímil</v>
      </c>
      <c r="K5385" s="15" t="s">
        <v>22</v>
      </c>
    </row>
    <row r="5386" spans="1:11" ht="42" customHeight="1">
      <c r="A5386" s="4" t="s">
        <v>12309</v>
      </c>
      <c r="B5386" s="5" t="s">
        <v>12310</v>
      </c>
      <c r="C5386" s="5" t="s">
        <v>29</v>
      </c>
      <c r="D5386" s="5" t="s">
        <v>30</v>
      </c>
      <c r="E5386" s="5" t="s">
        <v>192</v>
      </c>
      <c r="F5386" s="9">
        <v>105</v>
      </c>
      <c r="G5386" s="9">
        <v>1139</v>
      </c>
      <c r="H5386" s="5" t="s">
        <v>20</v>
      </c>
      <c r="I5386" s="5" t="s">
        <v>12312</v>
      </c>
      <c r="J5386" s="12" t="str">
        <f>HYPERLINK("https://www.boe.es/gazeta/dias/1805/12/31/pdfs/GMD-1805-105.pdf#page=11","Abrir facsímil")</f>
        <v>Abrir facsímil</v>
      </c>
      <c r="K5386" s="15" t="s">
        <v>22</v>
      </c>
    </row>
    <row r="5387" spans="1:11" ht="42" customHeight="1">
      <c r="A5387" s="4" t="s">
        <v>12313</v>
      </c>
      <c r="B5387" s="5" t="s">
        <v>12314</v>
      </c>
      <c r="C5387" s="5" t="s">
        <v>184</v>
      </c>
      <c r="D5387" s="5" t="s">
        <v>86</v>
      </c>
      <c r="E5387" s="5" t="s">
        <v>48</v>
      </c>
      <c r="F5387" s="9">
        <v>35</v>
      </c>
      <c r="G5387" s="9">
        <v>380</v>
      </c>
      <c r="H5387" s="5" t="s">
        <v>20</v>
      </c>
      <c r="I5387" s="5" t="s">
        <v>12315</v>
      </c>
      <c r="J5387" s="12" t="str">
        <f>HYPERLINK("https://www.boe.es/gazeta/dias/1805/04/30/pdfs/GMD-1805-35.pdf#page=12","Abrir facsímil")</f>
        <v>Abrir facsímil</v>
      </c>
      <c r="K5387" s="15" t="s">
        <v>22</v>
      </c>
    </row>
    <row r="5388" spans="1:11" ht="42" customHeight="1">
      <c r="A5388" s="4" t="s">
        <v>12313</v>
      </c>
      <c r="B5388" s="5" t="s">
        <v>12314</v>
      </c>
      <c r="C5388" s="5" t="s">
        <v>184</v>
      </c>
      <c r="D5388" s="5" t="s">
        <v>86</v>
      </c>
      <c r="E5388" s="5" t="s">
        <v>1221</v>
      </c>
      <c r="F5388" s="9">
        <v>41</v>
      </c>
      <c r="G5388" s="9">
        <v>443</v>
      </c>
      <c r="H5388" s="5" t="s">
        <v>20</v>
      </c>
      <c r="I5388" s="5" t="s">
        <v>12316</v>
      </c>
      <c r="J5388" s="12" t="str">
        <f>HYPERLINK("https://www.boe.es/gazeta/dias/1805/05/21/pdfs/GMD-1805-41.pdf#page=11","Abrir facsímil")</f>
        <v>Abrir facsímil</v>
      </c>
      <c r="K5388" s="15" t="s">
        <v>22</v>
      </c>
    </row>
    <row r="5389" spans="1:11" ht="42" customHeight="1">
      <c r="A5389" s="4" t="s">
        <v>12317</v>
      </c>
      <c r="B5389" s="5" t="s">
        <v>12318</v>
      </c>
      <c r="C5389" s="5" t="s">
        <v>35</v>
      </c>
      <c r="D5389" s="5" t="s">
        <v>36</v>
      </c>
      <c r="E5389" s="5" t="s">
        <v>215</v>
      </c>
      <c r="F5389" s="9">
        <v>87</v>
      </c>
      <c r="G5389" s="9">
        <v>927</v>
      </c>
      <c r="H5389" s="5" t="s">
        <v>20</v>
      </c>
      <c r="I5389" s="5" t="s">
        <v>12319</v>
      </c>
      <c r="J5389" s="12" t="str">
        <f>HYPERLINK("https://www.boe.es/gazeta/dias/1805/10/29/pdfs/GMD-1805-87.pdf#page=11","Abrir facsímil")</f>
        <v>Abrir facsímil</v>
      </c>
      <c r="K5389" s="15" t="s">
        <v>22</v>
      </c>
    </row>
    <row r="5390" spans="1:11" ht="42" customHeight="1">
      <c r="A5390" s="4" t="s">
        <v>12320</v>
      </c>
      <c r="B5390" s="5" t="s">
        <v>12321</v>
      </c>
      <c r="C5390" s="5" t="s">
        <v>35</v>
      </c>
      <c r="D5390" s="5" t="s">
        <v>36</v>
      </c>
      <c r="E5390" s="5" t="s">
        <v>456</v>
      </c>
      <c r="F5390" s="9">
        <v>70</v>
      </c>
      <c r="G5390" s="9">
        <v>747</v>
      </c>
      <c r="H5390" s="5" t="s">
        <v>20</v>
      </c>
      <c r="I5390" s="5" t="s">
        <v>12322</v>
      </c>
      <c r="J5390" s="12" t="str">
        <f>HYPERLINK("https://www.boe.es/gazeta/dias/1805/08/30/pdfs/GMD-1805-70.pdf#page=7","Abrir facsímil")</f>
        <v>Abrir facsímil</v>
      </c>
      <c r="K5390" s="15" t="s">
        <v>22</v>
      </c>
    </row>
    <row r="5391" spans="1:11" ht="42" customHeight="1">
      <c r="A5391" s="4" t="s">
        <v>12323</v>
      </c>
      <c r="B5391" s="5" t="s">
        <v>12324</v>
      </c>
      <c r="C5391" s="5" t="s">
        <v>85</v>
      </c>
      <c r="D5391" s="5" t="s">
        <v>86</v>
      </c>
      <c r="E5391" s="5" t="s">
        <v>99</v>
      </c>
      <c r="F5391" s="9">
        <v>83</v>
      </c>
      <c r="G5391" s="9">
        <v>882</v>
      </c>
      <c r="H5391" s="5" t="s">
        <v>20</v>
      </c>
      <c r="I5391" s="5" t="s">
        <v>12325</v>
      </c>
      <c r="J5391" s="12" t="str">
        <f>HYPERLINK("https://www.boe.es/gazeta/dias/1805/10/15/pdfs/GMD-1805-83.pdf#page=10","Abrir facsímil")</f>
        <v>Abrir facsímil</v>
      </c>
      <c r="K5391" s="15" t="s">
        <v>22</v>
      </c>
    </row>
    <row r="5392" spans="1:11" ht="42" customHeight="1">
      <c r="A5392" s="4" t="s">
        <v>12326</v>
      </c>
      <c r="B5392" s="5" t="s">
        <v>12327</v>
      </c>
      <c r="C5392" s="5" t="s">
        <v>17</v>
      </c>
      <c r="D5392" s="5" t="s">
        <v>18</v>
      </c>
      <c r="E5392" s="5" t="s">
        <v>303</v>
      </c>
      <c r="F5392" s="9">
        <v>57</v>
      </c>
      <c r="G5392" s="9">
        <v>610</v>
      </c>
      <c r="H5392" s="5" t="s">
        <v>20</v>
      </c>
      <c r="I5392" s="5" t="s">
        <v>12328</v>
      </c>
      <c r="J5392" s="12" t="str">
        <f>HYPERLINK("https://www.boe.es/gazeta/dias/1805/07/16/pdfs/GMD-1805-57.pdf#page=6","Abrir facsímil")</f>
        <v>Abrir facsímil</v>
      </c>
      <c r="K5392" s="15" t="s">
        <v>22</v>
      </c>
    </row>
    <row r="5393" spans="1:11" ht="42" customHeight="1">
      <c r="A5393" s="4" t="s">
        <v>12329</v>
      </c>
      <c r="B5393" s="5" t="s">
        <v>12330</v>
      </c>
      <c r="C5393" s="5" t="s">
        <v>17</v>
      </c>
      <c r="D5393" s="5" t="s">
        <v>18</v>
      </c>
      <c r="E5393" s="5" t="s">
        <v>649</v>
      </c>
      <c r="F5393" s="9">
        <v>7</v>
      </c>
      <c r="G5393" s="9">
        <v>74</v>
      </c>
      <c r="H5393" s="5" t="s">
        <v>20</v>
      </c>
      <c r="I5393" s="5" t="s">
        <v>12331</v>
      </c>
      <c r="J5393" s="12" t="str">
        <f>HYPERLINK("https://www.boe.es/gazeta/dias/1805/01/22/pdfs/GMD-1805-7.pdf#page=6","Abrir facsímil")</f>
        <v>Abrir facsímil</v>
      </c>
      <c r="K5393" s="15" t="s">
        <v>22</v>
      </c>
    </row>
    <row r="5394" spans="1:11" ht="42" customHeight="1">
      <c r="A5394" s="4" t="s">
        <v>12329</v>
      </c>
      <c r="B5394" s="5" t="s">
        <v>12330</v>
      </c>
      <c r="C5394" s="5" t="s">
        <v>17</v>
      </c>
      <c r="D5394" s="5" t="s">
        <v>18</v>
      </c>
      <c r="E5394" s="5" t="s">
        <v>585</v>
      </c>
      <c r="F5394" s="9">
        <v>64</v>
      </c>
      <c r="G5394" s="9">
        <v>687</v>
      </c>
      <c r="H5394" s="5" t="s">
        <v>20</v>
      </c>
      <c r="I5394" s="5" t="s">
        <v>12332</v>
      </c>
      <c r="J5394" s="12" t="str">
        <f>HYPERLINK("https://www.boe.es/gazeta/dias/1805/08/09/pdfs/GMD-1805-64.pdf#page=11","Abrir facsímil")</f>
        <v>Abrir facsímil</v>
      </c>
      <c r="K5394" s="15" t="s">
        <v>22</v>
      </c>
    </row>
    <row r="5395" spans="1:11" ht="42" customHeight="1">
      <c r="A5395" s="4" t="s">
        <v>12333</v>
      </c>
      <c r="B5395" s="5" t="s">
        <v>12334</v>
      </c>
      <c r="C5395" s="5" t="s">
        <v>35</v>
      </c>
      <c r="D5395" s="5" t="s">
        <v>36</v>
      </c>
      <c r="E5395" s="5" t="s">
        <v>170</v>
      </c>
      <c r="F5395" s="9">
        <v>9</v>
      </c>
      <c r="G5395" s="9">
        <v>99</v>
      </c>
      <c r="H5395" s="5" t="s">
        <v>20</v>
      </c>
      <c r="I5395" s="5" t="s">
        <v>12335</v>
      </c>
      <c r="J5395" s="12" t="str">
        <f>HYPERLINK("https://www.boe.es/gazeta/dias/1805/01/29/pdfs/GMD-1805-9.pdf#page=7","Abrir facsímil")</f>
        <v>Abrir facsímil</v>
      </c>
      <c r="K5395" s="15" t="s">
        <v>22</v>
      </c>
    </row>
    <row r="5396" spans="1:11" ht="42" customHeight="1">
      <c r="A5396" s="4" t="s">
        <v>12333</v>
      </c>
      <c r="B5396" s="5" t="s">
        <v>12334</v>
      </c>
      <c r="C5396" s="5" t="s">
        <v>35</v>
      </c>
      <c r="D5396" s="5" t="s">
        <v>36</v>
      </c>
      <c r="E5396" s="5" t="s">
        <v>91</v>
      </c>
      <c r="F5396" s="9">
        <v>28</v>
      </c>
      <c r="G5396" s="9">
        <v>301</v>
      </c>
      <c r="H5396" s="5" t="s">
        <v>20</v>
      </c>
      <c r="I5396" s="5" t="s">
        <v>12336</v>
      </c>
      <c r="J5396" s="12" t="str">
        <f>HYPERLINK("https://www.boe.es/gazeta/dias/1805/04/05/pdfs/GMD-1805-28.pdf#page=9","Abrir facsímil")</f>
        <v>Abrir facsímil</v>
      </c>
      <c r="K5396" s="15" t="s">
        <v>22</v>
      </c>
    </row>
    <row r="5397" spans="1:11" ht="42" customHeight="1">
      <c r="A5397" s="4" t="s">
        <v>12333</v>
      </c>
      <c r="B5397" s="5" t="s">
        <v>12334</v>
      </c>
      <c r="C5397" s="5" t="s">
        <v>35</v>
      </c>
      <c r="D5397" s="5" t="s">
        <v>36</v>
      </c>
      <c r="E5397" s="5" t="s">
        <v>19</v>
      </c>
      <c r="F5397" s="9">
        <v>86</v>
      </c>
      <c r="G5397" s="9">
        <v>914</v>
      </c>
      <c r="H5397" s="5" t="s">
        <v>20</v>
      </c>
      <c r="I5397" s="5" t="s">
        <v>12337</v>
      </c>
      <c r="J5397" s="12" t="str">
        <f>HYPERLINK("https://www.boe.es/gazeta/dias/1805/10/25/pdfs/GMD-1805-86.pdf#page=10","Abrir facsímil")</f>
        <v>Abrir facsímil</v>
      </c>
      <c r="K5397" s="15" t="s">
        <v>22</v>
      </c>
    </row>
    <row r="5398" spans="1:11" ht="42" customHeight="1">
      <c r="A5398" s="4" t="s">
        <v>12333</v>
      </c>
      <c r="B5398" s="5" t="s">
        <v>12334</v>
      </c>
      <c r="C5398" s="5" t="s">
        <v>52</v>
      </c>
      <c r="D5398" s="5" t="s">
        <v>53</v>
      </c>
      <c r="E5398" s="5" t="s">
        <v>54</v>
      </c>
      <c r="F5398" s="9">
        <v>99</v>
      </c>
      <c r="G5398" s="9" t="s">
        <v>145</v>
      </c>
      <c r="H5398" s="5" t="s">
        <v>20</v>
      </c>
      <c r="I5398" s="5" t="s">
        <v>12338</v>
      </c>
      <c r="J5398" s="12" t="str">
        <f>HYPERLINK("https://www.boe.es/gazeta/dias/1805/12/10/pdfs/GMD-C-1805-99.pdf#page=2","Abrir facsímil")</f>
        <v>Abrir facsímil</v>
      </c>
      <c r="K5398" s="15" t="s">
        <v>22</v>
      </c>
    </row>
    <row r="5399" spans="1:11" ht="42" customHeight="1">
      <c r="A5399" s="4" t="s">
        <v>12339</v>
      </c>
      <c r="B5399" s="5" t="s">
        <v>12340</v>
      </c>
      <c r="C5399" s="5" t="s">
        <v>29</v>
      </c>
      <c r="D5399" s="5" t="s">
        <v>30</v>
      </c>
      <c r="E5399" s="5" t="s">
        <v>1494</v>
      </c>
      <c r="F5399" s="9">
        <v>31</v>
      </c>
      <c r="G5399" s="9">
        <v>335</v>
      </c>
      <c r="H5399" s="5" t="s">
        <v>20</v>
      </c>
      <c r="I5399" s="5" t="s">
        <v>12341</v>
      </c>
      <c r="J5399" s="12" t="str">
        <f>HYPERLINK("https://www.boe.es/gazeta/dias/1805/04/16/pdfs/GMD-1805-31.pdf#page=11","Abrir facsímil")</f>
        <v>Abrir facsímil</v>
      </c>
      <c r="K5399" s="15" t="s">
        <v>22</v>
      </c>
    </row>
    <row r="5400" spans="1:11" ht="42" customHeight="1">
      <c r="A5400" s="4" t="s">
        <v>12342</v>
      </c>
      <c r="B5400" s="5" t="s">
        <v>12343</v>
      </c>
      <c r="C5400" s="5" t="s">
        <v>85</v>
      </c>
      <c r="D5400" s="5" t="s">
        <v>86</v>
      </c>
      <c r="E5400" s="5" t="s">
        <v>192</v>
      </c>
      <c r="F5400" s="9">
        <v>105</v>
      </c>
      <c r="G5400" s="9">
        <v>1137</v>
      </c>
      <c r="H5400" s="5" t="s">
        <v>20</v>
      </c>
      <c r="I5400" s="5" t="s">
        <v>12344</v>
      </c>
      <c r="J5400" s="12" t="str">
        <f>HYPERLINK("https://www.boe.es/gazeta/dias/1805/12/31/pdfs/GMD-1805-105.pdf#page=9","Abrir facsímil")</f>
        <v>Abrir facsímil</v>
      </c>
      <c r="K5400" s="15" t="s">
        <v>22</v>
      </c>
    </row>
    <row r="5401" spans="1:11" ht="42" customHeight="1">
      <c r="A5401" s="4" t="s">
        <v>12345</v>
      </c>
      <c r="B5401" s="5" t="s">
        <v>12346</v>
      </c>
      <c r="C5401" s="5" t="s">
        <v>17</v>
      </c>
      <c r="D5401" s="5" t="s">
        <v>18</v>
      </c>
      <c r="E5401" s="5" t="s">
        <v>120</v>
      </c>
      <c r="F5401" s="9">
        <v>24</v>
      </c>
      <c r="G5401" s="9">
        <v>253</v>
      </c>
      <c r="H5401" s="5" t="s">
        <v>20</v>
      </c>
      <c r="I5401" s="5" t="s">
        <v>12347</v>
      </c>
      <c r="J5401" s="12" t="str">
        <f>HYPERLINK("https://www.boe.es/gazeta/dias/1805/03/22/pdfs/GMD-1805-24.pdf#page=5","Abrir facsímil")</f>
        <v>Abrir facsímil</v>
      </c>
      <c r="K5401" s="15" t="s">
        <v>22</v>
      </c>
    </row>
    <row r="5402" spans="1:11" ht="42" customHeight="1">
      <c r="A5402" s="4" t="s">
        <v>12345</v>
      </c>
      <c r="B5402" s="5" t="s">
        <v>12346</v>
      </c>
      <c r="C5402" s="5" t="s">
        <v>29</v>
      </c>
      <c r="D5402" s="5" t="s">
        <v>30</v>
      </c>
      <c r="E5402" s="5" t="s">
        <v>1471</v>
      </c>
      <c r="F5402" s="9">
        <v>34</v>
      </c>
      <c r="G5402" s="9">
        <v>364</v>
      </c>
      <c r="H5402" s="5" t="s">
        <v>20</v>
      </c>
      <c r="I5402" s="5" t="s">
        <v>12348</v>
      </c>
      <c r="J5402" s="12" t="str">
        <f>HYPERLINK("https://www.boe.es/gazeta/dias/1805/04/26/pdfs/GMD-1805-34.pdf#page=8","Abrir facsímil")</f>
        <v>Abrir facsímil</v>
      </c>
      <c r="K5402" s="15" t="s">
        <v>22</v>
      </c>
    </row>
    <row r="5403" spans="1:11" ht="42" customHeight="1">
      <c r="A5403" s="4" t="s">
        <v>12349</v>
      </c>
      <c r="B5403" s="5" t="s">
        <v>12350</v>
      </c>
      <c r="C5403" s="5" t="s">
        <v>29</v>
      </c>
      <c r="D5403" s="5" t="s">
        <v>30</v>
      </c>
      <c r="E5403" s="5" t="s">
        <v>1471</v>
      </c>
      <c r="F5403" s="9">
        <v>34</v>
      </c>
      <c r="G5403" s="9">
        <v>364</v>
      </c>
      <c r="H5403" s="5" t="s">
        <v>20</v>
      </c>
      <c r="I5403" s="5" t="s">
        <v>12351</v>
      </c>
      <c r="J5403" s="12" t="str">
        <f>HYPERLINK("https://www.boe.es/gazeta/dias/1805/04/26/pdfs/GMD-1805-34.pdf#page=8","Abrir facsímil")</f>
        <v>Abrir facsímil</v>
      </c>
      <c r="K5403" s="15" t="s">
        <v>22</v>
      </c>
    </row>
    <row r="5404" spans="1:11" ht="42" customHeight="1">
      <c r="A5404" s="4" t="s">
        <v>12349</v>
      </c>
      <c r="B5404" s="5" t="s">
        <v>12350</v>
      </c>
      <c r="C5404" s="5" t="s">
        <v>29</v>
      </c>
      <c r="D5404" s="5" t="s">
        <v>30</v>
      </c>
      <c r="E5404" s="5" t="s">
        <v>539</v>
      </c>
      <c r="F5404" s="9">
        <v>97</v>
      </c>
      <c r="G5404" s="9">
        <v>1048</v>
      </c>
      <c r="H5404" s="5" t="s">
        <v>20</v>
      </c>
      <c r="I5404" s="5" t="s">
        <v>12352</v>
      </c>
      <c r="J5404" s="12" t="str">
        <f>HYPERLINK("https://www.boe.es/gazeta/dias/1805/12/03/pdfs/GMD-1805-97.pdf#page=12","Abrir facsímil")</f>
        <v>Abrir facsímil</v>
      </c>
      <c r="K5404" s="15" t="s">
        <v>22</v>
      </c>
    </row>
    <row r="5405" spans="1:11" ht="42" customHeight="1">
      <c r="A5405" s="4" t="s">
        <v>12353</v>
      </c>
      <c r="B5405" s="5" t="s">
        <v>12354</v>
      </c>
      <c r="C5405" s="5" t="s">
        <v>35</v>
      </c>
      <c r="D5405" s="5" t="s">
        <v>36</v>
      </c>
      <c r="E5405" s="5" t="s">
        <v>91</v>
      </c>
      <c r="F5405" s="9">
        <v>28</v>
      </c>
      <c r="G5405" s="9">
        <v>300</v>
      </c>
      <c r="H5405" s="5" t="s">
        <v>20</v>
      </c>
      <c r="I5405" s="5" t="s">
        <v>12355</v>
      </c>
      <c r="J5405" s="12" t="str">
        <f>HYPERLINK("https://www.boe.es/gazeta/dias/1805/04/05/pdfs/GMD-1805-28.pdf#page=8","Abrir facsímil")</f>
        <v>Abrir facsímil</v>
      </c>
      <c r="K5405" s="15" t="s">
        <v>22</v>
      </c>
    </row>
    <row r="5406" spans="1:11" ht="42" customHeight="1">
      <c r="A5406" s="4" t="s">
        <v>12353</v>
      </c>
      <c r="B5406" s="5" t="s">
        <v>12354</v>
      </c>
      <c r="C5406" s="5" t="s">
        <v>35</v>
      </c>
      <c r="D5406" s="5" t="s">
        <v>36</v>
      </c>
      <c r="E5406" s="5" t="s">
        <v>226</v>
      </c>
      <c r="F5406" s="9">
        <v>73</v>
      </c>
      <c r="G5406" s="9">
        <v>774</v>
      </c>
      <c r="H5406" s="5" t="s">
        <v>20</v>
      </c>
      <c r="I5406" s="5" t="s">
        <v>12356</v>
      </c>
      <c r="J5406" s="12" t="str">
        <f>HYPERLINK("https://www.boe.es/gazeta/dias/1805/09/10/pdfs/GMD-1805-73.pdf#page=6","Abrir facsímil")</f>
        <v>Abrir facsímil</v>
      </c>
      <c r="K5406" s="15" t="s">
        <v>22</v>
      </c>
    </row>
    <row r="5407" spans="1:11" ht="42" customHeight="1">
      <c r="A5407" s="4" t="s">
        <v>12357</v>
      </c>
      <c r="B5407" s="5" t="s">
        <v>12358</v>
      </c>
      <c r="C5407" s="5" t="s">
        <v>17</v>
      </c>
      <c r="D5407" s="5" t="s">
        <v>18</v>
      </c>
      <c r="E5407" s="5" t="s">
        <v>365</v>
      </c>
      <c r="F5407" s="9">
        <v>3</v>
      </c>
      <c r="G5407" s="9">
        <v>30</v>
      </c>
      <c r="H5407" s="5" t="s">
        <v>20</v>
      </c>
      <c r="I5407" s="5" t="s">
        <v>12359</v>
      </c>
      <c r="J5407" s="12" t="str">
        <f>HYPERLINK("https://www.boe.es/gazeta/dias/1805/01/08/pdfs/GMD-1805-3.pdf#page=6","Abrir facsímil")</f>
        <v>Abrir facsímil</v>
      </c>
      <c r="K5407" s="15" t="s">
        <v>22</v>
      </c>
    </row>
    <row r="5408" spans="1:11" ht="42" customHeight="1">
      <c r="A5408" s="4" t="s">
        <v>12360</v>
      </c>
      <c r="B5408" s="5" t="s">
        <v>12361</v>
      </c>
      <c r="C5408" s="5" t="s">
        <v>17</v>
      </c>
      <c r="D5408" s="5" t="s">
        <v>18</v>
      </c>
      <c r="E5408" s="5" t="s">
        <v>148</v>
      </c>
      <c r="F5408" s="9">
        <v>50</v>
      </c>
      <c r="G5408" s="9">
        <v>541</v>
      </c>
      <c r="H5408" s="5" t="s">
        <v>20</v>
      </c>
      <c r="I5408" s="5" t="s">
        <v>12362</v>
      </c>
      <c r="J5408" s="12" t="str">
        <f>HYPERLINK("https://www.boe.es/gazeta/dias/1805/06/21/pdfs/GMD-1805-50.pdf#page=9","Abrir facsímil")</f>
        <v>Abrir facsímil</v>
      </c>
      <c r="K5408" s="15" t="s">
        <v>22</v>
      </c>
    </row>
    <row r="5409" spans="1:11" ht="42" customHeight="1">
      <c r="A5409" s="4" t="s">
        <v>12363</v>
      </c>
      <c r="B5409" s="5" t="s">
        <v>12363</v>
      </c>
      <c r="C5409" s="5" t="s">
        <v>35</v>
      </c>
      <c r="D5409" s="5" t="s">
        <v>36</v>
      </c>
      <c r="E5409" s="5" t="s">
        <v>170</v>
      </c>
      <c r="F5409" s="9">
        <v>9</v>
      </c>
      <c r="G5409" s="9">
        <v>98</v>
      </c>
      <c r="H5409" s="5" t="s">
        <v>20</v>
      </c>
      <c r="I5409" s="5" t="s">
        <v>12364</v>
      </c>
      <c r="J5409" s="12" t="str">
        <f>HYPERLINK("https://www.boe.es/gazeta/dias/1805/01/29/pdfs/GMD-1805-9.pdf#page=6","Abrir facsímil")</f>
        <v>Abrir facsímil</v>
      </c>
      <c r="K5409" s="15" t="s">
        <v>22</v>
      </c>
    </row>
    <row r="5410" spans="1:11" ht="42" customHeight="1">
      <c r="A5410" s="4" t="s">
        <v>12365</v>
      </c>
      <c r="B5410" s="5" t="s">
        <v>12366</v>
      </c>
      <c r="C5410" s="5" t="s">
        <v>35</v>
      </c>
      <c r="D5410" s="5" t="s">
        <v>36</v>
      </c>
      <c r="E5410" s="5" t="s">
        <v>831</v>
      </c>
      <c r="F5410" s="9">
        <v>62</v>
      </c>
      <c r="G5410" s="9">
        <v>658</v>
      </c>
      <c r="H5410" s="5" t="s">
        <v>20</v>
      </c>
      <c r="I5410" s="5" t="s">
        <v>12367</v>
      </c>
      <c r="J5410" s="12" t="str">
        <f>HYPERLINK("https://www.boe.es/gazeta/dias/1805/08/02/pdfs/GMD-1805-62.pdf#page=2","Abrir facsímil")</f>
        <v>Abrir facsímil</v>
      </c>
      <c r="K5410" s="15" t="s">
        <v>22</v>
      </c>
    </row>
    <row r="5411" spans="1:11" ht="42" customHeight="1">
      <c r="A5411" s="4" t="s">
        <v>12368</v>
      </c>
      <c r="B5411" s="5" t="s">
        <v>12369</v>
      </c>
      <c r="C5411" s="5" t="s">
        <v>35</v>
      </c>
      <c r="D5411" s="5" t="s">
        <v>36</v>
      </c>
      <c r="E5411" s="5" t="s">
        <v>31</v>
      </c>
      <c r="F5411" s="9">
        <v>65</v>
      </c>
      <c r="G5411" s="9">
        <v>690</v>
      </c>
      <c r="H5411" s="5" t="s">
        <v>20</v>
      </c>
      <c r="I5411" s="5" t="s">
        <v>12370</v>
      </c>
      <c r="J5411" s="12" t="str">
        <f>HYPERLINK("https://www.boe.es/gazeta/dias/1805/08/13/pdfs/GMD-1805-65.pdf#page=2","Abrir facsímil")</f>
        <v>Abrir facsímil</v>
      </c>
      <c r="K5411" s="15" t="s">
        <v>22</v>
      </c>
    </row>
    <row r="5412" spans="1:11" ht="42" customHeight="1">
      <c r="A5412" s="4" t="s">
        <v>12371</v>
      </c>
      <c r="B5412" s="5" t="s">
        <v>12372</v>
      </c>
      <c r="C5412" s="5" t="s">
        <v>80</v>
      </c>
      <c r="D5412" s="5" t="s">
        <v>81</v>
      </c>
      <c r="E5412" s="5" t="s">
        <v>192</v>
      </c>
      <c r="F5412" s="9">
        <v>105</v>
      </c>
      <c r="G5412" s="9">
        <v>1133</v>
      </c>
      <c r="H5412" s="5" t="s">
        <v>20</v>
      </c>
      <c r="I5412" s="5" t="s">
        <v>12373</v>
      </c>
      <c r="J5412" s="12" t="str">
        <f>HYPERLINK("https://www.boe.es/gazeta/dias/1805/12/31/pdfs/GMD-1805-105.pdf#page=5","Abrir facsímil")</f>
        <v>Abrir facsímil</v>
      </c>
      <c r="K5412" s="15" t="s">
        <v>22</v>
      </c>
    </row>
    <row r="5413" spans="1:11" ht="42" customHeight="1">
      <c r="A5413" s="4" t="s">
        <v>12374</v>
      </c>
      <c r="B5413" s="5" t="s">
        <v>12375</v>
      </c>
      <c r="C5413" s="5" t="s">
        <v>17</v>
      </c>
      <c r="D5413" s="5" t="s">
        <v>18</v>
      </c>
      <c r="E5413" s="5" t="s">
        <v>711</v>
      </c>
      <c r="F5413" s="9">
        <v>63</v>
      </c>
      <c r="G5413" s="9">
        <v>671</v>
      </c>
      <c r="H5413" s="5" t="s">
        <v>20</v>
      </c>
      <c r="I5413" s="5" t="s">
        <v>12376</v>
      </c>
      <c r="J5413" s="12" t="str">
        <f>HYPERLINK("https://www.boe.es/gazeta/dias/1805/08/06/pdfs/GMD-1805-63.pdf#page=7","Abrir facsímil")</f>
        <v>Abrir facsímil</v>
      </c>
      <c r="K5413" s="15" t="s">
        <v>22</v>
      </c>
    </row>
    <row r="5414" spans="1:11" ht="42" customHeight="1">
      <c r="A5414" s="4" t="s">
        <v>12377</v>
      </c>
      <c r="B5414" s="5" t="s">
        <v>12377</v>
      </c>
      <c r="C5414" s="5" t="s">
        <v>35</v>
      </c>
      <c r="D5414" s="5" t="s">
        <v>36</v>
      </c>
      <c r="E5414" s="5" t="s">
        <v>1471</v>
      </c>
      <c r="F5414" s="9">
        <v>34</v>
      </c>
      <c r="G5414" s="9">
        <v>360</v>
      </c>
      <c r="H5414" s="5" t="s">
        <v>20</v>
      </c>
      <c r="I5414" s="5" t="s">
        <v>12378</v>
      </c>
      <c r="J5414" s="12" t="str">
        <f>HYPERLINK("https://www.boe.es/gazeta/dias/1805/04/26/pdfs/GMD-1805-34.pdf#page=4","Abrir facsímil")</f>
        <v>Abrir facsímil</v>
      </c>
      <c r="K5414" s="15" t="s">
        <v>22</v>
      </c>
    </row>
    <row r="5415" spans="1:11" ht="42" customHeight="1">
      <c r="A5415" s="4" t="s">
        <v>12379</v>
      </c>
      <c r="B5415" s="5" t="s">
        <v>12379</v>
      </c>
      <c r="C5415" s="5" t="s">
        <v>17</v>
      </c>
      <c r="D5415" s="5" t="s">
        <v>18</v>
      </c>
      <c r="E5415" s="5" t="s">
        <v>711</v>
      </c>
      <c r="F5415" s="9">
        <v>63</v>
      </c>
      <c r="G5415" s="9">
        <v>671</v>
      </c>
      <c r="H5415" s="5" t="s">
        <v>20</v>
      </c>
      <c r="I5415" s="5" t="s">
        <v>12380</v>
      </c>
      <c r="J5415" s="12" t="str">
        <f>HYPERLINK("https://www.boe.es/gazeta/dias/1805/08/06/pdfs/GMD-1805-63.pdf#page=7","Abrir facsímil")</f>
        <v>Abrir facsímil</v>
      </c>
      <c r="K5415" s="15" t="s">
        <v>22</v>
      </c>
    </row>
    <row r="5416" spans="1:11" ht="42" customHeight="1">
      <c r="A5416" s="4" t="s">
        <v>12381</v>
      </c>
      <c r="B5416" s="5" t="s">
        <v>12382</v>
      </c>
      <c r="C5416" s="5" t="s">
        <v>85</v>
      </c>
      <c r="D5416" s="5" t="s">
        <v>86</v>
      </c>
      <c r="E5416" s="5" t="s">
        <v>120</v>
      </c>
      <c r="F5416" s="9">
        <v>24</v>
      </c>
      <c r="G5416" s="9">
        <v>255</v>
      </c>
      <c r="H5416" s="5" t="s">
        <v>20</v>
      </c>
      <c r="I5416" s="5" t="s">
        <v>12383</v>
      </c>
      <c r="J5416" s="12" t="str">
        <f>HYPERLINK("https://www.boe.es/gazeta/dias/1805/03/22/pdfs/GMD-1805-24.pdf#page=7","Abrir facsímil")</f>
        <v>Abrir facsímil</v>
      </c>
      <c r="K5416" s="15" t="s">
        <v>22</v>
      </c>
    </row>
    <row r="5417" spans="1:11" ht="42" customHeight="1">
      <c r="A5417" s="4" t="s">
        <v>12384</v>
      </c>
      <c r="B5417" s="5" t="s">
        <v>12385</v>
      </c>
      <c r="C5417" s="5" t="s">
        <v>184</v>
      </c>
      <c r="D5417" s="5" t="s">
        <v>86</v>
      </c>
      <c r="E5417" s="5" t="s">
        <v>1259</v>
      </c>
      <c r="F5417" s="9">
        <v>78</v>
      </c>
      <c r="G5417" s="9">
        <v>828</v>
      </c>
      <c r="H5417" s="5" t="s">
        <v>20</v>
      </c>
      <c r="I5417" s="5" t="s">
        <v>12386</v>
      </c>
      <c r="J5417" s="12" t="str">
        <f>HYPERLINK("https://www.boe.es/gazeta/dias/1805/09/27/pdfs/GMD-1805-78.pdf#page=8","Abrir facsímil")</f>
        <v>Abrir facsímil</v>
      </c>
      <c r="K5417" s="15" t="s">
        <v>22</v>
      </c>
    </row>
    <row r="5418" spans="1:11" ht="42" customHeight="1">
      <c r="A5418" s="4" t="s">
        <v>12387</v>
      </c>
      <c r="B5418" s="5" t="s">
        <v>12388</v>
      </c>
      <c r="C5418" s="5" t="s">
        <v>35</v>
      </c>
      <c r="D5418" s="5" t="s">
        <v>36</v>
      </c>
      <c r="E5418" s="5" t="s">
        <v>188</v>
      </c>
      <c r="F5418" s="9">
        <v>68</v>
      </c>
      <c r="G5418" s="9">
        <v>729</v>
      </c>
      <c r="H5418" s="5" t="s">
        <v>20</v>
      </c>
      <c r="I5418" s="5" t="s">
        <v>12389</v>
      </c>
      <c r="J5418" s="12" t="str">
        <f>HYPERLINK("https://www.boe.es/gazeta/dias/1805/08/23/pdfs/GMD-1805-68.pdf#page=9","Abrir facsímil")</f>
        <v>Abrir facsímil</v>
      </c>
      <c r="K5418" s="15" t="s">
        <v>22</v>
      </c>
    </row>
    <row r="5419" spans="1:11" ht="42" customHeight="1">
      <c r="A5419" s="4" t="s">
        <v>12390</v>
      </c>
      <c r="B5419" s="5" t="s">
        <v>12391</v>
      </c>
      <c r="C5419" s="5" t="s">
        <v>17</v>
      </c>
      <c r="D5419" s="5" t="s">
        <v>18</v>
      </c>
      <c r="E5419" s="5" t="s">
        <v>456</v>
      </c>
      <c r="F5419" s="9">
        <v>70</v>
      </c>
      <c r="G5419" s="9">
        <v>745</v>
      </c>
      <c r="H5419" s="5" t="s">
        <v>20</v>
      </c>
      <c r="I5419" s="5" t="s">
        <v>12392</v>
      </c>
      <c r="J5419" s="12" t="str">
        <f>HYPERLINK("https://www.boe.es/gazeta/dias/1805/08/30/pdfs/GMD-1805-70.pdf#page=5","Abrir facsímil")</f>
        <v>Abrir facsímil</v>
      </c>
      <c r="K5419" s="15" t="s">
        <v>22</v>
      </c>
    </row>
    <row r="5420" spans="1:11" ht="42" customHeight="1">
      <c r="A5420" s="4" t="s">
        <v>12393</v>
      </c>
      <c r="B5420" s="5" t="s">
        <v>12393</v>
      </c>
      <c r="C5420" s="5" t="s">
        <v>184</v>
      </c>
      <c r="D5420" s="5" t="s">
        <v>86</v>
      </c>
      <c r="E5420" s="5" t="s">
        <v>1292</v>
      </c>
      <c r="F5420" s="9">
        <v>43</v>
      </c>
      <c r="G5420" s="9">
        <v>463</v>
      </c>
      <c r="H5420" s="5" t="s">
        <v>20</v>
      </c>
      <c r="I5420" s="5" t="s">
        <v>12394</v>
      </c>
      <c r="J5420" s="12" t="str">
        <f>HYPERLINK("https://www.boe.es/gazeta/dias/1805/05/28/pdfs/GMD-1805-43.pdf#page=7","Abrir facsímil")</f>
        <v>Abrir facsímil</v>
      </c>
      <c r="K5420" s="15" t="s">
        <v>22</v>
      </c>
    </row>
    <row r="5421" spans="1:11" ht="42" customHeight="1">
      <c r="A5421" s="4" t="s">
        <v>12395</v>
      </c>
      <c r="B5421" s="5" t="s">
        <v>12396</v>
      </c>
      <c r="C5421" s="5" t="s">
        <v>85</v>
      </c>
      <c r="D5421" s="5" t="s">
        <v>86</v>
      </c>
      <c r="E5421" s="5" t="s">
        <v>40</v>
      </c>
      <c r="F5421" s="9">
        <v>59</v>
      </c>
      <c r="G5421" s="9">
        <v>626</v>
      </c>
      <c r="H5421" s="5" t="s">
        <v>20</v>
      </c>
      <c r="I5421" s="5" t="s">
        <v>12397</v>
      </c>
      <c r="J5421" s="12" t="str">
        <f>HYPERLINK("https://www.boe.es/gazeta/dias/1805/07/23/pdfs/GMD-1805-59.pdf#page=2","Abrir facsímil")</f>
        <v>Abrir facsímil</v>
      </c>
      <c r="K5421" s="15" t="s">
        <v>22</v>
      </c>
    </row>
    <row r="5422" spans="1:11" ht="42" customHeight="1">
      <c r="A5422" s="4" t="s">
        <v>12398</v>
      </c>
      <c r="B5422" s="5" t="s">
        <v>12399</v>
      </c>
      <c r="C5422" s="5" t="s">
        <v>52</v>
      </c>
      <c r="D5422" s="5" t="s">
        <v>53</v>
      </c>
      <c r="E5422" s="5" t="s">
        <v>54</v>
      </c>
      <c r="F5422" s="9">
        <v>99</v>
      </c>
      <c r="G5422" s="9" t="s">
        <v>55</v>
      </c>
      <c r="H5422" s="5" t="s">
        <v>20</v>
      </c>
      <c r="I5422" s="5" t="s">
        <v>12400</v>
      </c>
      <c r="J5422" s="12" t="str">
        <f>HYPERLINK("https://www.boe.es/gazeta/dias/1805/12/10/pdfs/GMD-C-1805-99.pdf#page=4","Abrir facsímil")</f>
        <v>Abrir facsímil</v>
      </c>
      <c r="K5422" s="15" t="s">
        <v>22</v>
      </c>
    </row>
    <row r="5423" spans="1:11" ht="42" customHeight="1">
      <c r="A5423" s="4" t="s">
        <v>12401</v>
      </c>
      <c r="B5423" s="5" t="s">
        <v>12401</v>
      </c>
      <c r="C5423" s="5" t="s">
        <v>80</v>
      </c>
      <c r="D5423" s="5" t="s">
        <v>81</v>
      </c>
      <c r="E5423" s="5" t="s">
        <v>729</v>
      </c>
      <c r="F5423" s="9">
        <v>61</v>
      </c>
      <c r="G5423" s="9">
        <v>650</v>
      </c>
      <c r="H5423" s="5" t="s">
        <v>20</v>
      </c>
      <c r="I5423" s="5" t="s">
        <v>12402</v>
      </c>
      <c r="J5423" s="12" t="str">
        <f>HYPERLINK("https://www.boe.es/gazeta/dias/1805/07/30/pdfs/GMD-1805-61.pdf#page=2","Abrir facsímil")</f>
        <v>Abrir facsímil</v>
      </c>
      <c r="K5423" s="15" t="s">
        <v>22</v>
      </c>
    </row>
    <row r="5424" spans="1:11" ht="42" customHeight="1">
      <c r="A5424" s="4" t="s">
        <v>12403</v>
      </c>
      <c r="B5424" s="5" t="s">
        <v>12404</v>
      </c>
      <c r="C5424" s="5" t="s">
        <v>85</v>
      </c>
      <c r="D5424" s="5" t="s">
        <v>86</v>
      </c>
      <c r="E5424" s="5" t="s">
        <v>296</v>
      </c>
      <c r="F5424" s="9">
        <v>26</v>
      </c>
      <c r="G5424" s="9">
        <v>277</v>
      </c>
      <c r="H5424" s="5" t="s">
        <v>20</v>
      </c>
      <c r="I5424" s="5" t="s">
        <v>12405</v>
      </c>
      <c r="J5424" s="12" t="str">
        <f>HYPERLINK("https://www.boe.es/gazeta/dias/1805/03/29/pdfs/GMD-1805-26.pdf#page=9","Abrir facsímil")</f>
        <v>Abrir facsímil</v>
      </c>
      <c r="K5424" s="15" t="s">
        <v>22</v>
      </c>
    </row>
    <row r="5425" spans="1:11" ht="42" customHeight="1">
      <c r="A5425" s="4" t="s">
        <v>12406</v>
      </c>
      <c r="B5425" s="5" t="s">
        <v>12407</v>
      </c>
      <c r="C5425" s="5" t="s">
        <v>17</v>
      </c>
      <c r="D5425" s="5" t="s">
        <v>18</v>
      </c>
      <c r="E5425" s="5" t="s">
        <v>63</v>
      </c>
      <c r="F5425" s="9">
        <v>101</v>
      </c>
      <c r="G5425" s="9">
        <v>1091</v>
      </c>
      <c r="H5425" s="5" t="s">
        <v>20</v>
      </c>
      <c r="I5425" s="5" t="s">
        <v>12408</v>
      </c>
      <c r="J5425" s="12" t="str">
        <f>HYPERLINK("https://www.boe.es/gazeta/dias/1805/12/17/pdfs/GMD-1805-101.pdf#page=7","Abrir facsímil")</f>
        <v>Abrir facsímil</v>
      </c>
      <c r="K5425" s="15" t="s">
        <v>22</v>
      </c>
    </row>
    <row r="5426" spans="1:11" ht="42" customHeight="1">
      <c r="A5426" s="4" t="s">
        <v>12409</v>
      </c>
      <c r="B5426" s="5" t="s">
        <v>12410</v>
      </c>
      <c r="C5426" s="5" t="s">
        <v>17</v>
      </c>
      <c r="D5426" s="5" t="s">
        <v>18</v>
      </c>
      <c r="E5426" s="5" t="s">
        <v>365</v>
      </c>
      <c r="F5426" s="9">
        <v>3</v>
      </c>
      <c r="G5426" s="9">
        <v>30</v>
      </c>
      <c r="H5426" s="5" t="s">
        <v>20</v>
      </c>
      <c r="I5426" s="5" t="s">
        <v>12411</v>
      </c>
      <c r="J5426" s="12" t="str">
        <f>HYPERLINK("https://www.boe.es/gazeta/dias/1805/01/08/pdfs/GMD-1805-3.pdf#page=6","Abrir facsímil")</f>
        <v>Abrir facsímil</v>
      </c>
      <c r="K5426" s="15" t="s">
        <v>22</v>
      </c>
    </row>
    <row r="5427" spans="1:11" ht="42" customHeight="1">
      <c r="A5427" s="4" t="s">
        <v>12412</v>
      </c>
      <c r="B5427" s="5" t="s">
        <v>12413</v>
      </c>
      <c r="C5427" s="5" t="s">
        <v>35</v>
      </c>
      <c r="D5427" s="5" t="s">
        <v>36</v>
      </c>
      <c r="E5427" s="5" t="s">
        <v>276</v>
      </c>
      <c r="F5427" s="9">
        <v>51</v>
      </c>
      <c r="G5427" s="9">
        <v>551</v>
      </c>
      <c r="H5427" s="5" t="s">
        <v>20</v>
      </c>
      <c r="I5427" s="5" t="s">
        <v>12414</v>
      </c>
      <c r="J5427" s="12" t="str">
        <f>HYPERLINK("https://www.boe.es/gazeta/dias/1805/06/25/pdfs/GMD-1805-51.pdf#page=7","Abrir facsímil")</f>
        <v>Abrir facsímil</v>
      </c>
      <c r="K5427" s="15" t="s">
        <v>22</v>
      </c>
    </row>
    <row r="5428" spans="1:11" ht="42" customHeight="1">
      <c r="A5428" s="4" t="s">
        <v>12415</v>
      </c>
      <c r="B5428" s="5" t="s">
        <v>12416</v>
      </c>
      <c r="C5428" s="5" t="s">
        <v>85</v>
      </c>
      <c r="D5428" s="5" t="s">
        <v>86</v>
      </c>
      <c r="E5428" s="5" t="s">
        <v>170</v>
      </c>
      <c r="F5428" s="9">
        <v>9</v>
      </c>
      <c r="G5428" s="9">
        <v>99</v>
      </c>
      <c r="H5428" s="5" t="s">
        <v>20</v>
      </c>
      <c r="I5428" s="5" t="s">
        <v>12417</v>
      </c>
      <c r="J5428" s="12" t="str">
        <f>HYPERLINK("https://www.boe.es/gazeta/dias/1805/01/29/pdfs/GMD-1805-9.pdf#page=7","Abrir facsímil")</f>
        <v>Abrir facsímil</v>
      </c>
      <c r="K5428" s="15" t="s">
        <v>22</v>
      </c>
    </row>
    <row r="5429" spans="1:11" ht="42" customHeight="1">
      <c r="A5429" s="4" t="s">
        <v>12418</v>
      </c>
      <c r="B5429" s="5" t="s">
        <v>12418</v>
      </c>
      <c r="C5429" s="5" t="s">
        <v>80</v>
      </c>
      <c r="D5429" s="5" t="s">
        <v>81</v>
      </c>
      <c r="E5429" s="5" t="s">
        <v>48</v>
      </c>
      <c r="F5429" s="9">
        <v>35</v>
      </c>
      <c r="G5429" s="9">
        <v>371</v>
      </c>
      <c r="H5429" s="5" t="s">
        <v>20</v>
      </c>
      <c r="I5429" s="5" t="s">
        <v>12419</v>
      </c>
      <c r="J5429" s="12" t="str">
        <f>HYPERLINK("https://www.boe.es/gazeta/dias/1805/04/30/pdfs/GMD-1805-35.pdf#page=3","Abrir facsímil")</f>
        <v>Abrir facsímil</v>
      </c>
      <c r="K5429" s="15" t="s">
        <v>22</v>
      </c>
    </row>
    <row r="5430" spans="1:11" ht="42" customHeight="1">
      <c r="A5430" s="4" t="s">
        <v>12420</v>
      </c>
      <c r="B5430" s="5" t="s">
        <v>12421</v>
      </c>
      <c r="C5430" s="5" t="s">
        <v>35</v>
      </c>
      <c r="D5430" s="5" t="s">
        <v>36</v>
      </c>
      <c r="E5430" s="5" t="s">
        <v>120</v>
      </c>
      <c r="F5430" s="9">
        <v>24</v>
      </c>
      <c r="G5430" s="9">
        <v>255</v>
      </c>
      <c r="H5430" s="5" t="s">
        <v>20</v>
      </c>
      <c r="I5430" s="5" t="s">
        <v>12422</v>
      </c>
      <c r="J5430" s="12" t="str">
        <f>HYPERLINK("https://www.boe.es/gazeta/dias/1805/03/22/pdfs/GMD-1805-24.pdf#page=7","Abrir facsímil")</f>
        <v>Abrir facsímil</v>
      </c>
      <c r="K5430" s="15" t="s">
        <v>22</v>
      </c>
    </row>
    <row r="5431" spans="1:11" ht="42" customHeight="1">
      <c r="A5431" s="4" t="s">
        <v>12423</v>
      </c>
      <c r="B5431" s="5" t="s">
        <v>12424</v>
      </c>
      <c r="C5431" s="5" t="s">
        <v>35</v>
      </c>
      <c r="D5431" s="5" t="s">
        <v>36</v>
      </c>
      <c r="E5431" s="5" t="s">
        <v>393</v>
      </c>
      <c r="F5431" s="9">
        <v>44</v>
      </c>
      <c r="G5431" s="9">
        <v>474</v>
      </c>
      <c r="H5431" s="5" t="s">
        <v>20</v>
      </c>
      <c r="I5431" s="5" t="s">
        <v>12425</v>
      </c>
      <c r="J5431" s="12" t="str">
        <f>HYPERLINK("https://www.boe.es/gazeta/dias/1805/05/31/pdfs/GMD-1805-44.pdf#page=10","Abrir facsímil")</f>
        <v>Abrir facsímil</v>
      </c>
      <c r="K5431" s="15" t="s">
        <v>22</v>
      </c>
    </row>
    <row r="5432" spans="1:11" ht="42" customHeight="1">
      <c r="A5432" s="4" t="s">
        <v>12426</v>
      </c>
      <c r="B5432" s="5" t="s">
        <v>12426</v>
      </c>
      <c r="C5432" s="5" t="s">
        <v>85</v>
      </c>
      <c r="D5432" s="5" t="s">
        <v>86</v>
      </c>
      <c r="E5432" s="5" t="s">
        <v>1292</v>
      </c>
      <c r="F5432" s="9">
        <v>43</v>
      </c>
      <c r="G5432" s="9">
        <v>462</v>
      </c>
      <c r="H5432" s="5" t="s">
        <v>20</v>
      </c>
      <c r="I5432" s="5" t="s">
        <v>12427</v>
      </c>
      <c r="J5432" s="12" t="str">
        <f>HYPERLINK("https://www.boe.es/gazeta/dias/1805/05/28/pdfs/GMD-1805-43.pdf#page=6","Abrir facsímil")</f>
        <v>Abrir facsímil</v>
      </c>
      <c r="K5432" s="15" t="s">
        <v>22</v>
      </c>
    </row>
    <row r="5433" spans="1:11" ht="42" customHeight="1">
      <c r="A5433" s="4" t="s">
        <v>12428</v>
      </c>
      <c r="B5433" s="5" t="s">
        <v>12428</v>
      </c>
      <c r="C5433" s="5" t="s">
        <v>35</v>
      </c>
      <c r="D5433" s="5" t="s">
        <v>36</v>
      </c>
      <c r="E5433" s="5" t="s">
        <v>276</v>
      </c>
      <c r="F5433" s="9">
        <v>51</v>
      </c>
      <c r="G5433" s="9">
        <v>552</v>
      </c>
      <c r="H5433" s="5" t="s">
        <v>20</v>
      </c>
      <c r="I5433" s="5" t="s">
        <v>12429</v>
      </c>
      <c r="J5433" s="12" t="str">
        <f>HYPERLINK("https://www.boe.es/gazeta/dias/1805/06/25/pdfs/GMD-1805-51.pdf#page=8","Abrir facsímil")</f>
        <v>Abrir facsímil</v>
      </c>
      <c r="K5433" s="15" t="s">
        <v>22</v>
      </c>
    </row>
    <row r="5434" spans="1:11" ht="42" customHeight="1">
      <c r="A5434" s="4" t="s">
        <v>12430</v>
      </c>
      <c r="B5434" s="5" t="s">
        <v>12430</v>
      </c>
      <c r="C5434" s="5" t="s">
        <v>85</v>
      </c>
      <c r="D5434" s="5" t="s">
        <v>86</v>
      </c>
      <c r="E5434" s="5" t="s">
        <v>711</v>
      </c>
      <c r="F5434" s="9">
        <v>63</v>
      </c>
      <c r="G5434" s="9">
        <v>674</v>
      </c>
      <c r="H5434" s="5" t="s">
        <v>20</v>
      </c>
      <c r="I5434" s="5" t="s">
        <v>12431</v>
      </c>
      <c r="J5434" s="12" t="str">
        <f>HYPERLINK("https://www.boe.es/gazeta/dias/1805/08/06/pdfs/GMD-1805-63.pdf#page=10","Abrir facsímil")</f>
        <v>Abrir facsímil</v>
      </c>
      <c r="K5434" s="15" t="s">
        <v>22</v>
      </c>
    </row>
    <row r="5435" spans="1:11" ht="42" customHeight="1">
      <c r="A5435" s="4" t="s">
        <v>12432</v>
      </c>
      <c r="B5435" s="5" t="s">
        <v>12432</v>
      </c>
      <c r="C5435" s="5" t="s">
        <v>184</v>
      </c>
      <c r="D5435" s="5" t="s">
        <v>86</v>
      </c>
      <c r="E5435" s="5" t="s">
        <v>303</v>
      </c>
      <c r="F5435" s="9">
        <v>57</v>
      </c>
      <c r="G5435" s="9">
        <v>613</v>
      </c>
      <c r="H5435" s="5" t="s">
        <v>20</v>
      </c>
      <c r="I5435" s="5" t="s">
        <v>12433</v>
      </c>
      <c r="J5435" s="12" t="str">
        <f>HYPERLINK("https://www.boe.es/gazeta/dias/1805/07/16/pdfs/GMD-1805-57.pdf#page=9","Abrir facsímil")</f>
        <v>Abrir facsímil</v>
      </c>
      <c r="K5435" s="15" t="s">
        <v>22</v>
      </c>
    </row>
    <row r="5436" spans="1:11" ht="42" customHeight="1">
      <c r="A5436" s="4" t="s">
        <v>12434</v>
      </c>
      <c r="B5436" s="5" t="s">
        <v>12435</v>
      </c>
      <c r="C5436" s="5" t="s">
        <v>35</v>
      </c>
      <c r="D5436" s="5" t="s">
        <v>36</v>
      </c>
      <c r="E5436" s="5" t="s">
        <v>31</v>
      </c>
      <c r="F5436" s="9">
        <v>65</v>
      </c>
      <c r="G5436" s="9">
        <v>696</v>
      </c>
      <c r="H5436" s="5" t="s">
        <v>20</v>
      </c>
      <c r="I5436" s="5" t="s">
        <v>12436</v>
      </c>
      <c r="J5436" s="12" t="str">
        <f>HYPERLINK("https://www.boe.es/gazeta/dias/1805/08/13/pdfs/GMD-1805-65.pdf#page=8","Abrir facsímil")</f>
        <v>Abrir facsímil</v>
      </c>
      <c r="K5436" s="15" t="s">
        <v>22</v>
      </c>
    </row>
    <row r="5437" spans="1:11" ht="42" customHeight="1">
      <c r="A5437" s="4" t="s">
        <v>12434</v>
      </c>
      <c r="B5437" s="5" t="s">
        <v>12435</v>
      </c>
      <c r="C5437" s="5" t="s">
        <v>85</v>
      </c>
      <c r="D5437" s="5" t="s">
        <v>86</v>
      </c>
      <c r="E5437" s="5" t="s">
        <v>188</v>
      </c>
      <c r="F5437" s="9">
        <v>68</v>
      </c>
      <c r="G5437" s="9">
        <v>728</v>
      </c>
      <c r="H5437" s="5" t="s">
        <v>20</v>
      </c>
      <c r="I5437" s="5" t="s">
        <v>12437</v>
      </c>
      <c r="J5437" s="12" t="str">
        <f>HYPERLINK("https://www.boe.es/gazeta/dias/1805/08/23/pdfs/GMD-1805-68.pdf#page=8","Abrir facsímil")</f>
        <v>Abrir facsímil</v>
      </c>
      <c r="K5437" s="15" t="s">
        <v>22</v>
      </c>
    </row>
    <row r="5438" spans="1:11" ht="42" customHeight="1">
      <c r="A5438" s="4" t="s">
        <v>12438</v>
      </c>
      <c r="B5438" s="5" t="s">
        <v>12439</v>
      </c>
      <c r="C5438" s="5" t="s">
        <v>17</v>
      </c>
      <c r="D5438" s="5" t="s">
        <v>18</v>
      </c>
      <c r="E5438" s="5" t="s">
        <v>63</v>
      </c>
      <c r="F5438" s="9">
        <v>101</v>
      </c>
      <c r="G5438" s="9">
        <v>1093</v>
      </c>
      <c r="H5438" s="5" t="s">
        <v>20</v>
      </c>
      <c r="I5438" s="5" t="s">
        <v>12440</v>
      </c>
      <c r="J5438" s="12" t="str">
        <f>HYPERLINK("https://www.boe.es/gazeta/dias/1805/12/17/pdfs/GMD-1805-101.pdf#page=9","Abrir facsímil")</f>
        <v>Abrir facsímil</v>
      </c>
      <c r="K5438" s="15" t="s">
        <v>22</v>
      </c>
    </row>
    <row r="5439" spans="1:11" ht="42" customHeight="1">
      <c r="A5439" s="4" t="s">
        <v>12441</v>
      </c>
      <c r="B5439" s="5" t="s">
        <v>12442</v>
      </c>
      <c r="C5439" s="5" t="s">
        <v>85</v>
      </c>
      <c r="D5439" s="5" t="s">
        <v>86</v>
      </c>
      <c r="E5439" s="5" t="s">
        <v>552</v>
      </c>
      <c r="F5439" s="9">
        <v>94</v>
      </c>
      <c r="G5439" s="9">
        <v>1008</v>
      </c>
      <c r="H5439" s="5" t="s">
        <v>20</v>
      </c>
      <c r="I5439" s="5" t="s">
        <v>12443</v>
      </c>
      <c r="J5439" s="12" t="str">
        <f>HYPERLINK("https://www.boe.es/gazeta/dias/1805/11/22/pdfs/GMD-1805-94.pdf#page=8","Abrir facsímil")</f>
        <v>Abrir facsímil</v>
      </c>
      <c r="K5439" s="15" t="s">
        <v>22</v>
      </c>
    </row>
    <row r="5440" spans="1:11" ht="42" customHeight="1">
      <c r="A5440" s="4" t="s">
        <v>12444</v>
      </c>
      <c r="B5440" s="5" t="s">
        <v>12445</v>
      </c>
      <c r="C5440" s="5" t="s">
        <v>29</v>
      </c>
      <c r="D5440" s="5" t="s">
        <v>30</v>
      </c>
      <c r="E5440" s="5" t="s">
        <v>44</v>
      </c>
      <c r="F5440" s="9">
        <v>29</v>
      </c>
      <c r="G5440" s="9">
        <v>316</v>
      </c>
      <c r="H5440" s="5" t="s">
        <v>20</v>
      </c>
      <c r="I5440" s="5" t="s">
        <v>12446</v>
      </c>
      <c r="J5440" s="12" t="str">
        <f>HYPERLINK("https://www.boe.es/gazeta/dias/1805/04/09/pdfs/GMD-1805-29.pdf#page=12","Abrir facsímil")</f>
        <v>Abrir facsímil</v>
      </c>
      <c r="K5440" s="15" t="s">
        <v>22</v>
      </c>
    </row>
    <row r="5441" spans="1:11" ht="42" customHeight="1">
      <c r="A5441" s="4" t="s">
        <v>12447</v>
      </c>
      <c r="B5441" s="5" t="s">
        <v>12448</v>
      </c>
      <c r="C5441" s="5" t="s">
        <v>17</v>
      </c>
      <c r="D5441" s="5" t="s">
        <v>18</v>
      </c>
      <c r="E5441" s="5" t="s">
        <v>787</v>
      </c>
      <c r="F5441" s="9">
        <v>95</v>
      </c>
      <c r="G5441" s="9">
        <v>1019</v>
      </c>
      <c r="H5441" s="5" t="s">
        <v>20</v>
      </c>
      <c r="I5441" s="5" t="s">
        <v>12449</v>
      </c>
      <c r="J5441" s="12" t="str">
        <f>HYPERLINK("https://www.boe.es/gazeta/dias/1805/11/26/pdfs/GMD-1805-95.pdf#page=7","Abrir facsímil")</f>
        <v>Abrir facsímil</v>
      </c>
      <c r="K5441" s="15" t="s">
        <v>22</v>
      </c>
    </row>
    <row r="5442" spans="1:11" ht="42" customHeight="1">
      <c r="A5442" s="4" t="s">
        <v>12450</v>
      </c>
      <c r="B5442" s="5" t="s">
        <v>12451</v>
      </c>
      <c r="C5442" s="5" t="s">
        <v>80</v>
      </c>
      <c r="D5442" s="5" t="s">
        <v>81</v>
      </c>
      <c r="E5442" s="5" t="s">
        <v>135</v>
      </c>
      <c r="F5442" s="9">
        <v>71</v>
      </c>
      <c r="G5442" s="9">
        <v>749</v>
      </c>
      <c r="H5442" s="5" t="s">
        <v>20</v>
      </c>
      <c r="I5442" s="5" t="s">
        <v>12452</v>
      </c>
      <c r="J5442" s="12" t="str">
        <f>HYPERLINK("https://www.boe.es/gazeta/dias/1805/09/03/pdfs/GMD-1805-71.pdf#page=1","Abrir facsímil")</f>
        <v>Abrir facsímil</v>
      </c>
      <c r="K5442" s="15" t="s">
        <v>22</v>
      </c>
    </row>
    <row r="5443" spans="1:11" ht="42" customHeight="1">
      <c r="A5443" s="4" t="s">
        <v>12453</v>
      </c>
      <c r="B5443" s="5" t="s">
        <v>12454</v>
      </c>
      <c r="C5443" s="5" t="s">
        <v>35</v>
      </c>
      <c r="D5443" s="5" t="s">
        <v>36</v>
      </c>
      <c r="E5443" s="5" t="s">
        <v>107</v>
      </c>
      <c r="F5443" s="9">
        <v>19</v>
      </c>
      <c r="G5443" s="9">
        <v>198</v>
      </c>
      <c r="H5443" s="5" t="s">
        <v>20</v>
      </c>
      <c r="I5443" s="5" t="s">
        <v>12455</v>
      </c>
      <c r="J5443" s="12" t="str">
        <f>HYPERLINK("https://www.boe.es/gazeta/dias/1805/03/05/pdfs/GMD-1805-19.pdf#page=10","Abrir facsímil")</f>
        <v>Abrir facsímil</v>
      </c>
      <c r="K5443" s="15" t="s">
        <v>22</v>
      </c>
    </row>
    <row r="5444" spans="1:11" ht="42" customHeight="1">
      <c r="A5444" s="4" t="s">
        <v>12456</v>
      </c>
      <c r="B5444" s="5" t="s">
        <v>12457</v>
      </c>
      <c r="C5444" s="5" t="s">
        <v>17</v>
      </c>
      <c r="D5444" s="5" t="s">
        <v>18</v>
      </c>
      <c r="E5444" s="5" t="s">
        <v>107</v>
      </c>
      <c r="F5444" s="9">
        <v>19</v>
      </c>
      <c r="G5444" s="9">
        <v>194</v>
      </c>
      <c r="H5444" s="5" t="s">
        <v>20</v>
      </c>
      <c r="I5444" s="5" t="s">
        <v>12458</v>
      </c>
      <c r="J5444" s="12" t="str">
        <f>HYPERLINK("https://www.boe.es/gazeta/dias/1805/03/05/pdfs/GMD-1805-19.pdf#page=6","Abrir facsímil")</f>
        <v>Abrir facsímil</v>
      </c>
      <c r="K5444" s="15" t="s">
        <v>22</v>
      </c>
    </row>
    <row r="5445" spans="1:11" ht="42" customHeight="1">
      <c r="A5445" s="4" t="s">
        <v>12459</v>
      </c>
      <c r="B5445" s="5" t="s">
        <v>12460</v>
      </c>
      <c r="C5445" s="5" t="s">
        <v>184</v>
      </c>
      <c r="D5445" s="5" t="s">
        <v>86</v>
      </c>
      <c r="E5445" s="5" t="s">
        <v>1494</v>
      </c>
      <c r="F5445" s="9">
        <v>31</v>
      </c>
      <c r="G5445" s="9">
        <v>328</v>
      </c>
      <c r="H5445" s="5" t="s">
        <v>20</v>
      </c>
      <c r="I5445" s="5" t="s">
        <v>12461</v>
      </c>
      <c r="J5445" s="12" t="str">
        <f>HYPERLINK("https://www.boe.es/gazeta/dias/1805/04/16/pdfs/GMD-1805-31.pdf#page=4","Abrir facsímil")</f>
        <v>Abrir facsímil</v>
      </c>
      <c r="K5445" s="15" t="s">
        <v>22</v>
      </c>
    </row>
    <row r="5446" spans="1:11" ht="42" customHeight="1">
      <c r="A5446" s="4" t="s">
        <v>12462</v>
      </c>
      <c r="B5446" s="5" t="s">
        <v>12462</v>
      </c>
      <c r="C5446" s="5" t="s">
        <v>17</v>
      </c>
      <c r="D5446" s="5" t="s">
        <v>18</v>
      </c>
      <c r="E5446" s="5" t="s">
        <v>31</v>
      </c>
      <c r="F5446" s="9">
        <v>65</v>
      </c>
      <c r="G5446" s="9">
        <v>695</v>
      </c>
      <c r="H5446" s="5" t="s">
        <v>20</v>
      </c>
      <c r="I5446" s="5" t="s">
        <v>12463</v>
      </c>
      <c r="J5446" s="12" t="str">
        <f>HYPERLINK("https://www.boe.es/gazeta/dias/1805/08/13/pdfs/GMD-1805-65.pdf#page=7","Abrir facsímil")</f>
        <v>Abrir facsímil</v>
      </c>
      <c r="K5446" s="15" t="s">
        <v>22</v>
      </c>
    </row>
    <row r="5447" spans="1:11" ht="42" customHeight="1">
      <c r="A5447" s="4" t="s">
        <v>12464</v>
      </c>
      <c r="B5447" s="5" t="s">
        <v>12464</v>
      </c>
      <c r="C5447" s="5" t="s">
        <v>17</v>
      </c>
      <c r="D5447" s="5" t="s">
        <v>18</v>
      </c>
      <c r="E5447" s="5" t="s">
        <v>37</v>
      </c>
      <c r="F5447" s="9">
        <v>54</v>
      </c>
      <c r="G5447" s="9">
        <v>577</v>
      </c>
      <c r="H5447" s="5" t="s">
        <v>20</v>
      </c>
      <c r="I5447" s="5" t="s">
        <v>12465</v>
      </c>
      <c r="J5447" s="12" t="str">
        <f>HYPERLINK("https://www.boe.es/gazeta/dias/1805/07/05/pdfs/GMD-1805-54.pdf#page=5","Abrir facsímil")</f>
        <v>Abrir facsímil</v>
      </c>
      <c r="K5447" s="15" t="s">
        <v>22</v>
      </c>
    </row>
    <row r="5448" spans="1:11" ht="42" customHeight="1">
      <c r="A5448" s="4" t="s">
        <v>12466</v>
      </c>
      <c r="B5448" s="5" t="s">
        <v>12466</v>
      </c>
      <c r="C5448" s="5" t="s">
        <v>80</v>
      </c>
      <c r="D5448" s="5" t="s">
        <v>81</v>
      </c>
      <c r="E5448" s="5" t="s">
        <v>226</v>
      </c>
      <c r="F5448" s="9">
        <v>73</v>
      </c>
      <c r="G5448" s="9">
        <v>771</v>
      </c>
      <c r="H5448" s="5" t="s">
        <v>20</v>
      </c>
      <c r="I5448" s="5" t="s">
        <v>12467</v>
      </c>
      <c r="J5448" s="12" t="str">
        <f>HYPERLINK("https://www.boe.es/gazeta/dias/1805/09/10/pdfs/GMD-1805-73.pdf#page=3","Abrir facsímil")</f>
        <v>Abrir facsímil</v>
      </c>
      <c r="K5448" s="15" t="s">
        <v>22</v>
      </c>
    </row>
    <row r="5449" spans="1:11" ht="42" customHeight="1">
      <c r="A5449" s="4" t="s">
        <v>12468</v>
      </c>
      <c r="B5449" s="5" t="s">
        <v>12469</v>
      </c>
      <c r="C5449" s="5" t="s">
        <v>52</v>
      </c>
      <c r="D5449" s="5" t="s">
        <v>53</v>
      </c>
      <c r="E5449" s="5" t="s">
        <v>82</v>
      </c>
      <c r="F5449" s="9">
        <v>25</v>
      </c>
      <c r="G5449" s="9" t="s">
        <v>145</v>
      </c>
      <c r="H5449" s="5" t="s">
        <v>20</v>
      </c>
      <c r="I5449" s="5" t="s">
        <v>12470</v>
      </c>
      <c r="J5449" s="12" t="str">
        <f>HYPERLINK("https://www.boe.es/gazeta/dias/1805/03/26/pdfs/GMD-C-1805-25.pdf#page=2","Abrir facsímil")</f>
        <v>Abrir facsímil</v>
      </c>
      <c r="K5449" s="15" t="s">
        <v>22</v>
      </c>
    </row>
    <row r="5450" spans="1:11" ht="42" customHeight="1">
      <c r="A5450" s="4" t="s">
        <v>12471</v>
      </c>
      <c r="B5450" s="5" t="s">
        <v>12472</v>
      </c>
      <c r="C5450" s="5" t="s">
        <v>17</v>
      </c>
      <c r="D5450" s="5" t="s">
        <v>18</v>
      </c>
      <c r="E5450" s="5" t="s">
        <v>63</v>
      </c>
      <c r="F5450" s="9">
        <v>101</v>
      </c>
      <c r="G5450" s="9">
        <v>1093</v>
      </c>
      <c r="H5450" s="5" t="s">
        <v>20</v>
      </c>
      <c r="I5450" s="5" t="s">
        <v>12473</v>
      </c>
      <c r="J5450" s="12" t="str">
        <f>HYPERLINK("https://www.boe.es/gazeta/dias/1805/12/17/pdfs/GMD-1805-101.pdf#page=9","Abrir facsímil")</f>
        <v>Abrir facsímil</v>
      </c>
      <c r="K5450" s="15" t="s">
        <v>22</v>
      </c>
    </row>
    <row r="5451" spans="1:11" ht="42" customHeight="1">
      <c r="A5451" s="4" t="s">
        <v>12474</v>
      </c>
      <c r="B5451" s="5" t="s">
        <v>12475</v>
      </c>
      <c r="C5451" s="5" t="s">
        <v>17</v>
      </c>
      <c r="D5451" s="5" t="s">
        <v>18</v>
      </c>
      <c r="E5451" s="5" t="s">
        <v>669</v>
      </c>
      <c r="F5451" s="9">
        <v>84</v>
      </c>
      <c r="G5451" s="9">
        <v>890</v>
      </c>
      <c r="H5451" s="5" t="s">
        <v>20</v>
      </c>
      <c r="I5451" s="5" t="s">
        <v>12476</v>
      </c>
      <c r="J5451" s="12" t="str">
        <f>HYPERLINK("https://www.boe.es/gazeta/dias/1805/10/18/pdfs/GMD-1805-84.pdf#page=6","Abrir facsímil")</f>
        <v>Abrir facsímil</v>
      </c>
      <c r="K5451" s="15" t="s">
        <v>22</v>
      </c>
    </row>
    <row r="5452" spans="1:11" ht="42" customHeight="1">
      <c r="A5452" s="4" t="s">
        <v>12477</v>
      </c>
      <c r="B5452" s="5" t="s">
        <v>12478</v>
      </c>
      <c r="C5452" s="5" t="s">
        <v>35</v>
      </c>
      <c r="D5452" s="5" t="s">
        <v>36</v>
      </c>
      <c r="E5452" s="5" t="s">
        <v>44</v>
      </c>
      <c r="F5452" s="9">
        <v>29</v>
      </c>
      <c r="G5452" s="9">
        <v>312</v>
      </c>
      <c r="H5452" s="5" t="s">
        <v>20</v>
      </c>
      <c r="I5452" s="5" t="s">
        <v>12479</v>
      </c>
      <c r="J5452" s="12" t="str">
        <f>HYPERLINK("https://www.boe.es/gazeta/dias/1805/04/09/pdfs/GMD-1805-29.pdf#page=8","Abrir facsímil")</f>
        <v>Abrir facsímil</v>
      </c>
      <c r="K5452" s="15" t="s">
        <v>22</v>
      </c>
    </row>
    <row r="5453" spans="1:11" ht="42" customHeight="1">
      <c r="A5453" s="4" t="s">
        <v>12480</v>
      </c>
      <c r="B5453" s="5" t="s">
        <v>12481</v>
      </c>
      <c r="C5453" s="5" t="s">
        <v>29</v>
      </c>
      <c r="D5453" s="5" t="s">
        <v>30</v>
      </c>
      <c r="E5453" s="5" t="s">
        <v>95</v>
      </c>
      <c r="F5453" s="9">
        <v>13</v>
      </c>
      <c r="G5453" s="9">
        <v>139</v>
      </c>
      <c r="H5453" s="5" t="s">
        <v>20</v>
      </c>
      <c r="I5453" s="5" t="s">
        <v>12482</v>
      </c>
      <c r="J5453" s="12" t="str">
        <f>HYPERLINK("https://www.boe.es/gazeta/dias/1805/02/12/pdfs/GMD-1805-13.pdf#page=7","Abrir facsímil")</f>
        <v>Abrir facsímil</v>
      </c>
      <c r="K5453" s="15" t="s">
        <v>22</v>
      </c>
    </row>
    <row r="5454" spans="1:11" ht="42" customHeight="1">
      <c r="A5454" s="4" t="s">
        <v>12483</v>
      </c>
      <c r="B5454" s="5" t="s">
        <v>12484</v>
      </c>
      <c r="C5454" s="5" t="s">
        <v>35</v>
      </c>
      <c r="D5454" s="5" t="s">
        <v>36</v>
      </c>
      <c r="E5454" s="5" t="s">
        <v>209</v>
      </c>
      <c r="F5454" s="9">
        <v>89</v>
      </c>
      <c r="G5454" s="9">
        <v>956</v>
      </c>
      <c r="H5454" s="5" t="s">
        <v>20</v>
      </c>
      <c r="I5454" s="5" t="s">
        <v>12485</v>
      </c>
      <c r="J5454" s="12" t="str">
        <f>HYPERLINK("https://www.boe.es/gazeta/dias/1805/11/05/pdfs/GMD-1805-89.pdf#page=16","Abrir facsímil")</f>
        <v>Abrir facsímil</v>
      </c>
      <c r="K5454" s="15" t="s">
        <v>22</v>
      </c>
    </row>
    <row r="5455" spans="1:11" ht="42" customHeight="1">
      <c r="A5455" s="4" t="s">
        <v>12486</v>
      </c>
      <c r="B5455" s="5" t="s">
        <v>12487</v>
      </c>
      <c r="C5455" s="5" t="s">
        <v>17</v>
      </c>
      <c r="D5455" s="5" t="s">
        <v>18</v>
      </c>
      <c r="E5455" s="5" t="s">
        <v>539</v>
      </c>
      <c r="F5455" s="9">
        <v>97</v>
      </c>
      <c r="G5455" s="9">
        <v>1043</v>
      </c>
      <c r="H5455" s="5" t="s">
        <v>20</v>
      </c>
      <c r="I5455" s="5" t="s">
        <v>12488</v>
      </c>
      <c r="J5455" s="12" t="str">
        <f>HYPERLINK("https://www.boe.es/gazeta/dias/1805/12/03/pdfs/GMD-1805-97.pdf#page=7","Abrir facsímil")</f>
        <v>Abrir facsímil</v>
      </c>
      <c r="K5455" s="15" t="s">
        <v>22</v>
      </c>
    </row>
    <row r="5456" spans="1:11" ht="42" customHeight="1">
      <c r="A5456" s="4" t="s">
        <v>12489</v>
      </c>
      <c r="B5456" s="5" t="s">
        <v>12490</v>
      </c>
      <c r="C5456" s="5" t="s">
        <v>35</v>
      </c>
      <c r="D5456" s="5" t="s">
        <v>36</v>
      </c>
      <c r="E5456" s="5" t="s">
        <v>261</v>
      </c>
      <c r="F5456" s="9">
        <v>18</v>
      </c>
      <c r="G5456" s="9">
        <v>186</v>
      </c>
      <c r="H5456" s="5" t="s">
        <v>20</v>
      </c>
      <c r="I5456" s="5" t="s">
        <v>12491</v>
      </c>
      <c r="J5456" s="12" t="str">
        <f>HYPERLINK("https://www.boe.es/gazeta/dias/1805/03/01/pdfs/GMD-1805-18.pdf#page=6","Abrir facsímil")</f>
        <v>Abrir facsímil</v>
      </c>
      <c r="K5456" s="15" t="s">
        <v>22</v>
      </c>
    </row>
    <row r="5457" spans="1:11" ht="42" customHeight="1">
      <c r="A5457" s="4" t="s">
        <v>12492</v>
      </c>
      <c r="B5457" s="5" t="s">
        <v>12493</v>
      </c>
      <c r="C5457" s="5" t="s">
        <v>17</v>
      </c>
      <c r="D5457" s="5" t="s">
        <v>18</v>
      </c>
      <c r="E5457" s="5" t="s">
        <v>120</v>
      </c>
      <c r="F5457" s="9">
        <v>24</v>
      </c>
      <c r="G5457" s="9">
        <v>258</v>
      </c>
      <c r="H5457" s="5" t="s">
        <v>20</v>
      </c>
      <c r="I5457" s="5" t="s">
        <v>12494</v>
      </c>
      <c r="J5457" s="12" t="str">
        <f>HYPERLINK("https://www.boe.es/gazeta/dias/1805/03/22/pdfs/GMD-1805-24.pdf#page=10","Abrir facsímil")</f>
        <v>Abrir facsímil</v>
      </c>
      <c r="K5457" s="15" t="s">
        <v>22</v>
      </c>
    </row>
    <row r="5458" spans="1:11" ht="42" customHeight="1">
      <c r="A5458" s="4" t="s">
        <v>12492</v>
      </c>
      <c r="B5458" s="5" t="s">
        <v>12493</v>
      </c>
      <c r="C5458" s="5" t="s">
        <v>17</v>
      </c>
      <c r="D5458" s="5" t="s">
        <v>18</v>
      </c>
      <c r="E5458" s="5" t="s">
        <v>958</v>
      </c>
      <c r="F5458" s="9">
        <v>58</v>
      </c>
      <c r="G5458" s="9">
        <v>621</v>
      </c>
      <c r="H5458" s="5" t="s">
        <v>20</v>
      </c>
      <c r="I5458" s="5" t="s">
        <v>12495</v>
      </c>
      <c r="J5458" s="12" t="str">
        <f>HYPERLINK("https://www.boe.es/gazeta/dias/1805/07/19/pdfs/GMD-1805-58.pdf#page=5","Abrir facsímil")</f>
        <v>Abrir facsímil</v>
      </c>
      <c r="K5458" s="15" t="s">
        <v>22</v>
      </c>
    </row>
    <row r="5459" spans="1:11" ht="42" customHeight="1">
      <c r="A5459" s="4" t="s">
        <v>12496</v>
      </c>
      <c r="B5459" s="5" t="s">
        <v>12497</v>
      </c>
      <c r="C5459" s="5" t="s">
        <v>35</v>
      </c>
      <c r="D5459" s="5" t="s">
        <v>36</v>
      </c>
      <c r="E5459" s="5" t="s">
        <v>144</v>
      </c>
      <c r="F5459" s="9">
        <v>85</v>
      </c>
      <c r="G5459" s="9">
        <v>902</v>
      </c>
      <c r="H5459" s="5" t="s">
        <v>20</v>
      </c>
      <c r="I5459" s="5" t="s">
        <v>12498</v>
      </c>
      <c r="J5459" s="12" t="str">
        <f>HYPERLINK("https://www.boe.es/gazeta/dias/1805/10/22/pdfs/GMD-1805-85.pdf#page=10","Abrir facsímil")</f>
        <v>Abrir facsímil</v>
      </c>
      <c r="K5459" s="15" t="s">
        <v>22</v>
      </c>
    </row>
    <row r="5460" spans="1:11" ht="42" customHeight="1">
      <c r="A5460" s="4" t="s">
        <v>12499</v>
      </c>
      <c r="B5460" s="5" t="s">
        <v>12500</v>
      </c>
      <c r="C5460" s="5" t="s">
        <v>35</v>
      </c>
      <c r="D5460" s="5" t="s">
        <v>36</v>
      </c>
      <c r="E5460" s="5" t="s">
        <v>91</v>
      </c>
      <c r="F5460" s="9">
        <v>28</v>
      </c>
      <c r="G5460" s="9">
        <v>300</v>
      </c>
      <c r="H5460" s="5" t="s">
        <v>20</v>
      </c>
      <c r="I5460" s="5" t="s">
        <v>12501</v>
      </c>
      <c r="J5460" s="12" t="str">
        <f>HYPERLINK("https://www.boe.es/gazeta/dias/1805/04/05/pdfs/GMD-1805-28.pdf#page=8","Abrir facsímil")</f>
        <v>Abrir facsímil</v>
      </c>
      <c r="K5460" s="15" t="s">
        <v>22</v>
      </c>
    </row>
    <row r="5461" spans="1:11" ht="42" customHeight="1">
      <c r="A5461" s="4" t="s">
        <v>12502</v>
      </c>
      <c r="B5461" s="5" t="s">
        <v>12503</v>
      </c>
      <c r="C5461" s="5" t="s">
        <v>85</v>
      </c>
      <c r="D5461" s="5" t="s">
        <v>86</v>
      </c>
      <c r="E5461" s="5" t="s">
        <v>188</v>
      </c>
      <c r="F5461" s="9">
        <v>68</v>
      </c>
      <c r="G5461" s="9">
        <v>728</v>
      </c>
      <c r="H5461" s="5" t="s">
        <v>20</v>
      </c>
      <c r="I5461" s="5" t="s">
        <v>12504</v>
      </c>
      <c r="J5461" s="12" t="str">
        <f>HYPERLINK("https://www.boe.es/gazeta/dias/1805/08/23/pdfs/GMD-1805-68.pdf#page=8","Abrir facsímil")</f>
        <v>Abrir facsímil</v>
      </c>
      <c r="K5461" s="15" t="s">
        <v>22</v>
      </c>
    </row>
    <row r="5462" spans="1:11" ht="42" customHeight="1">
      <c r="A5462" s="4" t="s">
        <v>12505</v>
      </c>
      <c r="B5462" s="5" t="s">
        <v>12506</v>
      </c>
      <c r="C5462" s="5" t="s">
        <v>80</v>
      </c>
      <c r="D5462" s="5" t="s">
        <v>81</v>
      </c>
      <c r="E5462" s="5" t="s">
        <v>132</v>
      </c>
      <c r="F5462" s="9">
        <v>2</v>
      </c>
      <c r="G5462" s="9">
        <v>15</v>
      </c>
      <c r="H5462" s="5" t="s">
        <v>20</v>
      </c>
      <c r="I5462" s="5" t="s">
        <v>12507</v>
      </c>
      <c r="J5462" s="12" t="str">
        <f>HYPERLINK("https://www.boe.es/gazeta/dias/1805/01/04/pdfs/GMD-1805-2.pdf#page=3","Abrir facsímil")</f>
        <v>Abrir facsímil</v>
      </c>
      <c r="K5462" s="15" t="s">
        <v>22</v>
      </c>
    </row>
    <row r="5463" spans="1:11" ht="42" customHeight="1">
      <c r="A5463" s="4" t="s">
        <v>12508</v>
      </c>
      <c r="B5463" s="5" t="s">
        <v>12509</v>
      </c>
      <c r="C5463" s="5" t="s">
        <v>35</v>
      </c>
      <c r="D5463" s="5" t="s">
        <v>36</v>
      </c>
      <c r="E5463" s="5" t="s">
        <v>215</v>
      </c>
      <c r="F5463" s="9">
        <v>87</v>
      </c>
      <c r="G5463" s="9">
        <v>918</v>
      </c>
      <c r="H5463" s="5" t="s">
        <v>20</v>
      </c>
      <c r="I5463" s="5" t="s">
        <v>12510</v>
      </c>
      <c r="J5463" s="12" t="str">
        <f>HYPERLINK("https://www.boe.es/gazeta/dias/1805/10/29/pdfs/GMD-1805-87.pdf#page=2","Abrir facsímil")</f>
        <v>Abrir facsímil</v>
      </c>
      <c r="K5463" s="15" t="s">
        <v>22</v>
      </c>
    </row>
    <row r="5464" spans="1:11" ht="42" customHeight="1">
      <c r="A5464" s="4" t="s">
        <v>12511</v>
      </c>
      <c r="B5464" s="5" t="s">
        <v>12512</v>
      </c>
      <c r="C5464" s="5" t="s">
        <v>35</v>
      </c>
      <c r="D5464" s="5" t="s">
        <v>36</v>
      </c>
      <c r="E5464" s="5" t="s">
        <v>138</v>
      </c>
      <c r="F5464" s="9">
        <v>102</v>
      </c>
      <c r="G5464" s="9">
        <v>1103</v>
      </c>
      <c r="H5464" s="5" t="s">
        <v>20</v>
      </c>
      <c r="I5464" s="5" t="s">
        <v>12513</v>
      </c>
      <c r="J5464" s="12" t="str">
        <f>HYPERLINK("https://www.boe.es/gazeta/dias/1805/12/20/pdfs/GMD-1805-102.pdf#page=7","Abrir facsímil")</f>
        <v>Abrir facsímil</v>
      </c>
      <c r="K5464" s="15" t="s">
        <v>22</v>
      </c>
    </row>
    <row r="5465" spans="1:11" ht="42" customHeight="1">
      <c r="A5465" s="4" t="s">
        <v>12514</v>
      </c>
      <c r="B5465" s="5" t="s">
        <v>12515</v>
      </c>
      <c r="C5465" s="5" t="s">
        <v>35</v>
      </c>
      <c r="D5465" s="5" t="s">
        <v>36</v>
      </c>
      <c r="E5465" s="5" t="s">
        <v>1471</v>
      </c>
      <c r="F5465" s="9">
        <v>34</v>
      </c>
      <c r="G5465" s="9">
        <v>361</v>
      </c>
      <c r="H5465" s="5" t="s">
        <v>20</v>
      </c>
      <c r="I5465" s="5" t="s">
        <v>12516</v>
      </c>
      <c r="J5465" s="12" t="str">
        <f>HYPERLINK("https://www.boe.es/gazeta/dias/1805/04/26/pdfs/GMD-1805-34.pdf#page=5","Abrir facsímil")</f>
        <v>Abrir facsímil</v>
      </c>
      <c r="K5465" s="15" t="s">
        <v>22</v>
      </c>
    </row>
    <row r="5466" spans="1:11" ht="42" customHeight="1">
      <c r="A5466" s="4" t="s">
        <v>12517</v>
      </c>
      <c r="B5466" s="5" t="s">
        <v>12517</v>
      </c>
      <c r="C5466" s="5" t="s">
        <v>35</v>
      </c>
      <c r="D5466" s="5" t="s">
        <v>36</v>
      </c>
      <c r="E5466" s="5" t="s">
        <v>215</v>
      </c>
      <c r="F5466" s="9">
        <v>87</v>
      </c>
      <c r="G5466" s="9">
        <v>917</v>
      </c>
      <c r="H5466" s="5" t="s">
        <v>20</v>
      </c>
      <c r="I5466" s="5" t="s">
        <v>12518</v>
      </c>
      <c r="J5466" s="12" t="str">
        <f>HYPERLINK("https://www.boe.es/gazeta/dias/1805/10/29/pdfs/GMD-1805-87.pdf#page=1","Abrir facsímil")</f>
        <v>Abrir facsímil</v>
      </c>
      <c r="K5466" s="15" t="s">
        <v>22</v>
      </c>
    </row>
    <row r="5467" spans="1:11" ht="42" customHeight="1">
      <c r="A5467" s="4" t="s">
        <v>12519</v>
      </c>
      <c r="B5467" s="5" t="s">
        <v>12519</v>
      </c>
      <c r="C5467" s="5" t="s">
        <v>35</v>
      </c>
      <c r="D5467" s="5" t="s">
        <v>36</v>
      </c>
      <c r="E5467" s="5" t="s">
        <v>63</v>
      </c>
      <c r="F5467" s="9">
        <v>101</v>
      </c>
      <c r="G5467" s="9">
        <v>1092</v>
      </c>
      <c r="H5467" s="5" t="s">
        <v>20</v>
      </c>
      <c r="I5467" s="5" t="s">
        <v>12520</v>
      </c>
      <c r="J5467" s="12" t="str">
        <f>HYPERLINK("https://www.boe.es/gazeta/dias/1805/12/17/pdfs/GMD-1805-101.pdf#page=8","Abrir facsímil")</f>
        <v>Abrir facsímil</v>
      </c>
      <c r="K5467" s="15" t="s">
        <v>22</v>
      </c>
    </row>
    <row r="5468" spans="1:11" ht="42" customHeight="1">
      <c r="A5468" s="4" t="s">
        <v>12521</v>
      </c>
      <c r="B5468" s="5" t="s">
        <v>12521</v>
      </c>
      <c r="C5468" s="5" t="s">
        <v>184</v>
      </c>
      <c r="D5468" s="5" t="s">
        <v>86</v>
      </c>
      <c r="E5468" s="5" t="s">
        <v>76</v>
      </c>
      <c r="F5468" s="9">
        <v>66</v>
      </c>
      <c r="G5468" s="9">
        <v>710</v>
      </c>
      <c r="H5468" s="5" t="s">
        <v>20</v>
      </c>
      <c r="I5468" s="5" t="s">
        <v>12522</v>
      </c>
      <c r="J5468" s="12" t="str">
        <f>HYPERLINK("https://www.boe.es/gazeta/dias/1805/08/16/pdfs/GMD-1805-66.pdf#page=10","Abrir facsímil")</f>
        <v>Abrir facsímil</v>
      </c>
      <c r="K5468" s="15" t="s">
        <v>22</v>
      </c>
    </row>
    <row r="5469" spans="1:11" ht="42" customHeight="1">
      <c r="A5469" s="4" t="s">
        <v>12523</v>
      </c>
      <c r="B5469" s="5" t="s">
        <v>12524</v>
      </c>
      <c r="C5469" s="5" t="s">
        <v>17</v>
      </c>
      <c r="D5469" s="5" t="s">
        <v>18</v>
      </c>
      <c r="E5469" s="5" t="s">
        <v>135</v>
      </c>
      <c r="F5469" s="9">
        <v>71</v>
      </c>
      <c r="G5469" s="9">
        <v>757</v>
      </c>
      <c r="H5469" s="5" t="s">
        <v>20</v>
      </c>
      <c r="I5469" s="5" t="s">
        <v>12525</v>
      </c>
      <c r="J5469" s="12" t="str">
        <f>HYPERLINK("https://www.boe.es/gazeta/dias/1805/09/03/pdfs/GMD-1805-71.pdf#page=9","Abrir facsímil")</f>
        <v>Abrir facsímil</v>
      </c>
      <c r="K5469" s="15" t="s">
        <v>22</v>
      </c>
    </row>
    <row r="5470" spans="1:11" ht="42" customHeight="1">
      <c r="A5470" s="4" t="s">
        <v>12526</v>
      </c>
      <c r="B5470" s="5" t="s">
        <v>12527</v>
      </c>
      <c r="C5470" s="5" t="s">
        <v>35</v>
      </c>
      <c r="D5470" s="5" t="s">
        <v>36</v>
      </c>
      <c r="E5470" s="5" t="s">
        <v>1445</v>
      </c>
      <c r="F5470" s="9">
        <v>6</v>
      </c>
      <c r="G5470" s="9">
        <v>66</v>
      </c>
      <c r="H5470" s="5" t="s">
        <v>20</v>
      </c>
      <c r="I5470" s="5" t="s">
        <v>12528</v>
      </c>
      <c r="J5470" s="12" t="str">
        <f>HYPERLINK("https://www.boe.es/gazeta/dias/1805/01/18/pdfs/GMD-1805-6.pdf#page=10","Abrir facsímil")</f>
        <v>Abrir facsímil</v>
      </c>
      <c r="K5470" s="15" t="s">
        <v>22</v>
      </c>
    </row>
    <row r="5471" spans="1:11" ht="42" customHeight="1">
      <c r="A5471" s="4" t="s">
        <v>12529</v>
      </c>
      <c r="B5471" s="5" t="s">
        <v>12530</v>
      </c>
      <c r="C5471" s="5" t="s">
        <v>17</v>
      </c>
      <c r="D5471" s="5" t="s">
        <v>18</v>
      </c>
      <c r="E5471" s="5" t="s">
        <v>91</v>
      </c>
      <c r="F5471" s="9">
        <v>28</v>
      </c>
      <c r="G5471" s="9">
        <v>303</v>
      </c>
      <c r="H5471" s="5" t="s">
        <v>20</v>
      </c>
      <c r="I5471" s="5" t="s">
        <v>12531</v>
      </c>
      <c r="J5471" s="12" t="str">
        <f>HYPERLINK("https://www.boe.es/gazeta/dias/1805/04/05/pdfs/GMD-1805-28.pdf#page=11","Abrir facsímil")</f>
        <v>Abrir facsímil</v>
      </c>
      <c r="K5471" s="15" t="s">
        <v>22</v>
      </c>
    </row>
    <row r="5472" spans="1:11" ht="42" customHeight="1">
      <c r="A5472" s="4" t="s">
        <v>12532</v>
      </c>
      <c r="B5472" s="5" t="s">
        <v>12533</v>
      </c>
      <c r="C5472" s="5" t="s">
        <v>35</v>
      </c>
      <c r="D5472" s="5" t="s">
        <v>36</v>
      </c>
      <c r="E5472" s="5" t="s">
        <v>456</v>
      </c>
      <c r="F5472" s="9">
        <v>70</v>
      </c>
      <c r="G5472" s="9">
        <v>746</v>
      </c>
      <c r="H5472" s="5" t="s">
        <v>20</v>
      </c>
      <c r="I5472" s="5" t="s">
        <v>12534</v>
      </c>
      <c r="J5472" s="12" t="str">
        <f>HYPERLINK("https://www.boe.es/gazeta/dias/1805/08/30/pdfs/GMD-1805-70.pdf#page=6","Abrir facsímil")</f>
        <v>Abrir facsímil</v>
      </c>
      <c r="K5472" s="15" t="s">
        <v>22</v>
      </c>
    </row>
    <row r="5473" spans="1:11" ht="42" customHeight="1">
      <c r="A5473" s="4" t="s">
        <v>12535</v>
      </c>
      <c r="B5473" s="5" t="s">
        <v>12536</v>
      </c>
      <c r="C5473" s="5" t="s">
        <v>35</v>
      </c>
      <c r="D5473" s="5" t="s">
        <v>36</v>
      </c>
      <c r="E5473" s="5" t="s">
        <v>91</v>
      </c>
      <c r="F5473" s="9">
        <v>28</v>
      </c>
      <c r="G5473" s="9">
        <v>299</v>
      </c>
      <c r="H5473" s="5" t="s">
        <v>20</v>
      </c>
      <c r="I5473" s="5" t="s">
        <v>12537</v>
      </c>
      <c r="J5473" s="12" t="str">
        <f>HYPERLINK("https://www.boe.es/gazeta/dias/1805/04/05/pdfs/GMD-1805-28.pdf#page=7","Abrir facsímil")</f>
        <v>Abrir facsímil</v>
      </c>
      <c r="K5473" s="15" t="s">
        <v>22</v>
      </c>
    </row>
    <row r="5474" spans="1:11" ht="42" customHeight="1">
      <c r="A5474" s="4" t="s">
        <v>12538</v>
      </c>
      <c r="B5474" s="5" t="s">
        <v>12539</v>
      </c>
      <c r="C5474" s="5" t="s">
        <v>85</v>
      </c>
      <c r="D5474" s="5" t="s">
        <v>86</v>
      </c>
      <c r="E5474" s="5" t="s">
        <v>335</v>
      </c>
      <c r="F5474" s="9">
        <v>79</v>
      </c>
      <c r="G5474" s="9">
        <v>838</v>
      </c>
      <c r="H5474" s="5" t="s">
        <v>20</v>
      </c>
      <c r="I5474" s="5" t="s">
        <v>12540</v>
      </c>
      <c r="J5474" s="12" t="str">
        <f>HYPERLINK("https://www.boe.es/gazeta/dias/1805/10/01/pdfs/GMD-1805-79.pdf#page=10","Abrir facsímil")</f>
        <v>Abrir facsímil</v>
      </c>
      <c r="K5474" s="15" t="s">
        <v>22</v>
      </c>
    </row>
    <row r="5475" spans="1:11" ht="42" customHeight="1">
      <c r="A5475" s="4" t="s">
        <v>12541</v>
      </c>
      <c r="B5475" s="5" t="s">
        <v>12542</v>
      </c>
      <c r="C5475" s="5" t="s">
        <v>35</v>
      </c>
      <c r="D5475" s="5" t="s">
        <v>36</v>
      </c>
      <c r="E5475" s="5" t="s">
        <v>192</v>
      </c>
      <c r="F5475" s="9">
        <v>105</v>
      </c>
      <c r="G5475" s="9">
        <v>1137</v>
      </c>
      <c r="H5475" s="5" t="s">
        <v>20</v>
      </c>
      <c r="I5475" s="5" t="s">
        <v>12543</v>
      </c>
      <c r="J5475" s="12" t="str">
        <f>HYPERLINK("https://www.boe.es/gazeta/dias/1805/12/31/pdfs/GMD-1805-105.pdf#page=9","Abrir facsímil")</f>
        <v>Abrir facsímil</v>
      </c>
      <c r="K5475" s="15" t="s">
        <v>22</v>
      </c>
    </row>
    <row r="5476" spans="1:11" ht="42" customHeight="1">
      <c r="A5476" s="4" t="s">
        <v>12544</v>
      </c>
      <c r="B5476" s="5" t="s">
        <v>12545</v>
      </c>
      <c r="C5476" s="5" t="s">
        <v>17</v>
      </c>
      <c r="D5476" s="5" t="s">
        <v>18</v>
      </c>
      <c r="E5476" s="5" t="s">
        <v>48</v>
      </c>
      <c r="F5476" s="9">
        <v>35</v>
      </c>
      <c r="G5476" s="9">
        <v>379</v>
      </c>
      <c r="H5476" s="5" t="s">
        <v>20</v>
      </c>
      <c r="I5476" s="5" t="s">
        <v>12546</v>
      </c>
      <c r="J5476" s="12" t="str">
        <f>HYPERLINK("https://www.boe.es/gazeta/dias/1805/04/30/pdfs/GMD-1805-35.pdf#page=11","Abrir facsímil")</f>
        <v>Abrir facsímil</v>
      </c>
      <c r="K5476" s="15" t="s">
        <v>22</v>
      </c>
    </row>
    <row r="5477" spans="1:11" ht="42" customHeight="1">
      <c r="A5477" s="4" t="s">
        <v>12547</v>
      </c>
      <c r="B5477" s="5" t="s">
        <v>12548</v>
      </c>
      <c r="C5477" s="5" t="s">
        <v>184</v>
      </c>
      <c r="D5477" s="5" t="s">
        <v>86</v>
      </c>
      <c r="E5477" s="5" t="s">
        <v>1471</v>
      </c>
      <c r="F5477" s="9">
        <v>34</v>
      </c>
      <c r="G5477" s="9">
        <v>363</v>
      </c>
      <c r="H5477" s="5" t="s">
        <v>20</v>
      </c>
      <c r="I5477" s="5" t="s">
        <v>12549</v>
      </c>
      <c r="J5477" s="12" t="str">
        <f>HYPERLINK("https://www.boe.es/gazeta/dias/1805/04/26/pdfs/GMD-1805-34.pdf#page=7","Abrir facsímil")</f>
        <v>Abrir facsímil</v>
      </c>
      <c r="K5477" s="15" t="s">
        <v>22</v>
      </c>
    </row>
    <row r="5478" spans="1:11" ht="42" customHeight="1">
      <c r="A5478" s="4" t="s">
        <v>12547</v>
      </c>
      <c r="B5478" s="5" t="s">
        <v>12548</v>
      </c>
      <c r="C5478" s="5" t="s">
        <v>184</v>
      </c>
      <c r="D5478" s="5" t="s">
        <v>86</v>
      </c>
      <c r="E5478" s="5" t="s">
        <v>904</v>
      </c>
      <c r="F5478" s="9">
        <v>47</v>
      </c>
      <c r="G5478" s="9">
        <v>510</v>
      </c>
      <c r="H5478" s="5" t="s">
        <v>20</v>
      </c>
      <c r="I5478" s="5" t="s">
        <v>12550</v>
      </c>
      <c r="J5478" s="12" t="str">
        <f>HYPERLINK("https://www.boe.es/gazeta/dias/1805/06/11/pdfs/GMD-1805-47.pdf#page=10","Abrir facsímil")</f>
        <v>Abrir facsímil</v>
      </c>
      <c r="K5478" s="15" t="s">
        <v>22</v>
      </c>
    </row>
    <row r="5479" spans="1:11" ht="42" customHeight="1">
      <c r="A5479" s="4" t="s">
        <v>12551</v>
      </c>
      <c r="B5479" s="5" t="s">
        <v>12552</v>
      </c>
      <c r="C5479" s="5" t="s">
        <v>35</v>
      </c>
      <c r="D5479" s="5" t="s">
        <v>36</v>
      </c>
      <c r="E5479" s="5" t="s">
        <v>649</v>
      </c>
      <c r="F5479" s="9">
        <v>7</v>
      </c>
      <c r="G5479" s="9">
        <v>74</v>
      </c>
      <c r="H5479" s="5" t="s">
        <v>20</v>
      </c>
      <c r="I5479" s="5" t="s">
        <v>12553</v>
      </c>
      <c r="J5479" s="12" t="str">
        <f>HYPERLINK("https://www.boe.es/gazeta/dias/1805/01/22/pdfs/GMD-1805-7.pdf#page=6","Abrir facsímil")</f>
        <v>Abrir facsímil</v>
      </c>
      <c r="K5479" s="15" t="s">
        <v>22</v>
      </c>
    </row>
    <row r="5480" spans="1:11" ht="42" customHeight="1">
      <c r="A5480" s="4" t="s">
        <v>12554</v>
      </c>
      <c r="B5480" s="5" t="s">
        <v>12555</v>
      </c>
      <c r="C5480" s="5" t="s">
        <v>17</v>
      </c>
      <c r="D5480" s="5" t="s">
        <v>18</v>
      </c>
      <c r="E5480" s="5" t="s">
        <v>1445</v>
      </c>
      <c r="F5480" s="9">
        <v>6</v>
      </c>
      <c r="G5480" s="9">
        <v>59</v>
      </c>
      <c r="H5480" s="5" t="s">
        <v>20</v>
      </c>
      <c r="I5480" s="5" t="s">
        <v>12556</v>
      </c>
      <c r="J5480" s="12" t="str">
        <f>HYPERLINK("https://www.boe.es/gazeta/dias/1805/01/18/pdfs/GMD-1805-6.pdf#page=3","Abrir facsímil")</f>
        <v>Abrir facsímil</v>
      </c>
      <c r="K5480" s="15" t="s">
        <v>22</v>
      </c>
    </row>
    <row r="5481" spans="1:11" ht="42" customHeight="1">
      <c r="A5481" s="4" t="s">
        <v>12554</v>
      </c>
      <c r="B5481" s="5" t="s">
        <v>12555</v>
      </c>
      <c r="C5481" s="5" t="s">
        <v>80</v>
      </c>
      <c r="D5481" s="5" t="s">
        <v>81</v>
      </c>
      <c r="E5481" s="5" t="s">
        <v>273</v>
      </c>
      <c r="F5481" s="9">
        <v>8</v>
      </c>
      <c r="G5481" s="9">
        <v>84</v>
      </c>
      <c r="H5481" s="5" t="s">
        <v>20</v>
      </c>
      <c r="I5481" s="5" t="s">
        <v>12557</v>
      </c>
      <c r="J5481" s="12" t="str">
        <f>HYPERLINK("https://www.boe.es/gazeta/dias/1805/01/25/pdfs/GMD-1805-8.pdf#page=4","Abrir facsímil")</f>
        <v>Abrir facsímil</v>
      </c>
      <c r="K5481" s="15" t="s">
        <v>22</v>
      </c>
    </row>
    <row r="5482" spans="1:11" ht="42" customHeight="1">
      <c r="A5482" s="4" t="s">
        <v>12558</v>
      </c>
      <c r="B5482" s="5" t="s">
        <v>12558</v>
      </c>
      <c r="C5482" s="5" t="s">
        <v>35</v>
      </c>
      <c r="D5482" s="5" t="s">
        <v>36</v>
      </c>
      <c r="E5482" s="5" t="s">
        <v>67</v>
      </c>
      <c r="F5482" s="9">
        <v>98</v>
      </c>
      <c r="G5482" s="9">
        <v>1059</v>
      </c>
      <c r="H5482" s="5" t="s">
        <v>20</v>
      </c>
      <c r="I5482" s="5" t="s">
        <v>12559</v>
      </c>
      <c r="J5482" s="12" t="str">
        <f>HYPERLINK("https://www.boe.es/gazeta/dias/1805/12/06/pdfs/GMD-1805-98.pdf#page=11","Abrir facsímil")</f>
        <v>Abrir facsímil</v>
      </c>
      <c r="K5482" s="15" t="s">
        <v>22</v>
      </c>
    </row>
    <row r="5483" spans="1:11" ht="42" customHeight="1">
      <c r="A5483" s="4" t="s">
        <v>12560</v>
      </c>
      <c r="B5483" s="5" t="s">
        <v>12561</v>
      </c>
      <c r="C5483" s="5" t="s">
        <v>80</v>
      </c>
      <c r="D5483" s="5" t="s">
        <v>81</v>
      </c>
      <c r="E5483" s="5" t="s">
        <v>48</v>
      </c>
      <c r="F5483" s="9">
        <v>35</v>
      </c>
      <c r="G5483" s="9">
        <v>374</v>
      </c>
      <c r="H5483" s="5" t="s">
        <v>20</v>
      </c>
      <c r="I5483" s="5" t="s">
        <v>12562</v>
      </c>
      <c r="J5483" s="12" t="str">
        <f>HYPERLINK("https://www.boe.es/gazeta/dias/1805/04/30/pdfs/GMD-1805-35.pdf#page=6","Abrir facsímil")</f>
        <v>Abrir facsímil</v>
      </c>
      <c r="K5483" s="15" t="s">
        <v>22</v>
      </c>
    </row>
    <row r="5484" spans="1:11" ht="42" customHeight="1">
      <c r="A5484" s="4" t="s">
        <v>12560</v>
      </c>
      <c r="B5484" s="5" t="s">
        <v>12561</v>
      </c>
      <c r="C5484" s="5" t="s">
        <v>80</v>
      </c>
      <c r="D5484" s="5" t="s">
        <v>81</v>
      </c>
      <c r="E5484" s="5" t="s">
        <v>27</v>
      </c>
      <c r="F5484" s="9">
        <v>37</v>
      </c>
      <c r="G5484" s="9">
        <v>399</v>
      </c>
      <c r="H5484" s="5" t="s">
        <v>20</v>
      </c>
      <c r="I5484" s="5" t="s">
        <v>12563</v>
      </c>
      <c r="J5484" s="12" t="str">
        <f>HYPERLINK("https://www.boe.es/gazeta/dias/1805/05/07/pdfs/GMD-1805-37.pdf#page=7","Abrir facsímil")</f>
        <v>Abrir facsímil</v>
      </c>
      <c r="K5484" s="15" t="s">
        <v>22</v>
      </c>
    </row>
    <row r="5485" spans="1:11" ht="42" customHeight="1">
      <c r="A5485" s="4" t="s">
        <v>12564</v>
      </c>
      <c r="B5485" s="5" t="s">
        <v>12565</v>
      </c>
      <c r="C5485" s="5" t="s">
        <v>80</v>
      </c>
      <c r="D5485" s="5" t="s">
        <v>81</v>
      </c>
      <c r="E5485" s="5" t="s">
        <v>215</v>
      </c>
      <c r="F5485" s="9">
        <v>87</v>
      </c>
      <c r="G5485" s="9">
        <v>919</v>
      </c>
      <c r="H5485" s="5" t="s">
        <v>20</v>
      </c>
      <c r="I5485" s="5" t="s">
        <v>12566</v>
      </c>
      <c r="J5485" s="12" t="str">
        <f>HYPERLINK("https://www.boe.es/gazeta/dias/1805/10/29/pdfs/GMD-1805-87.pdf#page=3","Abrir facsímil")</f>
        <v>Abrir facsímil</v>
      </c>
      <c r="K5485" s="15" t="s">
        <v>22</v>
      </c>
    </row>
    <row r="5486" spans="1:11" ht="42" customHeight="1">
      <c r="A5486" s="4" t="s">
        <v>12567</v>
      </c>
      <c r="B5486" s="5" t="s">
        <v>12568</v>
      </c>
      <c r="C5486" s="5" t="s">
        <v>35</v>
      </c>
      <c r="D5486" s="5" t="s">
        <v>36</v>
      </c>
      <c r="E5486" s="5" t="s">
        <v>138</v>
      </c>
      <c r="F5486" s="9">
        <v>102</v>
      </c>
      <c r="G5486" s="9">
        <v>1097</v>
      </c>
      <c r="H5486" s="5" t="s">
        <v>20</v>
      </c>
      <c r="I5486" s="5" t="s">
        <v>12569</v>
      </c>
      <c r="J5486" s="12" t="str">
        <f>HYPERLINK("https://www.boe.es/gazeta/dias/1805/12/20/pdfs/GMD-1805-102.pdf#page=1","Abrir facsímil")</f>
        <v>Abrir facsímil</v>
      </c>
      <c r="K5486" s="15" t="s">
        <v>22</v>
      </c>
    </row>
    <row r="5487" spans="1:11" ht="42" customHeight="1">
      <c r="A5487" s="4" t="s">
        <v>12570</v>
      </c>
      <c r="B5487" s="5" t="s">
        <v>12571</v>
      </c>
      <c r="C5487" s="5" t="s">
        <v>80</v>
      </c>
      <c r="D5487" s="5" t="s">
        <v>81</v>
      </c>
      <c r="E5487" s="5" t="s">
        <v>95</v>
      </c>
      <c r="F5487" s="9">
        <v>13</v>
      </c>
      <c r="G5487" s="9">
        <v>134</v>
      </c>
      <c r="H5487" s="5" t="s">
        <v>20</v>
      </c>
      <c r="I5487" s="5" t="s">
        <v>12572</v>
      </c>
      <c r="J5487" s="12" t="str">
        <f>HYPERLINK("https://www.boe.es/gazeta/dias/1805/02/12/pdfs/GMD-1805-13.pdf#page=2","Abrir facsímil")</f>
        <v>Abrir facsímil</v>
      </c>
      <c r="K5487" s="15" t="s">
        <v>22</v>
      </c>
    </row>
    <row r="5488" spans="1:11" ht="42" customHeight="1">
      <c r="A5488" s="4" t="s">
        <v>12573</v>
      </c>
      <c r="B5488" s="5" t="s">
        <v>12574</v>
      </c>
      <c r="C5488" s="5" t="s">
        <v>35</v>
      </c>
      <c r="D5488" s="5" t="s">
        <v>36</v>
      </c>
      <c r="E5488" s="5" t="s">
        <v>387</v>
      </c>
      <c r="F5488" s="9">
        <v>4</v>
      </c>
      <c r="G5488" s="9">
        <v>35</v>
      </c>
      <c r="H5488" s="5" t="s">
        <v>20</v>
      </c>
      <c r="I5488" s="5" t="s">
        <v>12575</v>
      </c>
      <c r="J5488" s="12" t="str">
        <f>HYPERLINK("https://www.boe.es/gazeta/dias/1805/01/11/pdfs/GMD-1805-4.pdf#page=3","Abrir facsímil")</f>
        <v>Abrir facsímil</v>
      </c>
      <c r="K5488" s="15" t="s">
        <v>22</v>
      </c>
    </row>
    <row r="5489" spans="1:11" ht="42" customHeight="1">
      <c r="A5489" s="4" t="s">
        <v>12576</v>
      </c>
      <c r="B5489" s="5" t="s">
        <v>12577</v>
      </c>
      <c r="C5489" s="5" t="s">
        <v>80</v>
      </c>
      <c r="D5489" s="5" t="s">
        <v>81</v>
      </c>
      <c r="E5489" s="5" t="s">
        <v>217</v>
      </c>
      <c r="F5489" s="9">
        <v>96</v>
      </c>
      <c r="G5489" s="9">
        <v>1027</v>
      </c>
      <c r="H5489" s="5" t="s">
        <v>20</v>
      </c>
      <c r="I5489" s="5" t="s">
        <v>12578</v>
      </c>
      <c r="J5489" s="12" t="str">
        <f>HYPERLINK("https://www.boe.es/gazeta/dias/1805/11/29/pdfs/GMD-1805-96.pdf#page=3","Abrir facsímil")</f>
        <v>Abrir facsímil</v>
      </c>
      <c r="K5489" s="15" t="s">
        <v>22</v>
      </c>
    </row>
    <row r="5490" spans="1:11" ht="42" customHeight="1">
      <c r="A5490" s="4" t="s">
        <v>12579</v>
      </c>
      <c r="B5490" s="5" t="s">
        <v>12580</v>
      </c>
      <c r="C5490" s="5" t="s">
        <v>35</v>
      </c>
      <c r="D5490" s="5" t="s">
        <v>36</v>
      </c>
      <c r="E5490" s="5" t="s">
        <v>192</v>
      </c>
      <c r="F5490" s="9">
        <v>105</v>
      </c>
      <c r="G5490" s="9">
        <v>1133</v>
      </c>
      <c r="H5490" s="5" t="s">
        <v>20</v>
      </c>
      <c r="I5490" s="5" t="s">
        <v>12581</v>
      </c>
      <c r="J5490" s="12" t="str">
        <f>HYPERLINK("https://www.boe.es/gazeta/dias/1805/12/31/pdfs/GMD-1805-105.pdf#page=5","Abrir facsímil")</f>
        <v>Abrir facsímil</v>
      </c>
      <c r="K5490" s="15" t="s">
        <v>22</v>
      </c>
    </row>
    <row r="5491" spans="1:11" ht="42" customHeight="1">
      <c r="A5491" s="4" t="s">
        <v>12582</v>
      </c>
      <c r="B5491" s="5" t="s">
        <v>12583</v>
      </c>
      <c r="C5491" s="5" t="s">
        <v>80</v>
      </c>
      <c r="D5491" s="5" t="s">
        <v>81</v>
      </c>
      <c r="E5491" s="5" t="s">
        <v>117</v>
      </c>
      <c r="F5491" s="9">
        <v>20</v>
      </c>
      <c r="G5491" s="9">
        <v>203</v>
      </c>
      <c r="H5491" s="5" t="s">
        <v>20</v>
      </c>
      <c r="I5491" s="5" t="s">
        <v>12584</v>
      </c>
      <c r="J5491" s="12" t="str">
        <f>HYPERLINK("https://www.boe.es/gazeta/dias/1805/03/08/pdfs/GMD-1805-20.pdf#page=3","Abrir facsímil")</f>
        <v>Abrir facsímil</v>
      </c>
      <c r="K5491" s="15" t="s">
        <v>22</v>
      </c>
    </row>
    <row r="5492" spans="1:11" ht="42" customHeight="1">
      <c r="A5492" s="4" t="s">
        <v>12585</v>
      </c>
      <c r="B5492" s="5" t="s">
        <v>12586</v>
      </c>
      <c r="C5492" s="5" t="s">
        <v>35</v>
      </c>
      <c r="D5492" s="5" t="s">
        <v>36</v>
      </c>
      <c r="E5492" s="5" t="s">
        <v>673</v>
      </c>
      <c r="F5492" s="9">
        <v>32</v>
      </c>
      <c r="G5492" s="9">
        <v>338</v>
      </c>
      <c r="H5492" s="5" t="s">
        <v>20</v>
      </c>
      <c r="I5492" s="5" t="s">
        <v>12587</v>
      </c>
      <c r="J5492" s="12" t="str">
        <f>HYPERLINK("https://www.boe.es/gazeta/dias/1805/04/19/pdfs/GMD-1805-32.pdf#page=2","Abrir facsímil")</f>
        <v>Abrir facsímil</v>
      </c>
      <c r="K5492" s="15" t="s">
        <v>22</v>
      </c>
    </row>
    <row r="5493" spans="1:11" ht="42" customHeight="1">
      <c r="A5493" s="4" t="s">
        <v>12588</v>
      </c>
      <c r="B5493" s="5" t="s">
        <v>12589</v>
      </c>
      <c r="C5493" s="5" t="s">
        <v>80</v>
      </c>
      <c r="D5493" s="5" t="s">
        <v>81</v>
      </c>
      <c r="E5493" s="5" t="s">
        <v>27</v>
      </c>
      <c r="F5493" s="9">
        <v>37</v>
      </c>
      <c r="G5493" s="9">
        <v>399</v>
      </c>
      <c r="H5493" s="5" t="s">
        <v>20</v>
      </c>
      <c r="I5493" s="5" t="s">
        <v>12590</v>
      </c>
      <c r="J5493" s="12" t="str">
        <f>HYPERLINK("https://www.boe.es/gazeta/dias/1805/05/07/pdfs/GMD-1805-37.pdf#page=7","Abrir facsímil")</f>
        <v>Abrir facsímil</v>
      </c>
      <c r="K5493" s="15" t="s">
        <v>22</v>
      </c>
    </row>
    <row r="5494" spans="1:11" ht="42" customHeight="1">
      <c r="A5494" s="4" t="s">
        <v>12591</v>
      </c>
      <c r="B5494" s="5" t="s">
        <v>12592</v>
      </c>
      <c r="C5494" s="5" t="s">
        <v>80</v>
      </c>
      <c r="D5494" s="5" t="s">
        <v>81</v>
      </c>
      <c r="E5494" s="5" t="s">
        <v>188</v>
      </c>
      <c r="F5494" s="9">
        <v>68</v>
      </c>
      <c r="G5494" s="9">
        <v>721</v>
      </c>
      <c r="H5494" s="5" t="s">
        <v>20</v>
      </c>
      <c r="I5494" s="5" t="s">
        <v>12593</v>
      </c>
      <c r="J5494" s="12" t="str">
        <f>HYPERLINK("https://www.boe.es/gazeta/dias/1805/08/23/pdfs/GMD-1805-68.pdf#page=1","Abrir facsímil")</f>
        <v>Abrir facsímil</v>
      </c>
      <c r="K5494" s="15" t="s">
        <v>22</v>
      </c>
    </row>
    <row r="5495" spans="1:11" ht="42" customHeight="1">
      <c r="A5495" s="4" t="s">
        <v>12591</v>
      </c>
      <c r="B5495" s="5" t="s">
        <v>12592</v>
      </c>
      <c r="C5495" s="5" t="s">
        <v>35</v>
      </c>
      <c r="D5495" s="5" t="s">
        <v>36</v>
      </c>
      <c r="E5495" s="5" t="s">
        <v>422</v>
      </c>
      <c r="F5495" s="9">
        <v>74</v>
      </c>
      <c r="G5495" s="9">
        <v>779</v>
      </c>
      <c r="H5495" s="5" t="s">
        <v>20</v>
      </c>
      <c r="I5495" s="5" t="s">
        <v>12594</v>
      </c>
      <c r="J5495" s="12" t="str">
        <f>HYPERLINK("https://www.boe.es/gazeta/dias/1805/09/13/pdfs/GMD-1805-74.pdf#page=3","Abrir facsímil")</f>
        <v>Abrir facsímil</v>
      </c>
      <c r="K5495" s="15" t="s">
        <v>22</v>
      </c>
    </row>
    <row r="5496" spans="1:11" ht="42" customHeight="1">
      <c r="A5496" s="4" t="s">
        <v>12591</v>
      </c>
      <c r="B5496" s="5" t="s">
        <v>12592</v>
      </c>
      <c r="C5496" s="5" t="s">
        <v>17</v>
      </c>
      <c r="D5496" s="5" t="s">
        <v>18</v>
      </c>
      <c r="E5496" s="5" t="s">
        <v>787</v>
      </c>
      <c r="F5496" s="9">
        <v>95</v>
      </c>
      <c r="G5496" s="9">
        <v>1019</v>
      </c>
      <c r="H5496" s="5" t="s">
        <v>20</v>
      </c>
      <c r="I5496" s="5" t="s">
        <v>12595</v>
      </c>
      <c r="J5496" s="12" t="str">
        <f>HYPERLINK("https://www.boe.es/gazeta/dias/1805/11/26/pdfs/GMD-1805-95.pdf#page=7","Abrir facsímil")</f>
        <v>Abrir facsímil</v>
      </c>
      <c r="K5496" s="15" t="s">
        <v>22</v>
      </c>
    </row>
    <row r="5497" spans="1:11" ht="42" customHeight="1">
      <c r="A5497" s="4" t="s">
        <v>12591</v>
      </c>
      <c r="B5497" s="5" t="s">
        <v>12592</v>
      </c>
      <c r="C5497" s="5" t="s">
        <v>80</v>
      </c>
      <c r="D5497" s="5" t="s">
        <v>81</v>
      </c>
      <c r="E5497" s="5" t="s">
        <v>495</v>
      </c>
      <c r="F5497" s="9">
        <v>103</v>
      </c>
      <c r="G5497" s="9">
        <v>1111</v>
      </c>
      <c r="H5497" s="5" t="s">
        <v>20</v>
      </c>
      <c r="I5497" s="5" t="s">
        <v>12596</v>
      </c>
      <c r="J5497" s="12" t="str">
        <f>HYPERLINK("https://www.boe.es/gazeta/dias/1805/12/24/pdfs/GMD-1805-103.pdf#page=3","Abrir facsímil")</f>
        <v>Abrir facsímil</v>
      </c>
      <c r="K5497" s="15" t="s">
        <v>22</v>
      </c>
    </row>
    <row r="5498" spans="1:11" ht="42" customHeight="1">
      <c r="A5498" s="4" t="s">
        <v>12597</v>
      </c>
      <c r="B5498" s="5" t="s">
        <v>12598</v>
      </c>
      <c r="C5498" s="5" t="s">
        <v>80</v>
      </c>
      <c r="D5498" s="5" t="s">
        <v>81</v>
      </c>
      <c r="E5498" s="5" t="s">
        <v>19</v>
      </c>
      <c r="F5498" s="9">
        <v>86</v>
      </c>
      <c r="G5498" s="9">
        <v>909</v>
      </c>
      <c r="H5498" s="5" t="s">
        <v>20</v>
      </c>
      <c r="I5498" s="5" t="s">
        <v>12599</v>
      </c>
      <c r="J5498" s="12" t="str">
        <f>HYPERLINK("https://www.boe.es/gazeta/dias/1805/10/25/pdfs/GMD-1805-86.pdf#page=5","Abrir facsímil")</f>
        <v>Abrir facsímil</v>
      </c>
      <c r="K5498" s="15" t="s">
        <v>22</v>
      </c>
    </row>
    <row r="5499" spans="1:11" ht="42" customHeight="1">
      <c r="A5499" s="4" t="s">
        <v>12600</v>
      </c>
      <c r="B5499" s="5" t="s">
        <v>12601</v>
      </c>
      <c r="C5499" s="5" t="s">
        <v>80</v>
      </c>
      <c r="D5499" s="5" t="s">
        <v>81</v>
      </c>
      <c r="E5499" s="5" t="s">
        <v>207</v>
      </c>
      <c r="F5499" s="9">
        <v>76</v>
      </c>
      <c r="G5499" s="9">
        <v>804</v>
      </c>
      <c r="H5499" s="5" t="s">
        <v>20</v>
      </c>
      <c r="I5499" s="5" t="s">
        <v>12602</v>
      </c>
      <c r="J5499" s="12" t="str">
        <f>HYPERLINK("https://www.boe.es/gazeta/dias/1805/09/20/pdfs/GMD-1805-76.pdf#page=4","Abrir facsímil")</f>
        <v>Abrir facsímil</v>
      </c>
      <c r="K5499" s="15" t="s">
        <v>22</v>
      </c>
    </row>
    <row r="5500" spans="1:11" ht="42" customHeight="1">
      <c r="A5500" s="4" t="s">
        <v>12600</v>
      </c>
      <c r="B5500" s="5" t="s">
        <v>12601</v>
      </c>
      <c r="C5500" s="5" t="s">
        <v>80</v>
      </c>
      <c r="D5500" s="5" t="s">
        <v>81</v>
      </c>
      <c r="E5500" s="5" t="s">
        <v>512</v>
      </c>
      <c r="F5500" s="9">
        <v>100</v>
      </c>
      <c r="G5500" s="9">
        <v>1076</v>
      </c>
      <c r="H5500" s="5" t="s">
        <v>20</v>
      </c>
      <c r="I5500" s="5" t="s">
        <v>12603</v>
      </c>
      <c r="J5500" s="12" t="str">
        <f>HYPERLINK("https://www.boe.es/gazeta/dias/1805/12/13/pdfs/GMD-1805-100.pdf#page=4","Abrir facsímil")</f>
        <v>Abrir facsímil</v>
      </c>
      <c r="K5500" s="15" t="s">
        <v>22</v>
      </c>
    </row>
    <row r="5501" spans="1:11" ht="42" customHeight="1">
      <c r="A5501" s="4" t="s">
        <v>12604</v>
      </c>
      <c r="B5501" s="5" t="s">
        <v>12604</v>
      </c>
      <c r="C5501" s="5" t="s">
        <v>80</v>
      </c>
      <c r="D5501" s="5" t="s">
        <v>81</v>
      </c>
      <c r="E5501" s="5" t="s">
        <v>1187</v>
      </c>
      <c r="F5501" s="9">
        <v>40</v>
      </c>
      <c r="G5501" s="9">
        <v>425</v>
      </c>
      <c r="H5501" s="5" t="s">
        <v>20</v>
      </c>
      <c r="I5501" s="5" t="s">
        <v>12605</v>
      </c>
      <c r="J5501" s="12" t="str">
        <f>HYPERLINK("https://www.boe.es/gazeta/dias/1805/05/17/pdfs/GMD-1805-40.pdf#page=1","Abrir facsímil")</f>
        <v>Abrir facsímil</v>
      </c>
      <c r="K5501" s="15" t="s">
        <v>22</v>
      </c>
    </row>
    <row r="5502" spans="1:11" ht="42" customHeight="1">
      <c r="A5502" s="4" t="s">
        <v>12606</v>
      </c>
      <c r="B5502" s="5" t="s">
        <v>12607</v>
      </c>
      <c r="C5502" s="5" t="s">
        <v>17</v>
      </c>
      <c r="D5502" s="5" t="s">
        <v>18</v>
      </c>
      <c r="E5502" s="5" t="s">
        <v>303</v>
      </c>
      <c r="F5502" s="9">
        <v>57</v>
      </c>
      <c r="G5502" s="9">
        <v>610</v>
      </c>
      <c r="H5502" s="5" t="s">
        <v>20</v>
      </c>
      <c r="I5502" s="5" t="s">
        <v>12608</v>
      </c>
      <c r="J5502" s="12" t="str">
        <f>HYPERLINK("https://www.boe.es/gazeta/dias/1805/07/16/pdfs/GMD-1805-57.pdf#page=6","Abrir facsímil")</f>
        <v>Abrir facsímil</v>
      </c>
      <c r="K5502" s="15" t="s">
        <v>22</v>
      </c>
    </row>
    <row r="5503" spans="1:11" ht="42" customHeight="1">
      <c r="A5503" s="4" t="s">
        <v>12609</v>
      </c>
      <c r="B5503" s="5" t="s">
        <v>12610</v>
      </c>
      <c r="C5503" s="5" t="s">
        <v>35</v>
      </c>
      <c r="D5503" s="5" t="s">
        <v>36</v>
      </c>
      <c r="E5503" s="5" t="s">
        <v>864</v>
      </c>
      <c r="F5503" s="9">
        <v>88</v>
      </c>
      <c r="G5503" s="9">
        <v>938</v>
      </c>
      <c r="H5503" s="5" t="s">
        <v>20</v>
      </c>
      <c r="I5503" s="5" t="s">
        <v>12611</v>
      </c>
      <c r="J5503" s="12" t="str">
        <f>HYPERLINK("https://www.boe.es/gazeta/dias/1805/11/01/pdfs/GMD-1805-88.pdf#page=10","Abrir facsímil")</f>
        <v>Abrir facsímil</v>
      </c>
      <c r="K5503" s="15" t="s">
        <v>22</v>
      </c>
    </row>
    <row r="5504" spans="1:11" ht="42" customHeight="1">
      <c r="A5504" s="4" t="s">
        <v>12612</v>
      </c>
      <c r="B5504" s="5" t="s">
        <v>12612</v>
      </c>
      <c r="C5504" s="5" t="s">
        <v>29</v>
      </c>
      <c r="D5504" s="5" t="s">
        <v>30</v>
      </c>
      <c r="E5504" s="5" t="s">
        <v>71</v>
      </c>
      <c r="F5504" s="9">
        <v>33</v>
      </c>
      <c r="G5504" s="9">
        <v>350</v>
      </c>
      <c r="H5504" s="5" t="s">
        <v>20</v>
      </c>
      <c r="I5504" s="5" t="s">
        <v>12613</v>
      </c>
      <c r="J5504" s="12" t="str">
        <f>HYPERLINK("https://www.boe.es/gazeta/dias/1805/04/23/pdfs/GMD-1805-33.pdf#page=6","Abrir facsímil")</f>
        <v>Abrir facsímil</v>
      </c>
      <c r="K5504" s="15" t="s">
        <v>22</v>
      </c>
    </row>
    <row r="5505" spans="1:11" ht="42" customHeight="1">
      <c r="A5505" s="4" t="s">
        <v>12614</v>
      </c>
      <c r="B5505" s="5" t="s">
        <v>12615</v>
      </c>
      <c r="C5505" s="5" t="s">
        <v>35</v>
      </c>
      <c r="D5505" s="5" t="s">
        <v>36</v>
      </c>
      <c r="E5505" s="5" t="s">
        <v>144</v>
      </c>
      <c r="F5505" s="9">
        <v>85</v>
      </c>
      <c r="G5505" s="9">
        <v>901</v>
      </c>
      <c r="H5505" s="5" t="s">
        <v>20</v>
      </c>
      <c r="I5505" s="5" t="s">
        <v>12616</v>
      </c>
      <c r="J5505" s="12" t="str">
        <f>HYPERLINK("https://www.boe.es/gazeta/dias/1805/10/22/pdfs/GMD-1805-85.pdf#page=9","Abrir facsímil")</f>
        <v>Abrir facsímil</v>
      </c>
      <c r="K5505" s="15" t="s">
        <v>22</v>
      </c>
    </row>
    <row r="5506" spans="1:11" ht="42" customHeight="1">
      <c r="A5506" s="4" t="s">
        <v>12617</v>
      </c>
      <c r="B5506" s="5" t="s">
        <v>12618</v>
      </c>
      <c r="C5506" s="5" t="s">
        <v>184</v>
      </c>
      <c r="D5506" s="5" t="s">
        <v>86</v>
      </c>
      <c r="E5506" s="5" t="s">
        <v>24</v>
      </c>
      <c r="F5506" s="9">
        <v>11</v>
      </c>
      <c r="G5506" s="9">
        <v>123</v>
      </c>
      <c r="H5506" s="5" t="s">
        <v>20</v>
      </c>
      <c r="I5506" s="5" t="s">
        <v>12619</v>
      </c>
      <c r="J5506" s="12" t="str">
        <f>HYPERLINK("https://www.boe.es/gazeta/dias/1805/02/05/pdfs/GMD-1805-11.pdf#page=11","Abrir facsímil")</f>
        <v>Abrir facsímil</v>
      </c>
      <c r="K5506" s="15" t="s">
        <v>22</v>
      </c>
    </row>
    <row r="5507" spans="1:11" ht="42" customHeight="1">
      <c r="A5507" s="4" t="s">
        <v>12617</v>
      </c>
      <c r="B5507" s="5" t="s">
        <v>12618</v>
      </c>
      <c r="C5507" s="5" t="s">
        <v>29</v>
      </c>
      <c r="D5507" s="5" t="s">
        <v>30</v>
      </c>
      <c r="E5507" s="5" t="s">
        <v>196</v>
      </c>
      <c r="F5507" s="9">
        <v>67</v>
      </c>
      <c r="G5507" s="9">
        <v>719</v>
      </c>
      <c r="H5507" s="5" t="s">
        <v>20</v>
      </c>
      <c r="I5507" s="5" t="s">
        <v>12620</v>
      </c>
      <c r="J5507" s="12" t="str">
        <f>HYPERLINK("https://www.boe.es/gazeta/dias/1805/08/20/pdfs/GMD-1805-67.pdf#page=7","Abrir facsímil")</f>
        <v>Abrir facsímil</v>
      </c>
      <c r="K5507" s="15" t="s">
        <v>22</v>
      </c>
    </row>
    <row r="5508" spans="1:11" ht="42" customHeight="1">
      <c r="A5508" s="4" t="s">
        <v>12621</v>
      </c>
      <c r="B5508" s="5" t="s">
        <v>12622</v>
      </c>
      <c r="C5508" s="5" t="s">
        <v>29</v>
      </c>
      <c r="D5508" s="5" t="s">
        <v>30</v>
      </c>
      <c r="E5508" s="5" t="s">
        <v>864</v>
      </c>
      <c r="F5508" s="9">
        <v>88</v>
      </c>
      <c r="G5508" s="9">
        <v>939</v>
      </c>
      <c r="H5508" s="5" t="s">
        <v>20</v>
      </c>
      <c r="I5508" s="5" t="s">
        <v>12623</v>
      </c>
      <c r="J5508" s="12" t="str">
        <f>HYPERLINK("https://www.boe.es/gazeta/dias/1805/11/01/pdfs/GMD-1805-88.pdf#page=11","Abrir facsímil")</f>
        <v>Abrir facsímil</v>
      </c>
      <c r="K5508" s="15" t="s">
        <v>22</v>
      </c>
    </row>
    <row r="5509" spans="1:11" ht="42" customHeight="1">
      <c r="A5509" s="4" t="s">
        <v>12624</v>
      </c>
      <c r="B5509" s="5" t="s">
        <v>12625</v>
      </c>
      <c r="C5509" s="5" t="s">
        <v>184</v>
      </c>
      <c r="D5509" s="5" t="s">
        <v>86</v>
      </c>
      <c r="E5509" s="5" t="s">
        <v>54</v>
      </c>
      <c r="F5509" s="9">
        <v>99</v>
      </c>
      <c r="G5509" s="9">
        <v>1069</v>
      </c>
      <c r="H5509" s="5" t="s">
        <v>20</v>
      </c>
      <c r="I5509" s="5" t="s">
        <v>12626</v>
      </c>
      <c r="J5509" s="12" t="str">
        <f>HYPERLINK("https://www.boe.es/gazeta/dias/1805/12/10/pdfs/GMD-1805-99.pdf#page=9","Abrir facsímil")</f>
        <v>Abrir facsímil</v>
      </c>
      <c r="K5509" s="15" t="s">
        <v>22</v>
      </c>
    </row>
    <row r="5510" spans="1:11" ht="42" customHeight="1">
      <c r="A5510" s="4" t="s">
        <v>12627</v>
      </c>
      <c r="B5510" s="5" t="s">
        <v>12628</v>
      </c>
      <c r="C5510" s="5" t="s">
        <v>17</v>
      </c>
      <c r="D5510" s="5" t="s">
        <v>18</v>
      </c>
      <c r="E5510" s="5" t="s">
        <v>387</v>
      </c>
      <c r="F5510" s="9">
        <v>4</v>
      </c>
      <c r="G5510" s="9">
        <v>42</v>
      </c>
      <c r="H5510" s="5" t="s">
        <v>20</v>
      </c>
      <c r="I5510" s="5" t="s">
        <v>12629</v>
      </c>
      <c r="J5510" s="12" t="str">
        <f>HYPERLINK("https://www.boe.es/gazeta/dias/1805/01/11/pdfs/GMD-1805-4.pdf#page=10","Abrir facsímil")</f>
        <v>Abrir facsímil</v>
      </c>
      <c r="K5510" s="15" t="s">
        <v>22</v>
      </c>
    </row>
    <row r="5511" spans="1:11" ht="42" customHeight="1">
      <c r="A5511" s="4" t="s">
        <v>12630</v>
      </c>
      <c r="B5511" s="5" t="s">
        <v>12631</v>
      </c>
      <c r="C5511" s="5" t="s">
        <v>17</v>
      </c>
      <c r="D5511" s="5" t="s">
        <v>18</v>
      </c>
      <c r="E5511" s="5" t="s">
        <v>200</v>
      </c>
      <c r="F5511" s="9">
        <v>91</v>
      </c>
      <c r="G5511" s="9">
        <v>977</v>
      </c>
      <c r="H5511" s="5" t="s">
        <v>20</v>
      </c>
      <c r="I5511" s="5" t="s">
        <v>12632</v>
      </c>
      <c r="J5511" s="12" t="str">
        <f>HYPERLINK("https://www.boe.es/gazeta/dias/1805/11/12/pdfs/GMD-1805-91.pdf#page=9","Abrir facsímil")</f>
        <v>Abrir facsímil</v>
      </c>
      <c r="K5511" s="15" t="s">
        <v>22</v>
      </c>
    </row>
    <row r="5512" spans="1:11" ht="42" customHeight="1">
      <c r="A5512" s="4" t="s">
        <v>12633</v>
      </c>
      <c r="B5512" s="5" t="s">
        <v>12634</v>
      </c>
      <c r="C5512" s="5" t="s">
        <v>17</v>
      </c>
      <c r="D5512" s="5" t="s">
        <v>18</v>
      </c>
      <c r="E5512" s="5" t="s">
        <v>729</v>
      </c>
      <c r="F5512" s="9">
        <v>61</v>
      </c>
      <c r="G5512" s="9">
        <v>655</v>
      </c>
      <c r="H5512" s="5" t="s">
        <v>20</v>
      </c>
      <c r="I5512" s="5" t="s">
        <v>12635</v>
      </c>
      <c r="J5512" s="12" t="str">
        <f>HYPERLINK("https://www.boe.es/gazeta/dias/1805/07/30/pdfs/GMD-1805-61.pdf#page=7","Abrir facsímil")</f>
        <v>Abrir facsímil</v>
      </c>
      <c r="K5512" s="15" t="s">
        <v>22</v>
      </c>
    </row>
    <row r="5513" spans="1:11" ht="42" customHeight="1">
      <c r="A5513" s="4" t="s">
        <v>12636</v>
      </c>
      <c r="B5513" s="5" t="s">
        <v>12637</v>
      </c>
      <c r="C5513" s="5" t="s">
        <v>85</v>
      </c>
      <c r="D5513" s="5" t="s">
        <v>86</v>
      </c>
      <c r="E5513" s="5" t="s">
        <v>440</v>
      </c>
      <c r="F5513" s="9">
        <v>27</v>
      </c>
      <c r="G5513" s="9">
        <v>288</v>
      </c>
      <c r="H5513" s="5" t="s">
        <v>20</v>
      </c>
      <c r="I5513" s="5" t="s">
        <v>12638</v>
      </c>
      <c r="J5513" s="12" t="str">
        <f>HYPERLINK("https://www.boe.es/gazeta/dias/1805/04/02/pdfs/GMD-1805-27.pdf#page=8","Abrir facsímil")</f>
        <v>Abrir facsímil</v>
      </c>
      <c r="K5513" s="15" t="s">
        <v>22</v>
      </c>
    </row>
    <row r="5514" spans="1:11" ht="42" customHeight="1">
      <c r="A5514" s="4" t="s">
        <v>12639</v>
      </c>
      <c r="B5514" s="5" t="s">
        <v>12640</v>
      </c>
      <c r="C5514" s="5" t="s">
        <v>80</v>
      </c>
      <c r="D5514" s="5" t="s">
        <v>81</v>
      </c>
      <c r="E5514" s="5" t="s">
        <v>138</v>
      </c>
      <c r="F5514" s="9">
        <v>102</v>
      </c>
      <c r="G5514" s="9">
        <v>1100</v>
      </c>
      <c r="H5514" s="5" t="s">
        <v>20</v>
      </c>
      <c r="I5514" s="5" t="s">
        <v>12641</v>
      </c>
      <c r="J5514" s="12" t="str">
        <f>HYPERLINK("https://www.boe.es/gazeta/dias/1805/12/20/pdfs/GMD-1805-102.pdf#page=4","Abrir facsímil")</f>
        <v>Abrir facsímil</v>
      </c>
      <c r="K5514" s="15" t="s">
        <v>22</v>
      </c>
    </row>
    <row r="5515" spans="1:11" ht="42" customHeight="1">
      <c r="A5515" s="4" t="s">
        <v>12642</v>
      </c>
      <c r="B5515" s="5" t="s">
        <v>12643</v>
      </c>
      <c r="C5515" s="5" t="s">
        <v>35</v>
      </c>
      <c r="D5515" s="5" t="s">
        <v>36</v>
      </c>
      <c r="E5515" s="5" t="s">
        <v>138</v>
      </c>
      <c r="F5515" s="9">
        <v>102</v>
      </c>
      <c r="G5515" s="9">
        <v>1099</v>
      </c>
      <c r="H5515" s="5" t="s">
        <v>20</v>
      </c>
      <c r="I5515" s="5" t="s">
        <v>12644</v>
      </c>
      <c r="J5515" s="12" t="str">
        <f>HYPERLINK("https://www.boe.es/gazeta/dias/1805/12/20/pdfs/GMD-1805-102.pdf#page=3","Abrir facsímil")</f>
        <v>Abrir facsímil</v>
      </c>
      <c r="K5515" s="15" t="s">
        <v>22</v>
      </c>
    </row>
    <row r="5516" spans="1:11" ht="42" customHeight="1">
      <c r="A5516" s="4" t="s">
        <v>12645</v>
      </c>
      <c r="B5516" s="5" t="s">
        <v>12646</v>
      </c>
      <c r="C5516" s="5" t="s">
        <v>80</v>
      </c>
      <c r="D5516" s="5" t="s">
        <v>81</v>
      </c>
      <c r="E5516" s="5" t="s">
        <v>789</v>
      </c>
      <c r="F5516" s="9">
        <v>104</v>
      </c>
      <c r="G5516" s="9">
        <v>1120</v>
      </c>
      <c r="H5516" s="5" t="s">
        <v>20</v>
      </c>
      <c r="I5516" s="5" t="s">
        <v>12647</v>
      </c>
      <c r="J5516" s="12" t="str">
        <f>HYPERLINK("https://www.boe.es/gazeta/dias/1805/12/27/pdfs/GMD-1805-104.pdf#page=4","Abrir facsímil")</f>
        <v>Abrir facsímil</v>
      </c>
      <c r="K5516" s="15" t="s">
        <v>22</v>
      </c>
    </row>
    <row r="5517" spans="1:11" ht="42" customHeight="1">
      <c r="A5517" s="4" t="s">
        <v>12648</v>
      </c>
      <c r="B5517" s="5" t="s">
        <v>12649</v>
      </c>
      <c r="C5517" s="5" t="s">
        <v>80</v>
      </c>
      <c r="D5517" s="5" t="s">
        <v>81</v>
      </c>
      <c r="E5517" s="5" t="s">
        <v>789</v>
      </c>
      <c r="F5517" s="9">
        <v>104</v>
      </c>
      <c r="G5517" s="9">
        <v>1122</v>
      </c>
      <c r="H5517" s="5" t="s">
        <v>20</v>
      </c>
      <c r="I5517" s="5" t="s">
        <v>12650</v>
      </c>
      <c r="J5517" s="12" t="str">
        <f>HYPERLINK("https://www.boe.es/gazeta/dias/1805/12/27/pdfs/GMD-1805-104.pdf#page=6","Abrir facsímil")</f>
        <v>Abrir facsímil</v>
      </c>
      <c r="K5517" s="15" t="s">
        <v>22</v>
      </c>
    </row>
    <row r="5518" spans="1:11" ht="42" customHeight="1">
      <c r="A5518" s="4" t="s">
        <v>12651</v>
      </c>
      <c r="B5518" s="5" t="s">
        <v>12652</v>
      </c>
      <c r="C5518" s="5" t="s">
        <v>85</v>
      </c>
      <c r="D5518" s="5" t="s">
        <v>86</v>
      </c>
      <c r="E5518" s="5" t="s">
        <v>114</v>
      </c>
      <c r="F5518" s="9">
        <v>17</v>
      </c>
      <c r="G5518" s="9">
        <v>177</v>
      </c>
      <c r="H5518" s="5" t="s">
        <v>20</v>
      </c>
      <c r="I5518" s="5" t="s">
        <v>12653</v>
      </c>
      <c r="J5518" s="12" t="str">
        <f>HYPERLINK("https://www.boe.es/gazeta/dias/1805/02/26/pdfs/GMD-1805-17.pdf#page=9","Abrir facsímil")</f>
        <v>Abrir facsímil</v>
      </c>
      <c r="K5518" s="15" t="s">
        <v>22</v>
      </c>
    </row>
    <row r="5519" spans="1:11" ht="42" customHeight="1">
      <c r="A5519" s="4" t="s">
        <v>12654</v>
      </c>
      <c r="B5519" s="5" t="s">
        <v>12655</v>
      </c>
      <c r="C5519" s="5" t="s">
        <v>35</v>
      </c>
      <c r="D5519" s="5" t="s">
        <v>36</v>
      </c>
      <c r="E5519" s="5" t="s">
        <v>141</v>
      </c>
      <c r="F5519" s="9">
        <v>82</v>
      </c>
      <c r="G5519" s="9">
        <v>870</v>
      </c>
      <c r="H5519" s="5" t="s">
        <v>20</v>
      </c>
      <c r="I5519" s="5" t="s">
        <v>12656</v>
      </c>
      <c r="J5519" s="12" t="str">
        <f>HYPERLINK("https://www.boe.es/gazeta/dias/1805/10/11/pdfs/GMD-1805-82.pdf#page=10","Abrir facsímil")</f>
        <v>Abrir facsímil</v>
      </c>
      <c r="K5519" s="15" t="s">
        <v>22</v>
      </c>
    </row>
    <row r="5520" spans="1:11" ht="42" customHeight="1">
      <c r="A5520" s="4" t="s">
        <v>12657</v>
      </c>
      <c r="B5520" s="5" t="s">
        <v>12658</v>
      </c>
      <c r="C5520" s="5" t="s">
        <v>17</v>
      </c>
      <c r="D5520" s="5" t="s">
        <v>18</v>
      </c>
      <c r="E5520" s="5" t="s">
        <v>506</v>
      </c>
      <c r="F5520" s="9">
        <v>80</v>
      </c>
      <c r="G5520" s="9">
        <v>848</v>
      </c>
      <c r="H5520" s="5" t="s">
        <v>20</v>
      </c>
      <c r="I5520" s="5" t="s">
        <v>12659</v>
      </c>
      <c r="J5520" s="12" t="str">
        <f>HYPERLINK("https://www.boe.es/gazeta/dias/1805/10/04/pdfs/GMD-1805-80.pdf#page=8","Abrir facsímil")</f>
        <v>Abrir facsímil</v>
      </c>
      <c r="K5520" s="15" t="s">
        <v>22</v>
      </c>
    </row>
    <row r="5521" spans="1:11" ht="42" customHeight="1">
      <c r="A5521" s="4" t="s">
        <v>12660</v>
      </c>
      <c r="B5521" s="5" t="s">
        <v>12661</v>
      </c>
      <c r="C5521" s="5" t="s">
        <v>35</v>
      </c>
      <c r="D5521" s="5" t="s">
        <v>36</v>
      </c>
      <c r="E5521" s="5" t="s">
        <v>19</v>
      </c>
      <c r="F5521" s="9">
        <v>86</v>
      </c>
      <c r="G5521" s="9">
        <v>914</v>
      </c>
      <c r="H5521" s="5" t="s">
        <v>20</v>
      </c>
      <c r="I5521" s="5" t="s">
        <v>12662</v>
      </c>
      <c r="J5521" s="12" t="str">
        <f>HYPERLINK("https://www.boe.es/gazeta/dias/1805/10/25/pdfs/GMD-1805-86.pdf#page=10","Abrir facsímil")</f>
        <v>Abrir facsímil</v>
      </c>
      <c r="K5521" s="15" t="s">
        <v>22</v>
      </c>
    </row>
    <row r="5522" spans="1:11" ht="42" customHeight="1">
      <c r="A5522" s="4" t="s">
        <v>12663</v>
      </c>
      <c r="B5522" s="5" t="s">
        <v>12664</v>
      </c>
      <c r="C5522" s="5" t="s">
        <v>35</v>
      </c>
      <c r="D5522" s="5" t="s">
        <v>36</v>
      </c>
      <c r="E5522" s="5" t="s">
        <v>163</v>
      </c>
      <c r="F5522" s="9">
        <v>77</v>
      </c>
      <c r="G5522" s="9">
        <v>817</v>
      </c>
      <c r="H5522" s="5" t="s">
        <v>20</v>
      </c>
      <c r="I5522" s="5" t="s">
        <v>12665</v>
      </c>
      <c r="J5522" s="12" t="str">
        <f>HYPERLINK("https://www.boe.es/gazeta/dias/1805/09/24/pdfs/GMD-1805-77.pdf#page=9","Abrir facsímil")</f>
        <v>Abrir facsímil</v>
      </c>
      <c r="K5522" s="15" t="s">
        <v>22</v>
      </c>
    </row>
    <row r="5523" spans="1:11" ht="42" customHeight="1">
      <c r="A5523" s="4" t="s">
        <v>12666</v>
      </c>
      <c r="B5523" s="5" t="s">
        <v>12667</v>
      </c>
      <c r="C5523" s="5" t="s">
        <v>35</v>
      </c>
      <c r="D5523" s="5" t="s">
        <v>36</v>
      </c>
      <c r="E5523" s="5" t="s">
        <v>63</v>
      </c>
      <c r="F5523" s="9">
        <v>101</v>
      </c>
      <c r="G5523" s="9">
        <v>1093</v>
      </c>
      <c r="H5523" s="5" t="s">
        <v>20</v>
      </c>
      <c r="I5523" s="5" t="s">
        <v>12668</v>
      </c>
      <c r="J5523" s="12" t="str">
        <f>HYPERLINK("https://www.boe.es/gazeta/dias/1805/12/17/pdfs/GMD-1805-101.pdf#page=9","Abrir facsímil")</f>
        <v>Abrir facsímil</v>
      </c>
      <c r="K5523" s="15" t="s">
        <v>22</v>
      </c>
    </row>
    <row r="5524" spans="1:11" ht="42" customHeight="1">
      <c r="A5524" s="4" t="s">
        <v>12669</v>
      </c>
      <c r="B5524" s="5" t="s">
        <v>12670</v>
      </c>
      <c r="C5524" s="5" t="s">
        <v>35</v>
      </c>
      <c r="D5524" s="5" t="s">
        <v>36</v>
      </c>
      <c r="E5524" s="5" t="s">
        <v>276</v>
      </c>
      <c r="F5524" s="9">
        <v>51</v>
      </c>
      <c r="G5524" s="9">
        <v>551</v>
      </c>
      <c r="H5524" s="5" t="s">
        <v>20</v>
      </c>
      <c r="I5524" s="5" t="s">
        <v>12671</v>
      </c>
      <c r="J5524" s="12" t="str">
        <f>HYPERLINK("https://www.boe.es/gazeta/dias/1805/06/25/pdfs/GMD-1805-51.pdf#page=7","Abrir facsímil")</f>
        <v>Abrir facsímil</v>
      </c>
      <c r="K5524" s="15" t="s">
        <v>22</v>
      </c>
    </row>
    <row r="5525" spans="1:11" ht="42" customHeight="1">
      <c r="A5525" s="4" t="s">
        <v>12672</v>
      </c>
      <c r="B5525" s="5" t="s">
        <v>12673</v>
      </c>
      <c r="C5525" s="5" t="s">
        <v>17</v>
      </c>
      <c r="D5525" s="5" t="s">
        <v>18</v>
      </c>
      <c r="E5525" s="5" t="s">
        <v>63</v>
      </c>
      <c r="F5525" s="9">
        <v>101</v>
      </c>
      <c r="G5525" s="9">
        <v>1091</v>
      </c>
      <c r="H5525" s="5" t="s">
        <v>20</v>
      </c>
      <c r="I5525" s="5" t="s">
        <v>12674</v>
      </c>
      <c r="J5525" s="12" t="str">
        <f>HYPERLINK("https://www.boe.es/gazeta/dias/1805/12/17/pdfs/GMD-1805-101.pdf#page=7","Abrir facsímil")</f>
        <v>Abrir facsímil</v>
      </c>
      <c r="K5525" s="15" t="s">
        <v>22</v>
      </c>
    </row>
    <row r="5526" spans="1:11" ht="42" customHeight="1">
      <c r="A5526" s="4" t="s">
        <v>12675</v>
      </c>
      <c r="B5526" s="5" t="s">
        <v>12676</v>
      </c>
      <c r="C5526" s="5" t="s">
        <v>35</v>
      </c>
      <c r="D5526" s="5" t="s">
        <v>36</v>
      </c>
      <c r="E5526" s="5" t="s">
        <v>276</v>
      </c>
      <c r="F5526" s="9">
        <v>51</v>
      </c>
      <c r="G5526" s="9">
        <v>551</v>
      </c>
      <c r="H5526" s="5" t="s">
        <v>20</v>
      </c>
      <c r="I5526" s="5" t="s">
        <v>12677</v>
      </c>
      <c r="J5526" s="12" t="str">
        <f>HYPERLINK("https://www.boe.es/gazeta/dias/1805/06/25/pdfs/GMD-1805-51.pdf#page=7","Abrir facsímil")</f>
        <v>Abrir facsímil</v>
      </c>
      <c r="K5526" s="15" t="s">
        <v>22</v>
      </c>
    </row>
    <row r="5527" spans="1:11" ht="42" customHeight="1">
      <c r="A5527" s="4" t="s">
        <v>12678</v>
      </c>
      <c r="B5527" s="5" t="s">
        <v>12679</v>
      </c>
      <c r="C5527" s="5" t="s">
        <v>35</v>
      </c>
      <c r="D5527" s="5" t="s">
        <v>36</v>
      </c>
      <c r="E5527" s="5" t="s">
        <v>365</v>
      </c>
      <c r="F5527" s="9">
        <v>3</v>
      </c>
      <c r="G5527" s="9">
        <v>29</v>
      </c>
      <c r="H5527" s="5" t="s">
        <v>20</v>
      </c>
      <c r="I5527" s="5" t="s">
        <v>12680</v>
      </c>
      <c r="J5527" s="12" t="str">
        <f>HYPERLINK("https://www.boe.es/gazeta/dias/1805/01/08/pdfs/GMD-1805-3.pdf#page=5","Abrir facsímil")</f>
        <v>Abrir facsímil</v>
      </c>
      <c r="K5527" s="15" t="s">
        <v>22</v>
      </c>
    </row>
    <row r="5528" spans="1:11" ht="42" customHeight="1">
      <c r="A5528" s="4" t="s">
        <v>12681</v>
      </c>
      <c r="B5528" s="5" t="s">
        <v>12682</v>
      </c>
      <c r="C5528" s="5" t="s">
        <v>35</v>
      </c>
      <c r="D5528" s="5" t="s">
        <v>36</v>
      </c>
      <c r="E5528" s="5" t="s">
        <v>296</v>
      </c>
      <c r="F5528" s="9">
        <v>26</v>
      </c>
      <c r="G5528" s="9">
        <v>277</v>
      </c>
      <c r="H5528" s="5" t="s">
        <v>20</v>
      </c>
      <c r="I5528" s="5" t="s">
        <v>12683</v>
      </c>
      <c r="J5528" s="12" t="str">
        <f>HYPERLINK("https://www.boe.es/gazeta/dias/1805/03/29/pdfs/GMD-1805-26.pdf#page=9","Abrir facsímil")</f>
        <v>Abrir facsímil</v>
      </c>
      <c r="K5528" s="15" t="s">
        <v>22</v>
      </c>
    </row>
    <row r="5529" spans="1:11" ht="42" customHeight="1">
      <c r="A5529" s="4" t="s">
        <v>12684</v>
      </c>
      <c r="B5529" s="5" t="s">
        <v>12685</v>
      </c>
      <c r="C5529" s="5" t="s">
        <v>17</v>
      </c>
      <c r="D5529" s="5" t="s">
        <v>18</v>
      </c>
      <c r="E5529" s="5" t="s">
        <v>138</v>
      </c>
      <c r="F5529" s="9">
        <v>102</v>
      </c>
      <c r="G5529" s="9">
        <v>1104</v>
      </c>
      <c r="H5529" s="5" t="s">
        <v>20</v>
      </c>
      <c r="I5529" s="5" t="s">
        <v>12686</v>
      </c>
      <c r="J5529" s="12" t="str">
        <f>HYPERLINK("https://www.boe.es/gazeta/dias/1805/12/20/pdfs/GMD-1805-102.pdf#page=8","Abrir facsímil")</f>
        <v>Abrir facsímil</v>
      </c>
      <c r="K5529" s="15" t="s">
        <v>22</v>
      </c>
    </row>
    <row r="5530" spans="1:11" ht="42" customHeight="1">
      <c r="A5530" s="4" t="s">
        <v>12687</v>
      </c>
      <c r="B5530" s="5" t="s">
        <v>12687</v>
      </c>
      <c r="C5530" s="5" t="s">
        <v>35</v>
      </c>
      <c r="D5530" s="5" t="s">
        <v>36</v>
      </c>
      <c r="E5530" s="5" t="s">
        <v>356</v>
      </c>
      <c r="F5530" s="9">
        <v>12</v>
      </c>
      <c r="G5530" s="9">
        <v>129</v>
      </c>
      <c r="H5530" s="5" t="s">
        <v>20</v>
      </c>
      <c r="I5530" s="5" t="s">
        <v>12688</v>
      </c>
      <c r="J5530" s="12" t="str">
        <f>HYPERLINK("https://www.boe.es/gazeta/dias/1805/02/08/pdfs/GMD-1805-12.pdf#page=5","Abrir facsímil")</f>
        <v>Abrir facsímil</v>
      </c>
      <c r="K5530" s="15" t="s">
        <v>22</v>
      </c>
    </row>
    <row r="5531" spans="1:11" ht="42" customHeight="1">
      <c r="A5531" s="4" t="s">
        <v>12689</v>
      </c>
      <c r="B5531" s="5" t="s">
        <v>12690</v>
      </c>
      <c r="C5531" s="5" t="s">
        <v>85</v>
      </c>
      <c r="D5531" s="5" t="s">
        <v>86</v>
      </c>
      <c r="E5531" s="5" t="s">
        <v>1221</v>
      </c>
      <c r="F5531" s="9">
        <v>41</v>
      </c>
      <c r="G5531" s="9">
        <v>442</v>
      </c>
      <c r="H5531" s="5" t="s">
        <v>20</v>
      </c>
      <c r="I5531" s="5" t="s">
        <v>12691</v>
      </c>
      <c r="J5531" s="12" t="str">
        <f>HYPERLINK("https://www.boe.es/gazeta/dias/1805/05/21/pdfs/GMD-1805-41.pdf#page=10","Abrir facsímil")</f>
        <v>Abrir facsímil</v>
      </c>
      <c r="K5531" s="15" t="s">
        <v>22</v>
      </c>
    </row>
    <row r="5532" spans="1:11" ht="42" customHeight="1">
      <c r="A5532" s="4" t="s">
        <v>12692</v>
      </c>
      <c r="B5532" s="5" t="s">
        <v>12693</v>
      </c>
      <c r="C5532" s="5" t="s">
        <v>17</v>
      </c>
      <c r="D5532" s="5" t="s">
        <v>18</v>
      </c>
      <c r="E5532" s="5" t="s">
        <v>196</v>
      </c>
      <c r="F5532" s="9">
        <v>67</v>
      </c>
      <c r="G5532" s="9">
        <v>720</v>
      </c>
      <c r="H5532" s="5" t="s">
        <v>20</v>
      </c>
      <c r="I5532" s="5" t="s">
        <v>12694</v>
      </c>
      <c r="J5532" s="12" t="str">
        <f>HYPERLINK("https://www.boe.es/gazeta/dias/1805/08/20/pdfs/GMD-1805-67.pdf#page=8","Abrir facsímil")</f>
        <v>Abrir facsímil</v>
      </c>
      <c r="K5532" s="15" t="s">
        <v>22</v>
      </c>
    </row>
    <row r="5533" spans="1:11" ht="42" customHeight="1">
      <c r="A5533" s="4" t="s">
        <v>12695</v>
      </c>
      <c r="B5533" s="5" t="s">
        <v>12696</v>
      </c>
      <c r="C5533" s="5" t="s">
        <v>35</v>
      </c>
      <c r="D5533" s="5" t="s">
        <v>36</v>
      </c>
      <c r="E5533" s="5" t="s">
        <v>112</v>
      </c>
      <c r="F5533" s="9">
        <v>16</v>
      </c>
      <c r="G5533" s="9">
        <v>166</v>
      </c>
      <c r="H5533" s="5" t="s">
        <v>20</v>
      </c>
      <c r="I5533" s="5" t="s">
        <v>12697</v>
      </c>
      <c r="J5533" s="12" t="str">
        <f>HYPERLINK("https://www.boe.es/gazeta/dias/1805/02/22/pdfs/GMD-1805-16.pdf#page=6","Abrir facsímil")</f>
        <v>Abrir facsímil</v>
      </c>
      <c r="K5533" s="15" t="s">
        <v>22</v>
      </c>
    </row>
    <row r="5534" spans="1:11" ht="42" customHeight="1">
      <c r="A5534" s="4" t="s">
        <v>12698</v>
      </c>
      <c r="B5534" s="5" t="s">
        <v>12699</v>
      </c>
      <c r="C5534" s="5" t="s">
        <v>35</v>
      </c>
      <c r="D5534" s="5" t="s">
        <v>36</v>
      </c>
      <c r="E5534" s="5" t="s">
        <v>422</v>
      </c>
      <c r="F5534" s="9">
        <v>74</v>
      </c>
      <c r="G5534" s="9">
        <v>786</v>
      </c>
      <c r="H5534" s="5" t="s">
        <v>20</v>
      </c>
      <c r="I5534" s="5" t="s">
        <v>12700</v>
      </c>
      <c r="J5534" s="12" t="str">
        <f>HYPERLINK("https://www.boe.es/gazeta/dias/1805/09/13/pdfs/GMD-1805-74.pdf#page=10","Abrir facsímil")</f>
        <v>Abrir facsímil</v>
      </c>
      <c r="K5534" s="15" t="s">
        <v>22</v>
      </c>
    </row>
    <row r="5535" spans="1:11" ht="42" customHeight="1">
      <c r="A5535" s="4" t="s">
        <v>12701</v>
      </c>
      <c r="B5535" s="5" t="s">
        <v>12702</v>
      </c>
      <c r="C5535" s="5" t="s">
        <v>35</v>
      </c>
      <c r="D5535" s="5" t="s">
        <v>36</v>
      </c>
      <c r="E5535" s="5" t="s">
        <v>82</v>
      </c>
      <c r="F5535" s="9">
        <v>25</v>
      </c>
      <c r="G5535" s="9">
        <v>268</v>
      </c>
      <c r="H5535" s="5" t="s">
        <v>20</v>
      </c>
      <c r="I5535" s="5" t="s">
        <v>12703</v>
      </c>
      <c r="J5535" s="12" t="str">
        <f>HYPERLINK("https://www.boe.es/gazeta/dias/1805/03/26/pdfs/GMD-1805-25.pdf#page=8","Abrir facsímil")</f>
        <v>Abrir facsímil</v>
      </c>
      <c r="K5535" s="15" t="s">
        <v>22</v>
      </c>
    </row>
    <row r="5536" spans="1:11" ht="42" customHeight="1">
      <c r="A5536" s="4" t="s">
        <v>12704</v>
      </c>
      <c r="B5536" s="5" t="s">
        <v>12704</v>
      </c>
      <c r="C5536" s="5" t="s">
        <v>85</v>
      </c>
      <c r="D5536" s="5" t="s">
        <v>86</v>
      </c>
      <c r="E5536" s="5" t="s">
        <v>300</v>
      </c>
      <c r="F5536" s="9">
        <v>81</v>
      </c>
      <c r="G5536" s="9">
        <v>859</v>
      </c>
      <c r="H5536" s="5" t="s">
        <v>20</v>
      </c>
      <c r="I5536" s="5" t="s">
        <v>12705</v>
      </c>
      <c r="J5536" s="12" t="str">
        <f>HYPERLINK("https://www.boe.es/gazeta/dias/1805/10/08/pdfs/GMD-1805-81.pdf#page=7","Abrir facsímil")</f>
        <v>Abrir facsímil</v>
      </c>
      <c r="K5536" s="15" t="s">
        <v>22</v>
      </c>
    </row>
    <row r="5537" spans="1:11" ht="42" customHeight="1">
      <c r="A5537" s="4" t="s">
        <v>12706</v>
      </c>
      <c r="B5537" s="5" t="s">
        <v>12707</v>
      </c>
      <c r="C5537" s="5" t="s">
        <v>29</v>
      </c>
      <c r="D5537" s="5" t="s">
        <v>30</v>
      </c>
      <c r="E5537" s="5" t="s">
        <v>649</v>
      </c>
      <c r="F5537" s="9">
        <v>7</v>
      </c>
      <c r="G5537" s="9">
        <v>80</v>
      </c>
      <c r="H5537" s="5" t="s">
        <v>20</v>
      </c>
      <c r="I5537" s="5" t="s">
        <v>12708</v>
      </c>
      <c r="J5537" s="12" t="str">
        <f>HYPERLINK("https://www.boe.es/gazeta/dias/1805/01/22/pdfs/GMD-1805-7.pdf#page=12","Abrir facsímil")</f>
        <v>Abrir facsímil</v>
      </c>
      <c r="K5537" s="15" t="s">
        <v>22</v>
      </c>
    </row>
    <row r="5538" spans="1:11" ht="42" customHeight="1">
      <c r="A5538" s="4" t="s">
        <v>12706</v>
      </c>
      <c r="B5538" s="5" t="s">
        <v>12707</v>
      </c>
      <c r="C5538" s="5" t="s">
        <v>29</v>
      </c>
      <c r="D5538" s="5" t="s">
        <v>30</v>
      </c>
      <c r="E5538" s="5" t="s">
        <v>112</v>
      </c>
      <c r="F5538" s="9">
        <v>16</v>
      </c>
      <c r="G5538" s="9">
        <v>167</v>
      </c>
      <c r="H5538" s="5" t="s">
        <v>20</v>
      </c>
      <c r="I5538" s="5" t="s">
        <v>12709</v>
      </c>
      <c r="J5538" s="12" t="str">
        <f>HYPERLINK("https://www.boe.es/gazeta/dias/1805/02/22/pdfs/GMD-1805-16.pdf#page=7","Abrir facsímil")</f>
        <v>Abrir facsímil</v>
      </c>
      <c r="K5538" s="15" t="s">
        <v>22</v>
      </c>
    </row>
    <row r="5539" spans="1:11" ht="42" customHeight="1">
      <c r="A5539" s="4" t="s">
        <v>12706</v>
      </c>
      <c r="B5539" s="5" t="s">
        <v>12707</v>
      </c>
      <c r="C5539" s="5" t="s">
        <v>29</v>
      </c>
      <c r="D5539" s="5" t="s">
        <v>30</v>
      </c>
      <c r="E5539" s="5" t="s">
        <v>114</v>
      </c>
      <c r="F5539" s="9">
        <v>17</v>
      </c>
      <c r="G5539" s="9">
        <v>180</v>
      </c>
      <c r="H5539" s="5" t="s">
        <v>20</v>
      </c>
      <c r="I5539" s="5" t="s">
        <v>12710</v>
      </c>
      <c r="J5539" s="12" t="str">
        <f>HYPERLINK("https://www.boe.es/gazeta/dias/1805/02/26/pdfs/GMD-1805-17.pdf#page=12","Abrir facsímil")</f>
        <v>Abrir facsímil</v>
      </c>
      <c r="K5539" s="15" t="s">
        <v>22</v>
      </c>
    </row>
    <row r="5540" spans="1:11" ht="42" customHeight="1">
      <c r="A5540" s="4" t="s">
        <v>12706</v>
      </c>
      <c r="B5540" s="5" t="s">
        <v>12707</v>
      </c>
      <c r="C5540" s="5" t="s">
        <v>29</v>
      </c>
      <c r="D5540" s="5" t="s">
        <v>30</v>
      </c>
      <c r="E5540" s="5" t="s">
        <v>904</v>
      </c>
      <c r="F5540" s="9">
        <v>47</v>
      </c>
      <c r="G5540" s="9">
        <v>512</v>
      </c>
      <c r="H5540" s="5" t="s">
        <v>20</v>
      </c>
      <c r="I5540" s="5" t="s">
        <v>12711</v>
      </c>
      <c r="J5540" s="12" t="str">
        <f>HYPERLINK("https://www.boe.es/gazeta/dias/1805/06/11/pdfs/GMD-1805-47.pdf#page=12","Abrir facsímil")</f>
        <v>Abrir facsímil</v>
      </c>
      <c r="K5540" s="15" t="s">
        <v>22</v>
      </c>
    </row>
    <row r="5541" spans="1:11" ht="42" customHeight="1">
      <c r="A5541" s="4" t="s">
        <v>12706</v>
      </c>
      <c r="B5541" s="5" t="s">
        <v>12707</v>
      </c>
      <c r="C5541" s="5" t="s">
        <v>29</v>
      </c>
      <c r="D5541" s="5" t="s">
        <v>30</v>
      </c>
      <c r="E5541" s="5" t="s">
        <v>217</v>
      </c>
      <c r="F5541" s="9">
        <v>96</v>
      </c>
      <c r="G5541" s="9">
        <v>1032</v>
      </c>
      <c r="H5541" s="5" t="s">
        <v>20</v>
      </c>
      <c r="I5541" s="5" t="s">
        <v>12712</v>
      </c>
      <c r="J5541" s="12" t="str">
        <f>HYPERLINK("https://www.boe.es/gazeta/dias/1805/11/29/pdfs/GMD-1805-96.pdf#page=8","Abrir facsímil")</f>
        <v>Abrir facsímil</v>
      </c>
      <c r="K5541" s="15" t="s">
        <v>22</v>
      </c>
    </row>
    <row r="5542" spans="1:11" ht="42" customHeight="1">
      <c r="A5542" s="4" t="s">
        <v>12713</v>
      </c>
      <c r="B5542" s="5" t="s">
        <v>12714</v>
      </c>
      <c r="C5542" s="5" t="s">
        <v>29</v>
      </c>
      <c r="D5542" s="5" t="s">
        <v>30</v>
      </c>
      <c r="E5542" s="5" t="s">
        <v>335</v>
      </c>
      <c r="F5542" s="9">
        <v>79</v>
      </c>
      <c r="G5542" s="9">
        <v>840</v>
      </c>
      <c r="H5542" s="5" t="s">
        <v>20</v>
      </c>
      <c r="I5542" s="5" t="s">
        <v>12715</v>
      </c>
      <c r="J5542" s="12" t="str">
        <f>HYPERLINK("https://www.boe.es/gazeta/dias/1805/10/01/pdfs/GMD-1805-79.pdf#page=12","Abrir facsímil")</f>
        <v>Abrir facsímil</v>
      </c>
      <c r="K5542" s="15" t="s">
        <v>22</v>
      </c>
    </row>
    <row r="5543" spans="1:11" ht="42" customHeight="1">
      <c r="A5543" s="4" t="s">
        <v>12716</v>
      </c>
      <c r="B5543" s="5" t="s">
        <v>12716</v>
      </c>
      <c r="C5543" s="5" t="s">
        <v>35</v>
      </c>
      <c r="D5543" s="5" t="s">
        <v>36</v>
      </c>
      <c r="E5543" s="5" t="s">
        <v>1132</v>
      </c>
      <c r="F5543" s="9">
        <v>72</v>
      </c>
      <c r="G5543" s="9">
        <v>767</v>
      </c>
      <c r="H5543" s="5" t="s">
        <v>20</v>
      </c>
      <c r="I5543" s="5" t="s">
        <v>12717</v>
      </c>
      <c r="J5543" s="12" t="str">
        <f>HYPERLINK("https://www.boe.es/gazeta/dias/1805/09/06/pdfs/GMD-1805-72.pdf#page=7","Abrir facsímil")</f>
        <v>Abrir facsímil</v>
      </c>
      <c r="K5543" s="15" t="s">
        <v>22</v>
      </c>
    </row>
    <row r="5544" spans="1:11" ht="42" customHeight="1">
      <c r="A5544" s="4" t="s">
        <v>12718</v>
      </c>
      <c r="B5544" s="5" t="s">
        <v>12718</v>
      </c>
      <c r="C5544" s="5" t="s">
        <v>35</v>
      </c>
      <c r="D5544" s="5" t="s">
        <v>36</v>
      </c>
      <c r="E5544" s="5" t="s">
        <v>1221</v>
      </c>
      <c r="F5544" s="9">
        <v>41</v>
      </c>
      <c r="G5544" s="9">
        <v>435</v>
      </c>
      <c r="H5544" s="5" t="s">
        <v>20</v>
      </c>
      <c r="I5544" s="5" t="s">
        <v>12719</v>
      </c>
      <c r="J5544" s="12" t="str">
        <f>HYPERLINK("https://www.boe.es/gazeta/dias/1805/05/21/pdfs/GMD-1805-41.pdf#page=3","Abrir facsímil")</f>
        <v>Abrir facsímil</v>
      </c>
      <c r="K5544" s="15" t="s">
        <v>22</v>
      </c>
    </row>
    <row r="5545" spans="1:11" ht="42" customHeight="1">
      <c r="A5545" s="4" t="s">
        <v>12720</v>
      </c>
      <c r="B5545" s="5" t="s">
        <v>12721</v>
      </c>
      <c r="C5545" s="5" t="s">
        <v>35</v>
      </c>
      <c r="D5545" s="5" t="s">
        <v>36</v>
      </c>
      <c r="E5545" s="5" t="s">
        <v>1292</v>
      </c>
      <c r="F5545" s="9">
        <v>43</v>
      </c>
      <c r="G5545" s="9">
        <v>463</v>
      </c>
      <c r="H5545" s="5" t="s">
        <v>20</v>
      </c>
      <c r="I5545" s="5" t="s">
        <v>12722</v>
      </c>
      <c r="J5545" s="12" t="str">
        <f>HYPERLINK("https://www.boe.es/gazeta/dias/1805/05/28/pdfs/GMD-1805-43.pdf#page=7","Abrir facsímil")</f>
        <v>Abrir facsímil</v>
      </c>
      <c r="K5545" s="15" t="s">
        <v>22</v>
      </c>
    </row>
    <row r="5546" spans="1:11" ht="42" customHeight="1">
      <c r="A5546" s="4" t="s">
        <v>12723</v>
      </c>
      <c r="B5546" s="5" t="s">
        <v>12724</v>
      </c>
      <c r="C5546" s="5" t="s">
        <v>17</v>
      </c>
      <c r="D5546" s="5" t="s">
        <v>18</v>
      </c>
      <c r="E5546" s="5" t="s">
        <v>63</v>
      </c>
      <c r="F5546" s="9">
        <v>101</v>
      </c>
      <c r="G5546" s="9">
        <v>1092</v>
      </c>
      <c r="H5546" s="5" t="s">
        <v>20</v>
      </c>
      <c r="I5546" s="5" t="s">
        <v>12725</v>
      </c>
      <c r="J5546" s="12" t="str">
        <f>HYPERLINK("https://www.boe.es/gazeta/dias/1805/12/17/pdfs/GMD-1805-101.pdf#page=8","Abrir facsímil")</f>
        <v>Abrir facsímil</v>
      </c>
      <c r="K5546" s="15" t="s">
        <v>22</v>
      </c>
    </row>
    <row r="5547" spans="1:11" ht="42" customHeight="1">
      <c r="A5547" s="4" t="s">
        <v>12726</v>
      </c>
      <c r="B5547" s="5" t="s">
        <v>12727</v>
      </c>
      <c r="C5547" s="5" t="s">
        <v>35</v>
      </c>
      <c r="D5547" s="5" t="s">
        <v>36</v>
      </c>
      <c r="E5547" s="5" t="s">
        <v>48</v>
      </c>
      <c r="F5547" s="9">
        <v>35</v>
      </c>
      <c r="G5547" s="9">
        <v>379</v>
      </c>
      <c r="H5547" s="5" t="s">
        <v>20</v>
      </c>
      <c r="I5547" s="5" t="s">
        <v>12728</v>
      </c>
      <c r="J5547" s="12" t="str">
        <f>HYPERLINK("https://www.boe.es/gazeta/dias/1805/04/30/pdfs/GMD-1805-35.pdf#page=11","Abrir facsímil")</f>
        <v>Abrir facsímil</v>
      </c>
      <c r="K5547" s="15" t="s">
        <v>22</v>
      </c>
    </row>
    <row r="5548" spans="1:11" ht="42" customHeight="1">
      <c r="A5548" s="4" t="s">
        <v>12729</v>
      </c>
      <c r="B5548" s="5" t="s">
        <v>12730</v>
      </c>
      <c r="C5548" s="5" t="s">
        <v>184</v>
      </c>
      <c r="D5548" s="5" t="s">
        <v>86</v>
      </c>
      <c r="E5548" s="5" t="s">
        <v>144</v>
      </c>
      <c r="F5548" s="9">
        <v>85</v>
      </c>
      <c r="G5548" s="9">
        <v>903</v>
      </c>
      <c r="H5548" s="5" t="s">
        <v>20</v>
      </c>
      <c r="I5548" s="5" t="s">
        <v>12731</v>
      </c>
      <c r="J5548" s="12" t="str">
        <f>HYPERLINK("https://www.boe.es/gazeta/dias/1805/10/22/pdfs/GMD-1805-85.pdf#page=11","Abrir facsímil")</f>
        <v>Abrir facsímil</v>
      </c>
      <c r="K5548" s="15" t="s">
        <v>22</v>
      </c>
    </row>
    <row r="5549" spans="1:11" ht="42" customHeight="1">
      <c r="A5549" s="4" t="s">
        <v>12732</v>
      </c>
      <c r="B5549" s="5" t="s">
        <v>12733</v>
      </c>
      <c r="C5549" s="5" t="s">
        <v>29</v>
      </c>
      <c r="D5549" s="5" t="s">
        <v>30</v>
      </c>
      <c r="E5549" s="5" t="s">
        <v>290</v>
      </c>
      <c r="F5549" s="9">
        <v>36</v>
      </c>
      <c r="G5549" s="9">
        <v>391</v>
      </c>
      <c r="H5549" s="5" t="s">
        <v>20</v>
      </c>
      <c r="I5549" s="5" t="s">
        <v>12734</v>
      </c>
      <c r="J5549" s="12" t="str">
        <f>HYPERLINK("https://www.boe.es/gazeta/dias/1805/05/03/pdfs/GMD-1805-36.pdf#page=11","Abrir facsímil")</f>
        <v>Abrir facsímil</v>
      </c>
      <c r="K5549" s="15" t="s">
        <v>22</v>
      </c>
    </row>
    <row r="5550" spans="1:11" ht="42" customHeight="1">
      <c r="A5550" s="4" t="s">
        <v>12735</v>
      </c>
      <c r="B5550" s="5" t="s">
        <v>12736</v>
      </c>
      <c r="C5550" s="5" t="s">
        <v>17</v>
      </c>
      <c r="D5550" s="5" t="s">
        <v>18</v>
      </c>
      <c r="E5550" s="5" t="s">
        <v>787</v>
      </c>
      <c r="F5550" s="9">
        <v>95</v>
      </c>
      <c r="G5550" s="9">
        <v>1022</v>
      </c>
      <c r="H5550" s="5" t="s">
        <v>20</v>
      </c>
      <c r="I5550" s="5" t="s">
        <v>12737</v>
      </c>
      <c r="J5550" s="12" t="str">
        <f>HYPERLINK("https://www.boe.es/gazeta/dias/1805/11/26/pdfs/GMD-1805-95.pdf#page=10","Abrir facsímil")</f>
        <v>Abrir facsímil</v>
      </c>
      <c r="K5550" s="15" t="s">
        <v>22</v>
      </c>
    </row>
    <row r="5551" spans="1:11" ht="42" customHeight="1">
      <c r="A5551" s="4" t="s">
        <v>12738</v>
      </c>
      <c r="B5551" s="5" t="s">
        <v>12739</v>
      </c>
      <c r="C5551" s="5" t="s">
        <v>35</v>
      </c>
      <c r="D5551" s="5" t="s">
        <v>36</v>
      </c>
      <c r="E5551" s="5" t="s">
        <v>1187</v>
      </c>
      <c r="F5551" s="9">
        <v>40</v>
      </c>
      <c r="G5551" s="9">
        <v>431</v>
      </c>
      <c r="H5551" s="5" t="s">
        <v>20</v>
      </c>
      <c r="I5551" s="5" t="s">
        <v>12740</v>
      </c>
      <c r="J5551" s="12" t="str">
        <f>HYPERLINK("https://www.boe.es/gazeta/dias/1805/05/17/pdfs/GMD-1805-40.pdf#page=7","Abrir facsímil")</f>
        <v>Abrir facsímil</v>
      </c>
      <c r="K5551" s="15" t="s">
        <v>22</v>
      </c>
    </row>
    <row r="5552" spans="1:11" ht="42" customHeight="1">
      <c r="A5552" s="4" t="s">
        <v>12741</v>
      </c>
      <c r="B5552" s="5" t="s">
        <v>12742</v>
      </c>
      <c r="C5552" s="5" t="s">
        <v>85</v>
      </c>
      <c r="D5552" s="5" t="s">
        <v>86</v>
      </c>
      <c r="E5552" s="5" t="s">
        <v>273</v>
      </c>
      <c r="F5552" s="9">
        <v>8</v>
      </c>
      <c r="G5552" s="9">
        <v>88</v>
      </c>
      <c r="H5552" s="5" t="s">
        <v>20</v>
      </c>
      <c r="I5552" s="5" t="s">
        <v>12743</v>
      </c>
      <c r="J5552" s="12" t="str">
        <f>HYPERLINK("https://www.boe.es/gazeta/dias/1805/01/25/pdfs/GMD-1805-8.pdf#page=8","Abrir facsímil")</f>
        <v>Abrir facsímil</v>
      </c>
      <c r="K5552" s="15" t="s">
        <v>22</v>
      </c>
    </row>
    <row r="5553" spans="1:11" ht="42" customHeight="1">
      <c r="A5553" s="4" t="s">
        <v>12744</v>
      </c>
      <c r="B5553" s="5" t="s">
        <v>12745</v>
      </c>
      <c r="C5553" s="5" t="s">
        <v>35</v>
      </c>
      <c r="D5553" s="5" t="s">
        <v>36</v>
      </c>
      <c r="E5553" s="5" t="s">
        <v>138</v>
      </c>
      <c r="F5553" s="9">
        <v>102</v>
      </c>
      <c r="G5553" s="9">
        <v>1104</v>
      </c>
      <c r="H5553" s="5" t="s">
        <v>20</v>
      </c>
      <c r="I5553" s="5" t="s">
        <v>12746</v>
      </c>
      <c r="J5553" s="12" t="str">
        <f>HYPERLINK("https://www.boe.es/gazeta/dias/1805/12/20/pdfs/GMD-1805-102.pdf#page=8","Abrir facsímil")</f>
        <v>Abrir facsímil</v>
      </c>
      <c r="K5553" s="15" t="s">
        <v>22</v>
      </c>
    </row>
    <row r="5554" spans="1:11" ht="42" customHeight="1">
      <c r="A5554" s="4" t="s">
        <v>12747</v>
      </c>
      <c r="B5554" s="5" t="s">
        <v>12748</v>
      </c>
      <c r="C5554" s="5" t="s">
        <v>35</v>
      </c>
      <c r="D5554" s="5" t="s">
        <v>36</v>
      </c>
      <c r="E5554" s="5" t="s">
        <v>363</v>
      </c>
      <c r="F5554" s="9">
        <v>1</v>
      </c>
      <c r="G5554" s="9">
        <v>10</v>
      </c>
      <c r="H5554" s="5" t="s">
        <v>20</v>
      </c>
      <c r="I5554" s="5" t="s">
        <v>12749</v>
      </c>
      <c r="J5554" s="12" t="str">
        <f>HYPERLINK("https://www.boe.es/gazeta/dias/1805/01/01/pdfs/GMD-1805-1.pdf#page=10","Abrir facsímil")</f>
        <v>Abrir facsímil</v>
      </c>
      <c r="K5554" s="15" t="s">
        <v>22</v>
      </c>
    </row>
    <row r="5555" spans="1:11" ht="42" customHeight="1">
      <c r="A5555" s="4" t="s">
        <v>12750</v>
      </c>
      <c r="B5555" s="5" t="s">
        <v>12751</v>
      </c>
      <c r="C5555" s="5" t="s">
        <v>35</v>
      </c>
      <c r="D5555" s="5" t="s">
        <v>36</v>
      </c>
      <c r="E5555" s="5" t="s">
        <v>213</v>
      </c>
      <c r="F5555" s="9">
        <v>56</v>
      </c>
      <c r="G5555" s="9">
        <v>600</v>
      </c>
      <c r="H5555" s="5" t="s">
        <v>20</v>
      </c>
      <c r="I5555" s="5" t="s">
        <v>12752</v>
      </c>
      <c r="J5555" s="12" t="str">
        <f>HYPERLINK("https://www.boe.es/gazeta/dias/1805/07/12/pdfs/GMD-1805-56.pdf#page=8","Abrir facsímil")</f>
        <v>Abrir facsímil</v>
      </c>
      <c r="K5555" s="15" t="s">
        <v>22</v>
      </c>
    </row>
    <row r="5556" spans="1:11" ht="42" customHeight="1">
      <c r="A5556" s="4" t="s">
        <v>12753</v>
      </c>
      <c r="B5556" s="5" t="s">
        <v>12754</v>
      </c>
      <c r="C5556" s="5" t="s">
        <v>17</v>
      </c>
      <c r="D5556" s="5" t="s">
        <v>18</v>
      </c>
      <c r="E5556" s="5" t="s">
        <v>649</v>
      </c>
      <c r="F5556" s="9">
        <v>7</v>
      </c>
      <c r="G5556" s="9">
        <v>79</v>
      </c>
      <c r="H5556" s="5" t="s">
        <v>20</v>
      </c>
      <c r="I5556" s="5" t="s">
        <v>12755</v>
      </c>
      <c r="J5556" s="12" t="str">
        <f>HYPERLINK("https://www.boe.es/gazeta/dias/1805/01/22/pdfs/GMD-1805-7.pdf#page=11","Abrir facsímil")</f>
        <v>Abrir facsímil</v>
      </c>
      <c r="K5556" s="15" t="s">
        <v>22</v>
      </c>
    </row>
    <row r="5557" spans="1:11" ht="42" customHeight="1">
      <c r="A5557" s="4" t="s">
        <v>12756</v>
      </c>
      <c r="B5557" s="5" t="s">
        <v>12757</v>
      </c>
      <c r="C5557" s="5" t="s">
        <v>35</v>
      </c>
      <c r="D5557" s="5" t="s">
        <v>36</v>
      </c>
      <c r="E5557" s="5" t="s">
        <v>352</v>
      </c>
      <c r="F5557" s="9">
        <v>60</v>
      </c>
      <c r="G5557" s="9">
        <v>645</v>
      </c>
      <c r="H5557" s="5" t="s">
        <v>20</v>
      </c>
      <c r="I5557" s="5" t="s">
        <v>12758</v>
      </c>
      <c r="J5557" s="12" t="str">
        <f>HYPERLINK("https://www.boe.es/gazeta/dias/1805/07/26/pdfs/GMD-1805-60.pdf#page=9","Abrir facsímil")</f>
        <v>Abrir facsímil</v>
      </c>
      <c r="K5557" s="15" t="s">
        <v>22</v>
      </c>
    </row>
    <row r="5558" spans="1:11" ht="42" customHeight="1">
      <c r="A5558" s="4" t="s">
        <v>12759</v>
      </c>
      <c r="B5558" s="5" t="s">
        <v>12760</v>
      </c>
      <c r="C5558" s="5" t="s">
        <v>35</v>
      </c>
      <c r="D5558" s="5" t="s">
        <v>36</v>
      </c>
      <c r="E5558" s="5" t="s">
        <v>192</v>
      </c>
      <c r="F5558" s="9">
        <v>105</v>
      </c>
      <c r="G5558" s="9">
        <v>1137</v>
      </c>
      <c r="H5558" s="5" t="s">
        <v>20</v>
      </c>
      <c r="I5558" s="5" t="s">
        <v>12761</v>
      </c>
      <c r="J5558" s="12" t="str">
        <f>HYPERLINK("https://www.boe.es/gazeta/dias/1805/12/31/pdfs/GMD-1805-105.pdf#page=9","Abrir facsímil")</f>
        <v>Abrir facsímil</v>
      </c>
      <c r="K5558" s="15" t="s">
        <v>22</v>
      </c>
    </row>
    <row r="5559" spans="1:11" ht="42" customHeight="1">
      <c r="A5559" s="4" t="s">
        <v>12762</v>
      </c>
      <c r="B5559" s="5" t="s">
        <v>12763</v>
      </c>
      <c r="C5559" s="5" t="s">
        <v>35</v>
      </c>
      <c r="D5559" s="5" t="s">
        <v>36</v>
      </c>
      <c r="E5559" s="5" t="s">
        <v>188</v>
      </c>
      <c r="F5559" s="9">
        <v>68</v>
      </c>
      <c r="G5559" s="9">
        <v>729</v>
      </c>
      <c r="H5559" s="5" t="s">
        <v>20</v>
      </c>
      <c r="I5559" s="5" t="s">
        <v>12764</v>
      </c>
      <c r="J5559" s="12" t="str">
        <f>HYPERLINK("https://www.boe.es/gazeta/dias/1805/08/23/pdfs/GMD-1805-68.pdf#page=9","Abrir facsímil")</f>
        <v>Abrir facsímil</v>
      </c>
      <c r="K5559" s="15" t="s">
        <v>22</v>
      </c>
    </row>
    <row r="5560" spans="1:11" ht="42" customHeight="1">
      <c r="A5560" s="4" t="s">
        <v>12765</v>
      </c>
      <c r="B5560" s="5" t="s">
        <v>12766</v>
      </c>
      <c r="C5560" s="5" t="s">
        <v>35</v>
      </c>
      <c r="D5560" s="5" t="s">
        <v>36</v>
      </c>
      <c r="E5560" s="5" t="s">
        <v>207</v>
      </c>
      <c r="F5560" s="9">
        <v>76</v>
      </c>
      <c r="G5560" s="9">
        <v>806</v>
      </c>
      <c r="H5560" s="5" t="s">
        <v>20</v>
      </c>
      <c r="I5560" s="5" t="s">
        <v>12767</v>
      </c>
      <c r="J5560" s="12" t="str">
        <f>HYPERLINK("https://www.boe.es/gazeta/dias/1805/09/20/pdfs/GMD-1805-76.pdf#page=6","Abrir facsímil")</f>
        <v>Abrir facsímil</v>
      </c>
      <c r="K5560" s="15" t="s">
        <v>22</v>
      </c>
    </row>
    <row r="5561" spans="1:11" ht="42" customHeight="1">
      <c r="A5561" s="4" t="s">
        <v>12768</v>
      </c>
      <c r="B5561" s="5" t="s">
        <v>12769</v>
      </c>
      <c r="C5561" s="5" t="s">
        <v>17</v>
      </c>
      <c r="D5561" s="5" t="s">
        <v>18</v>
      </c>
      <c r="E5561" s="5" t="s">
        <v>138</v>
      </c>
      <c r="F5561" s="9">
        <v>102</v>
      </c>
      <c r="G5561" s="9">
        <v>1104</v>
      </c>
      <c r="H5561" s="5" t="s">
        <v>20</v>
      </c>
      <c r="I5561" s="5" t="s">
        <v>12770</v>
      </c>
      <c r="J5561" s="12" t="str">
        <f>HYPERLINK("https://www.boe.es/gazeta/dias/1805/12/20/pdfs/GMD-1805-102.pdf#page=8","Abrir facsímil")</f>
        <v>Abrir facsímil</v>
      </c>
      <c r="K5561" s="15" t="s">
        <v>22</v>
      </c>
    </row>
    <row r="5562" spans="1:11" ht="42" customHeight="1">
      <c r="A5562" s="4" t="s">
        <v>12771</v>
      </c>
      <c r="B5562" s="5" t="s">
        <v>12772</v>
      </c>
      <c r="C5562" s="5" t="s">
        <v>29</v>
      </c>
      <c r="D5562" s="5" t="s">
        <v>30</v>
      </c>
      <c r="E5562" s="5" t="s">
        <v>296</v>
      </c>
      <c r="F5562" s="9">
        <v>26</v>
      </c>
      <c r="G5562" s="9">
        <v>279</v>
      </c>
      <c r="H5562" s="5" t="s">
        <v>20</v>
      </c>
      <c r="I5562" s="5" t="s">
        <v>12773</v>
      </c>
      <c r="J5562" s="12" t="str">
        <f>HYPERLINK("https://www.boe.es/gazeta/dias/1805/03/29/pdfs/GMD-1805-26.pdf#page=11","Abrir facsímil")</f>
        <v>Abrir facsímil</v>
      </c>
      <c r="K5562" s="15" t="s">
        <v>22</v>
      </c>
    </row>
    <row r="5563" spans="1:11" ht="42" customHeight="1">
      <c r="A5563" s="4" t="s">
        <v>12774</v>
      </c>
      <c r="B5563" s="5" t="s">
        <v>12775</v>
      </c>
      <c r="C5563" s="5" t="s">
        <v>35</v>
      </c>
      <c r="D5563" s="5" t="s">
        <v>36</v>
      </c>
      <c r="E5563" s="5" t="s">
        <v>387</v>
      </c>
      <c r="F5563" s="9">
        <v>4</v>
      </c>
      <c r="G5563" s="9">
        <v>42</v>
      </c>
      <c r="H5563" s="5" t="s">
        <v>20</v>
      </c>
      <c r="I5563" s="5" t="s">
        <v>12776</v>
      </c>
      <c r="J5563" s="12" t="str">
        <f>HYPERLINK("https://www.boe.es/gazeta/dias/1805/01/11/pdfs/GMD-1805-4.pdf#page=10","Abrir facsímil")</f>
        <v>Abrir facsímil</v>
      </c>
      <c r="K5563" s="15" t="s">
        <v>22</v>
      </c>
    </row>
    <row r="5564" spans="1:11" ht="42" customHeight="1">
      <c r="A5564" s="4" t="s">
        <v>12777</v>
      </c>
      <c r="B5564" s="5" t="s">
        <v>12778</v>
      </c>
      <c r="C5564" s="5" t="s">
        <v>35</v>
      </c>
      <c r="D5564" s="5" t="s">
        <v>36</v>
      </c>
      <c r="E5564" s="5" t="s">
        <v>512</v>
      </c>
      <c r="F5564" s="9">
        <v>100</v>
      </c>
      <c r="G5564" s="9">
        <v>1081</v>
      </c>
      <c r="H5564" s="5" t="s">
        <v>20</v>
      </c>
      <c r="I5564" s="5" t="s">
        <v>12779</v>
      </c>
      <c r="J5564" s="12" t="str">
        <f>HYPERLINK("https://www.boe.es/gazeta/dias/1805/12/13/pdfs/GMD-1805-100.pdf#page=9","Abrir facsímil")</f>
        <v>Abrir facsímil</v>
      </c>
      <c r="K5564" s="15" t="s">
        <v>22</v>
      </c>
    </row>
    <row r="5565" spans="1:11" ht="42" customHeight="1">
      <c r="A5565" s="4" t="s">
        <v>12780</v>
      </c>
      <c r="B5565" s="5" t="s">
        <v>12781</v>
      </c>
      <c r="C5565" s="5" t="s">
        <v>29</v>
      </c>
      <c r="D5565" s="5" t="s">
        <v>30</v>
      </c>
      <c r="E5565" s="5" t="s">
        <v>440</v>
      </c>
      <c r="F5565" s="9">
        <v>27</v>
      </c>
      <c r="G5565" s="9">
        <v>292</v>
      </c>
      <c r="H5565" s="5" t="s">
        <v>20</v>
      </c>
      <c r="I5565" s="5" t="s">
        <v>12782</v>
      </c>
      <c r="J5565" s="12" t="str">
        <f>HYPERLINK("https://www.boe.es/gazeta/dias/1805/04/02/pdfs/GMD-1805-27.pdf#page=12","Abrir facsímil")</f>
        <v>Abrir facsímil</v>
      </c>
      <c r="K5565" s="15" t="s">
        <v>22</v>
      </c>
    </row>
    <row r="5566" spans="1:11" ht="42" customHeight="1">
      <c r="A5566" s="4" t="s">
        <v>12780</v>
      </c>
      <c r="B5566" s="5" t="s">
        <v>12781</v>
      </c>
      <c r="C5566" s="5" t="s">
        <v>29</v>
      </c>
      <c r="D5566" s="5" t="s">
        <v>30</v>
      </c>
      <c r="E5566" s="5" t="s">
        <v>850</v>
      </c>
      <c r="F5566" s="9">
        <v>42</v>
      </c>
      <c r="G5566" s="9">
        <v>455</v>
      </c>
      <c r="H5566" s="5" t="s">
        <v>20</v>
      </c>
      <c r="I5566" s="5" t="s">
        <v>12783</v>
      </c>
      <c r="J5566" s="12" t="str">
        <f>HYPERLINK("https://www.boe.es/gazeta/dias/1805/05/24/pdfs/GMD-1805-42.pdf#page=11","Abrir facsímil")</f>
        <v>Abrir facsímil</v>
      </c>
      <c r="K5566" s="15" t="s">
        <v>22</v>
      </c>
    </row>
    <row r="5567" spans="1:11" ht="42" customHeight="1">
      <c r="A5567" s="4" t="s">
        <v>12780</v>
      </c>
      <c r="B5567" s="5" t="s">
        <v>12781</v>
      </c>
      <c r="C5567" s="5" t="s">
        <v>17</v>
      </c>
      <c r="D5567" s="5" t="s">
        <v>18</v>
      </c>
      <c r="E5567" s="5" t="s">
        <v>729</v>
      </c>
      <c r="F5567" s="9">
        <v>61</v>
      </c>
      <c r="G5567" s="9">
        <v>656</v>
      </c>
      <c r="H5567" s="5" t="s">
        <v>20</v>
      </c>
      <c r="I5567" s="5" t="s">
        <v>12784</v>
      </c>
      <c r="J5567" s="12" t="str">
        <f>HYPERLINK("https://www.boe.es/gazeta/dias/1805/07/30/pdfs/GMD-1805-61.pdf#page=8","Abrir facsímil")</f>
        <v>Abrir facsímil</v>
      </c>
      <c r="K5567" s="15" t="s">
        <v>22</v>
      </c>
    </row>
    <row r="5568" spans="1:11" ht="42" customHeight="1">
      <c r="A5568" s="4" t="s">
        <v>12780</v>
      </c>
      <c r="B5568" s="5" t="s">
        <v>12781</v>
      </c>
      <c r="C5568" s="5" t="s">
        <v>29</v>
      </c>
      <c r="D5568" s="5" t="s">
        <v>30</v>
      </c>
      <c r="E5568" s="5" t="s">
        <v>31</v>
      </c>
      <c r="F5568" s="9">
        <v>65</v>
      </c>
      <c r="G5568" s="9">
        <v>699</v>
      </c>
      <c r="H5568" s="5" t="s">
        <v>20</v>
      </c>
      <c r="I5568" s="5" t="s">
        <v>12785</v>
      </c>
      <c r="J5568" s="12" t="str">
        <f>HYPERLINK("https://www.boe.es/gazeta/dias/1805/08/13/pdfs/GMD-1805-65.pdf#page=11","Abrir facsímil")</f>
        <v>Abrir facsímil</v>
      </c>
      <c r="K5568" s="15" t="s">
        <v>22</v>
      </c>
    </row>
    <row r="5569" spans="1:11" ht="42" customHeight="1">
      <c r="A5569" s="4" t="s">
        <v>12780</v>
      </c>
      <c r="B5569" s="5" t="s">
        <v>12781</v>
      </c>
      <c r="C5569" s="5" t="s">
        <v>29</v>
      </c>
      <c r="D5569" s="5" t="s">
        <v>30</v>
      </c>
      <c r="E5569" s="5" t="s">
        <v>196</v>
      </c>
      <c r="F5569" s="9">
        <v>67</v>
      </c>
      <c r="G5569" s="9">
        <v>720</v>
      </c>
      <c r="H5569" s="5" t="s">
        <v>20</v>
      </c>
      <c r="I5569" s="5" t="s">
        <v>12786</v>
      </c>
      <c r="J5569" s="12" t="str">
        <f>HYPERLINK("https://www.boe.es/gazeta/dias/1805/08/20/pdfs/GMD-1805-67.pdf#page=8","Abrir facsímil")</f>
        <v>Abrir facsímil</v>
      </c>
      <c r="K5569" s="15" t="s">
        <v>22</v>
      </c>
    </row>
    <row r="5570" spans="1:11" ht="42" customHeight="1">
      <c r="A5570" s="4" t="s">
        <v>12787</v>
      </c>
      <c r="B5570" s="5" t="s">
        <v>12788</v>
      </c>
      <c r="C5570" s="5" t="s">
        <v>35</v>
      </c>
      <c r="D5570" s="5" t="s">
        <v>36</v>
      </c>
      <c r="E5570" s="5" t="s">
        <v>303</v>
      </c>
      <c r="F5570" s="9">
        <v>57</v>
      </c>
      <c r="G5570" s="9">
        <v>612</v>
      </c>
      <c r="H5570" s="5" t="s">
        <v>20</v>
      </c>
      <c r="I5570" s="5" t="s">
        <v>12789</v>
      </c>
      <c r="J5570" s="12" t="str">
        <f>HYPERLINK("https://www.boe.es/gazeta/dias/1805/07/16/pdfs/GMD-1805-57.pdf#page=8","Abrir facsímil")</f>
        <v>Abrir facsímil</v>
      </c>
      <c r="K5570" s="15" t="s">
        <v>22</v>
      </c>
    </row>
    <row r="5571" spans="1:11" ht="42" customHeight="1">
      <c r="A5571" s="4" t="s">
        <v>12790</v>
      </c>
      <c r="B5571" s="5" t="s">
        <v>12791</v>
      </c>
      <c r="C5571" s="5" t="s">
        <v>184</v>
      </c>
      <c r="D5571" s="5" t="s">
        <v>86</v>
      </c>
      <c r="E5571" s="5" t="s">
        <v>59</v>
      </c>
      <c r="F5571" s="9">
        <v>21</v>
      </c>
      <c r="G5571" s="9">
        <v>222</v>
      </c>
      <c r="H5571" s="5" t="s">
        <v>20</v>
      </c>
      <c r="I5571" s="5" t="s">
        <v>12792</v>
      </c>
      <c r="J5571" s="12" t="str">
        <f>HYPERLINK("https://www.boe.es/gazeta/dias/1805/03/12/pdfs/GMD-1805-21.pdf#page=10","Abrir facsímil")</f>
        <v>Abrir facsímil</v>
      </c>
      <c r="K5571" s="15" t="s">
        <v>22</v>
      </c>
    </row>
    <row r="5572" spans="1:11" ht="42" customHeight="1">
      <c r="A5572" s="4" t="s">
        <v>12793</v>
      </c>
      <c r="B5572" s="5" t="s">
        <v>12794</v>
      </c>
      <c r="C5572" s="5" t="s">
        <v>35</v>
      </c>
      <c r="D5572" s="5" t="s">
        <v>36</v>
      </c>
      <c r="E5572" s="5" t="s">
        <v>188</v>
      </c>
      <c r="F5572" s="9">
        <v>68</v>
      </c>
      <c r="G5572" s="9">
        <v>729</v>
      </c>
      <c r="H5572" s="5" t="s">
        <v>20</v>
      </c>
      <c r="I5572" s="5" t="s">
        <v>12795</v>
      </c>
      <c r="J5572" s="12" t="str">
        <f>HYPERLINK("https://www.boe.es/gazeta/dias/1805/08/23/pdfs/GMD-1805-68.pdf#page=9","Abrir facsímil")</f>
        <v>Abrir facsímil</v>
      </c>
      <c r="K5572" s="15" t="s">
        <v>22</v>
      </c>
    </row>
    <row r="5573" spans="1:11" ht="42" customHeight="1">
      <c r="A5573" s="4" t="s">
        <v>12796</v>
      </c>
      <c r="B5573" s="5" t="s">
        <v>12797</v>
      </c>
      <c r="C5573" s="5" t="s">
        <v>17</v>
      </c>
      <c r="D5573" s="5" t="s">
        <v>18</v>
      </c>
      <c r="E5573" s="5" t="s">
        <v>399</v>
      </c>
      <c r="F5573" s="9">
        <v>39</v>
      </c>
      <c r="G5573" s="9">
        <v>422</v>
      </c>
      <c r="H5573" s="5" t="s">
        <v>20</v>
      </c>
      <c r="I5573" s="5" t="s">
        <v>12798</v>
      </c>
      <c r="J5573" s="12" t="str">
        <f>HYPERLINK("https://www.boe.es/gazeta/dias/1805/05/14/pdfs/GMD-1805-39.pdf#page=10","Abrir facsímil")</f>
        <v>Abrir facsímil</v>
      </c>
      <c r="K5573" s="15" t="s">
        <v>22</v>
      </c>
    </row>
    <row r="5574" spans="1:11" ht="42" customHeight="1">
      <c r="A5574" s="4" t="s">
        <v>12799</v>
      </c>
      <c r="B5574" s="5" t="s">
        <v>12800</v>
      </c>
      <c r="C5574" s="5" t="s">
        <v>35</v>
      </c>
      <c r="D5574" s="5" t="s">
        <v>36</v>
      </c>
      <c r="E5574" s="5" t="s">
        <v>217</v>
      </c>
      <c r="F5574" s="9">
        <v>96</v>
      </c>
      <c r="G5574" s="9">
        <v>1029</v>
      </c>
      <c r="H5574" s="5" t="s">
        <v>20</v>
      </c>
      <c r="I5574" s="5" t="s">
        <v>12801</v>
      </c>
      <c r="J5574" s="12" t="str">
        <f>HYPERLINK("https://www.boe.es/gazeta/dias/1805/11/29/pdfs/GMD-1805-96.pdf#page=5","Abrir facsímil")</f>
        <v>Abrir facsímil</v>
      </c>
      <c r="K5574" s="15" t="s">
        <v>22</v>
      </c>
    </row>
    <row r="5575" spans="1:11" ht="42" customHeight="1">
      <c r="A5575" s="4" t="s">
        <v>12799</v>
      </c>
      <c r="B5575" s="5" t="s">
        <v>12800</v>
      </c>
      <c r="C5575" s="5" t="s">
        <v>85</v>
      </c>
      <c r="D5575" s="5" t="s">
        <v>86</v>
      </c>
      <c r="E5575" s="5" t="s">
        <v>217</v>
      </c>
      <c r="F5575" s="9">
        <v>96</v>
      </c>
      <c r="G5575" s="9">
        <v>1030</v>
      </c>
      <c r="H5575" s="5" t="s">
        <v>20</v>
      </c>
      <c r="I5575" s="5" t="s">
        <v>12802</v>
      </c>
      <c r="J5575" s="12" t="str">
        <f>HYPERLINK("https://www.boe.es/gazeta/dias/1805/11/29/pdfs/GMD-1805-96.pdf#page=6","Abrir facsímil")</f>
        <v>Abrir facsímil</v>
      </c>
      <c r="K5575" s="15" t="s">
        <v>22</v>
      </c>
    </row>
    <row r="5576" spans="1:11" ht="42" customHeight="1">
      <c r="A5576" s="4" t="s">
        <v>12803</v>
      </c>
      <c r="B5576" s="5" t="s">
        <v>12803</v>
      </c>
      <c r="C5576" s="5" t="s">
        <v>264</v>
      </c>
      <c r="D5576" s="5" t="s">
        <v>265</v>
      </c>
      <c r="E5576" s="5" t="s">
        <v>261</v>
      </c>
      <c r="F5576" s="9">
        <v>18</v>
      </c>
      <c r="G5576" s="9" t="s">
        <v>55</v>
      </c>
      <c r="H5576" s="5" t="s">
        <v>20</v>
      </c>
      <c r="I5576" s="5" t="s">
        <v>12804</v>
      </c>
      <c r="J5576" s="12" t="str">
        <f>HYPERLINK("https://www.boe.es/gazeta/dias/1805/03/01/pdfs/GMD-C-1805-18.pdf#page=4","Abrir facsímil")</f>
        <v>Abrir facsímil</v>
      </c>
      <c r="K5576" s="15" t="s">
        <v>22</v>
      </c>
    </row>
    <row r="5577" spans="1:11" ht="42" customHeight="1">
      <c r="A5577" s="4" t="s">
        <v>12803</v>
      </c>
      <c r="B5577" s="5" t="s">
        <v>12803</v>
      </c>
      <c r="C5577" s="5" t="s">
        <v>35</v>
      </c>
      <c r="D5577" s="5" t="s">
        <v>36</v>
      </c>
      <c r="E5577" s="5" t="s">
        <v>352</v>
      </c>
      <c r="F5577" s="9">
        <v>60</v>
      </c>
      <c r="G5577" s="9">
        <v>647</v>
      </c>
      <c r="H5577" s="5" t="s">
        <v>20</v>
      </c>
      <c r="I5577" s="5" t="s">
        <v>12805</v>
      </c>
      <c r="J5577" s="12" t="str">
        <f>HYPERLINK("https://www.boe.es/gazeta/dias/1805/07/26/pdfs/GMD-1805-60.pdf#page=11","Abrir facsímil")</f>
        <v>Abrir facsímil</v>
      </c>
      <c r="K5577" s="15" t="s">
        <v>22</v>
      </c>
    </row>
    <row r="5578" spans="1:11" ht="42" customHeight="1">
      <c r="A5578" s="4" t="s">
        <v>12806</v>
      </c>
      <c r="B5578" s="5" t="s">
        <v>12806</v>
      </c>
      <c r="C5578" s="5" t="s">
        <v>17</v>
      </c>
      <c r="D5578" s="5" t="s">
        <v>18</v>
      </c>
      <c r="E5578" s="5" t="s">
        <v>850</v>
      </c>
      <c r="F5578" s="9">
        <v>42</v>
      </c>
      <c r="G5578" s="9">
        <v>454</v>
      </c>
      <c r="H5578" s="5" t="s">
        <v>20</v>
      </c>
      <c r="I5578" s="5" t="s">
        <v>12807</v>
      </c>
      <c r="J5578" s="12" t="str">
        <f>HYPERLINK("https://www.boe.es/gazeta/dias/1805/05/24/pdfs/GMD-1805-42.pdf#page=10","Abrir facsímil")</f>
        <v>Abrir facsímil</v>
      </c>
      <c r="K5578" s="15" t="s">
        <v>22</v>
      </c>
    </row>
    <row r="5579" spans="1:11" ht="42" customHeight="1">
      <c r="A5579" s="4" t="s">
        <v>12808</v>
      </c>
      <c r="B5579" s="5" t="s">
        <v>12809</v>
      </c>
      <c r="C5579" s="5" t="s">
        <v>17</v>
      </c>
      <c r="D5579" s="5" t="s">
        <v>18</v>
      </c>
      <c r="E5579" s="5" t="s">
        <v>729</v>
      </c>
      <c r="F5579" s="9">
        <v>61</v>
      </c>
      <c r="G5579" s="9">
        <v>655</v>
      </c>
      <c r="H5579" s="5" t="s">
        <v>20</v>
      </c>
      <c r="I5579" s="5" t="s">
        <v>12810</v>
      </c>
      <c r="J5579" s="12" t="str">
        <f>HYPERLINK("https://www.boe.es/gazeta/dias/1805/07/30/pdfs/GMD-1805-61.pdf#page=7","Abrir facsímil")</f>
        <v>Abrir facsímil</v>
      </c>
      <c r="K5579" s="15" t="s">
        <v>22</v>
      </c>
    </row>
    <row r="5580" spans="1:11" ht="42" customHeight="1">
      <c r="A5580" s="4" t="s">
        <v>12811</v>
      </c>
      <c r="B5580" s="5" t="s">
        <v>12812</v>
      </c>
      <c r="C5580" s="5" t="s">
        <v>35</v>
      </c>
      <c r="D5580" s="5" t="s">
        <v>36</v>
      </c>
      <c r="E5580" s="5" t="s">
        <v>181</v>
      </c>
      <c r="F5580" s="9">
        <v>90</v>
      </c>
      <c r="G5580" s="9">
        <v>964</v>
      </c>
      <c r="H5580" s="5" t="s">
        <v>20</v>
      </c>
      <c r="I5580" s="5" t="s">
        <v>12813</v>
      </c>
      <c r="J5580" s="12" t="str">
        <f>HYPERLINK("https://www.boe.es/gazeta/dias/1805/11/08/pdfs/GMD-1805-90.pdf#page=8","Abrir facsímil")</f>
        <v>Abrir facsímil</v>
      </c>
      <c r="K5580" s="15" t="s">
        <v>22</v>
      </c>
    </row>
    <row r="5581" spans="1:11" ht="42" customHeight="1">
      <c r="A5581" s="4" t="s">
        <v>12814</v>
      </c>
      <c r="B5581" s="5" t="s">
        <v>12815</v>
      </c>
      <c r="C5581" s="5" t="s">
        <v>35</v>
      </c>
      <c r="D5581" s="5" t="s">
        <v>36</v>
      </c>
      <c r="E5581" s="5" t="s">
        <v>1221</v>
      </c>
      <c r="F5581" s="9">
        <v>41</v>
      </c>
      <c r="G5581" s="9">
        <v>442</v>
      </c>
      <c r="H5581" s="5" t="s">
        <v>20</v>
      </c>
      <c r="I5581" s="5" t="s">
        <v>12816</v>
      </c>
      <c r="J5581" s="12" t="str">
        <f>HYPERLINK("https://www.boe.es/gazeta/dias/1805/05/21/pdfs/GMD-1805-41.pdf#page=10","Abrir facsímil")</f>
        <v>Abrir facsímil</v>
      </c>
      <c r="K5581" s="15" t="s">
        <v>22</v>
      </c>
    </row>
    <row r="5582" spans="1:11" ht="42" customHeight="1">
      <c r="A5582" s="4" t="s">
        <v>12817</v>
      </c>
      <c r="B5582" s="5" t="s">
        <v>12818</v>
      </c>
      <c r="C5582" s="5" t="s">
        <v>35</v>
      </c>
      <c r="D5582" s="5" t="s">
        <v>36</v>
      </c>
      <c r="E5582" s="5" t="s">
        <v>103</v>
      </c>
      <c r="F5582" s="9">
        <v>30</v>
      </c>
      <c r="G5582" s="9">
        <v>323</v>
      </c>
      <c r="H5582" s="5" t="s">
        <v>20</v>
      </c>
      <c r="I5582" s="5" t="s">
        <v>12819</v>
      </c>
      <c r="J5582" s="12" t="str">
        <f>HYPERLINK("https://www.boe.es/gazeta/dias/1805/04/12/pdfs/GMD-1805-30.pdf#page=7","Abrir facsímil")</f>
        <v>Abrir facsímil</v>
      </c>
      <c r="K5582" s="15" t="s">
        <v>22</v>
      </c>
    </row>
    <row r="5583" spans="1:11" ht="42" customHeight="1">
      <c r="A5583" s="4" t="s">
        <v>12820</v>
      </c>
      <c r="B5583" s="5" t="s">
        <v>12820</v>
      </c>
      <c r="C5583" s="5" t="s">
        <v>29</v>
      </c>
      <c r="D5583" s="5" t="s">
        <v>30</v>
      </c>
      <c r="E5583" s="5" t="s">
        <v>120</v>
      </c>
      <c r="F5583" s="9">
        <v>24</v>
      </c>
      <c r="G5583" s="9">
        <v>260</v>
      </c>
      <c r="H5583" s="5" t="s">
        <v>20</v>
      </c>
      <c r="I5583" s="5" t="s">
        <v>12821</v>
      </c>
      <c r="J5583" s="12" t="str">
        <f>HYPERLINK("https://www.boe.es/gazeta/dias/1805/03/22/pdfs/GMD-1805-24.pdf#page=12","Abrir facsímil")</f>
        <v>Abrir facsímil</v>
      </c>
      <c r="K5583" s="15" t="s">
        <v>22</v>
      </c>
    </row>
    <row r="5584" spans="1:11" ht="42" customHeight="1">
      <c r="A5584" s="4" t="s">
        <v>12822</v>
      </c>
      <c r="B5584" s="5" t="s">
        <v>12823</v>
      </c>
      <c r="C5584" s="5" t="s">
        <v>17</v>
      </c>
      <c r="D5584" s="5" t="s">
        <v>18</v>
      </c>
      <c r="E5584" s="5" t="s">
        <v>138</v>
      </c>
      <c r="F5584" s="9">
        <v>102</v>
      </c>
      <c r="G5584" s="9">
        <v>1104</v>
      </c>
      <c r="H5584" s="5" t="s">
        <v>20</v>
      </c>
      <c r="I5584" s="5" t="s">
        <v>12824</v>
      </c>
      <c r="J5584" s="12" t="str">
        <f>HYPERLINK("https://www.boe.es/gazeta/dias/1805/12/20/pdfs/GMD-1805-102.pdf#page=8","Abrir facsímil")</f>
        <v>Abrir facsímil</v>
      </c>
      <c r="K5584" s="15" t="s">
        <v>22</v>
      </c>
    </row>
    <row r="5585" spans="1:11" ht="42" customHeight="1">
      <c r="A5585" s="4" t="s">
        <v>12825</v>
      </c>
      <c r="B5585" s="5" t="s">
        <v>12826</v>
      </c>
      <c r="C5585" s="5" t="s">
        <v>35</v>
      </c>
      <c r="D5585" s="5" t="s">
        <v>36</v>
      </c>
      <c r="E5585" s="5" t="s">
        <v>117</v>
      </c>
      <c r="F5585" s="9">
        <v>20</v>
      </c>
      <c r="G5585" s="9">
        <v>209</v>
      </c>
      <c r="H5585" s="5" t="s">
        <v>20</v>
      </c>
      <c r="I5585" s="5" t="s">
        <v>12827</v>
      </c>
      <c r="J5585" s="12" t="str">
        <f>HYPERLINK("https://www.boe.es/gazeta/dias/1805/03/08/pdfs/GMD-1805-20.pdf#page=9","Abrir facsímil")</f>
        <v>Abrir facsímil</v>
      </c>
      <c r="K5585" s="15" t="s">
        <v>22</v>
      </c>
    </row>
    <row r="5586" spans="1:11" ht="42" customHeight="1">
      <c r="A5586" s="4" t="s">
        <v>12828</v>
      </c>
      <c r="B5586" s="5" t="s">
        <v>12829</v>
      </c>
      <c r="C5586" s="5" t="s">
        <v>35</v>
      </c>
      <c r="D5586" s="5" t="s">
        <v>36</v>
      </c>
      <c r="E5586" s="5" t="s">
        <v>63</v>
      </c>
      <c r="F5586" s="9">
        <v>101</v>
      </c>
      <c r="G5586" s="9">
        <v>1091</v>
      </c>
      <c r="H5586" s="5" t="s">
        <v>20</v>
      </c>
      <c r="I5586" s="5" t="s">
        <v>12830</v>
      </c>
      <c r="J5586" s="12" t="str">
        <f>HYPERLINK("https://www.boe.es/gazeta/dias/1805/12/17/pdfs/GMD-1805-101.pdf#page=7","Abrir facsímil")</f>
        <v>Abrir facsímil</v>
      </c>
      <c r="K5586" s="15" t="s">
        <v>22</v>
      </c>
    </row>
    <row r="5587" spans="1:11" ht="42" customHeight="1">
      <c r="A5587" s="4" t="s">
        <v>12831</v>
      </c>
      <c r="B5587" s="5" t="s">
        <v>12831</v>
      </c>
      <c r="C5587" s="5" t="s">
        <v>35</v>
      </c>
      <c r="D5587" s="5" t="s">
        <v>36</v>
      </c>
      <c r="E5587" s="5" t="s">
        <v>141</v>
      </c>
      <c r="F5587" s="9">
        <v>82</v>
      </c>
      <c r="G5587" s="9">
        <v>872</v>
      </c>
      <c r="H5587" s="5" t="s">
        <v>20</v>
      </c>
      <c r="I5587" s="5" t="s">
        <v>12832</v>
      </c>
      <c r="J5587" s="12" t="str">
        <f>HYPERLINK("https://www.boe.es/gazeta/dias/1805/10/11/pdfs/GMD-1805-82.pdf#page=12","Abrir facsímil")</f>
        <v>Abrir facsímil</v>
      </c>
      <c r="K5587" s="15" t="s">
        <v>22</v>
      </c>
    </row>
    <row r="5588" spans="1:11" ht="42" customHeight="1">
      <c r="A5588" s="4" t="s">
        <v>12833</v>
      </c>
      <c r="B5588" s="5" t="s">
        <v>12834</v>
      </c>
      <c r="C5588" s="5" t="s">
        <v>184</v>
      </c>
      <c r="D5588" s="5" t="s">
        <v>86</v>
      </c>
      <c r="E5588" s="5" t="s">
        <v>188</v>
      </c>
      <c r="F5588" s="9">
        <v>68</v>
      </c>
      <c r="G5588" s="9">
        <v>732</v>
      </c>
      <c r="H5588" s="5" t="s">
        <v>20</v>
      </c>
      <c r="I5588" s="5" t="s">
        <v>12835</v>
      </c>
      <c r="J5588" s="12" t="str">
        <f>HYPERLINK("https://www.boe.es/gazeta/dias/1805/08/23/pdfs/GMD-1805-68.pdf#page=12","Abrir facsímil")</f>
        <v>Abrir facsímil</v>
      </c>
      <c r="K5588" s="15" t="s">
        <v>22</v>
      </c>
    </row>
    <row r="5589" spans="1:11" ht="42" customHeight="1">
      <c r="A5589" s="4" t="s">
        <v>12836</v>
      </c>
      <c r="B5589" s="5" t="s">
        <v>12837</v>
      </c>
      <c r="C5589" s="5" t="s">
        <v>35</v>
      </c>
      <c r="D5589" s="5" t="s">
        <v>36</v>
      </c>
      <c r="E5589" s="5" t="s">
        <v>789</v>
      </c>
      <c r="F5589" s="9">
        <v>104</v>
      </c>
      <c r="G5589" s="9">
        <v>1128</v>
      </c>
      <c r="H5589" s="5" t="s">
        <v>20</v>
      </c>
      <c r="I5589" s="5" t="s">
        <v>12838</v>
      </c>
      <c r="J5589" s="12" t="str">
        <f>HYPERLINK("https://www.boe.es/gazeta/dias/1805/12/27/pdfs/GMD-1805-104.pdf#page=12","Abrir facsímil")</f>
        <v>Abrir facsímil</v>
      </c>
      <c r="K5589" s="15" t="s">
        <v>22</v>
      </c>
    </row>
    <row r="5590" spans="1:11" ht="42" customHeight="1">
      <c r="A5590" s="4" t="s">
        <v>12839</v>
      </c>
      <c r="B5590" s="5" t="s">
        <v>12840</v>
      </c>
      <c r="C5590" s="5" t="s">
        <v>35</v>
      </c>
      <c r="D5590" s="5" t="s">
        <v>36</v>
      </c>
      <c r="E5590" s="5" t="s">
        <v>188</v>
      </c>
      <c r="F5590" s="9">
        <v>68</v>
      </c>
      <c r="G5590" s="9">
        <v>729</v>
      </c>
      <c r="H5590" s="5" t="s">
        <v>20</v>
      </c>
      <c r="I5590" s="5" t="s">
        <v>12841</v>
      </c>
      <c r="J5590" s="12" t="str">
        <f>HYPERLINK("https://www.boe.es/gazeta/dias/1805/08/23/pdfs/GMD-1805-68.pdf#page=9","Abrir facsímil")</f>
        <v>Abrir facsímil</v>
      </c>
      <c r="K5590" s="15" t="s">
        <v>22</v>
      </c>
    </row>
    <row r="5591" spans="1:11" ht="42" customHeight="1">
      <c r="A5591" s="4" t="s">
        <v>12842</v>
      </c>
      <c r="B5591" s="5" t="s">
        <v>12842</v>
      </c>
      <c r="C5591" s="5" t="s">
        <v>35</v>
      </c>
      <c r="D5591" s="5" t="s">
        <v>36</v>
      </c>
      <c r="E5591" s="5" t="s">
        <v>48</v>
      </c>
      <c r="F5591" s="9">
        <v>35</v>
      </c>
      <c r="G5591" s="9">
        <v>379</v>
      </c>
      <c r="H5591" s="5" t="s">
        <v>20</v>
      </c>
      <c r="I5591" s="5" t="s">
        <v>12843</v>
      </c>
      <c r="J5591" s="12" t="str">
        <f>HYPERLINK("https://www.boe.es/gazeta/dias/1805/04/30/pdfs/GMD-1805-35.pdf#page=11","Abrir facsímil")</f>
        <v>Abrir facsímil</v>
      </c>
      <c r="K5591" s="15" t="s">
        <v>22</v>
      </c>
    </row>
    <row r="5592" spans="1:11" ht="42" customHeight="1">
      <c r="A5592" s="4" t="s">
        <v>12844</v>
      </c>
      <c r="B5592" s="5" t="s">
        <v>12844</v>
      </c>
      <c r="C5592" s="5" t="s">
        <v>52</v>
      </c>
      <c r="D5592" s="5" t="s">
        <v>53</v>
      </c>
      <c r="E5592" s="5" t="s">
        <v>144</v>
      </c>
      <c r="F5592" s="9">
        <v>85</v>
      </c>
      <c r="G5592" s="9" t="s">
        <v>159</v>
      </c>
      <c r="H5592" s="5" t="s">
        <v>20</v>
      </c>
      <c r="I5592" s="5" t="s">
        <v>12845</v>
      </c>
      <c r="J5592" s="12" t="str">
        <f>HYPERLINK("https://www.boe.es/gazeta/dias/1805/10/22/pdfs/GMD-C-1805-85.pdf#page=3","Abrir facsímil")</f>
        <v>Abrir facsímil</v>
      </c>
      <c r="K5592" s="15" t="s">
        <v>22</v>
      </c>
    </row>
    <row r="5593" spans="1:11" ht="42" customHeight="1">
      <c r="A5593" s="4" t="s">
        <v>12846</v>
      </c>
      <c r="B5593" s="5" t="s">
        <v>12846</v>
      </c>
      <c r="C5593" s="5" t="s">
        <v>85</v>
      </c>
      <c r="D5593" s="5" t="s">
        <v>86</v>
      </c>
      <c r="E5593" s="5" t="s">
        <v>567</v>
      </c>
      <c r="F5593" s="9">
        <v>49</v>
      </c>
      <c r="G5593" s="9">
        <v>529</v>
      </c>
      <c r="H5593" s="5" t="s">
        <v>20</v>
      </c>
      <c r="I5593" s="5" t="s">
        <v>12847</v>
      </c>
      <c r="J5593" s="12" t="str">
        <f>HYPERLINK("https://www.boe.es/gazeta/dias/1805/06/18/pdfs/GMD-1805-49.pdf#page=5","Abrir facsímil")</f>
        <v>Abrir facsímil</v>
      </c>
      <c r="K5593" s="15" t="s">
        <v>22</v>
      </c>
    </row>
    <row r="5594" spans="1:11" ht="42" customHeight="1">
      <c r="A5594" s="4" t="s">
        <v>12848</v>
      </c>
      <c r="B5594" s="5" t="s">
        <v>12849</v>
      </c>
      <c r="C5594" s="5" t="s">
        <v>17</v>
      </c>
      <c r="D5594" s="5" t="s">
        <v>18</v>
      </c>
      <c r="E5594" s="5" t="s">
        <v>63</v>
      </c>
      <c r="F5594" s="9">
        <v>101</v>
      </c>
      <c r="G5594" s="9">
        <v>1093</v>
      </c>
      <c r="H5594" s="5" t="s">
        <v>20</v>
      </c>
      <c r="I5594" s="5" t="s">
        <v>12850</v>
      </c>
      <c r="J5594" s="12" t="str">
        <f>HYPERLINK("https://www.boe.es/gazeta/dias/1805/12/17/pdfs/GMD-1805-101.pdf#page=9","Abrir facsímil")</f>
        <v>Abrir facsímil</v>
      </c>
      <c r="K5594" s="15" t="s">
        <v>22</v>
      </c>
    </row>
    <row r="5595" spans="1:11" ht="42" customHeight="1">
      <c r="A5595" s="4" t="s">
        <v>12851</v>
      </c>
      <c r="B5595" s="5" t="s">
        <v>12851</v>
      </c>
      <c r="C5595" s="5" t="s">
        <v>35</v>
      </c>
      <c r="D5595" s="5" t="s">
        <v>36</v>
      </c>
      <c r="E5595" s="5" t="s">
        <v>226</v>
      </c>
      <c r="F5595" s="9">
        <v>73</v>
      </c>
      <c r="G5595" s="9">
        <v>772</v>
      </c>
      <c r="H5595" s="5" t="s">
        <v>20</v>
      </c>
      <c r="I5595" s="5" t="s">
        <v>12852</v>
      </c>
      <c r="J5595" s="12" t="str">
        <f>HYPERLINK("https://www.boe.es/gazeta/dias/1805/09/10/pdfs/GMD-1805-73.pdf#page=4","Abrir facsímil")</f>
        <v>Abrir facsímil</v>
      </c>
      <c r="K5595" s="15" t="s">
        <v>22</v>
      </c>
    </row>
    <row r="5596" spans="1:11" ht="42" customHeight="1">
      <c r="A5596" s="4" t="s">
        <v>12853</v>
      </c>
      <c r="B5596" s="5" t="s">
        <v>12853</v>
      </c>
      <c r="C5596" s="5" t="s">
        <v>35</v>
      </c>
      <c r="D5596" s="5" t="s">
        <v>36</v>
      </c>
      <c r="E5596" s="5" t="s">
        <v>327</v>
      </c>
      <c r="F5596" s="9">
        <v>10</v>
      </c>
      <c r="G5596" s="9">
        <v>109</v>
      </c>
      <c r="H5596" s="5" t="s">
        <v>20</v>
      </c>
      <c r="I5596" s="5" t="s">
        <v>12854</v>
      </c>
      <c r="J5596" s="12" t="str">
        <f>HYPERLINK("https://www.boe.es/gazeta/dias/1805/02/01/pdfs/GMD-1805-10.pdf#page=5","Abrir facsímil")</f>
        <v>Abrir facsímil</v>
      </c>
      <c r="K5596" s="15" t="s">
        <v>22</v>
      </c>
    </row>
    <row r="5597" spans="1:11" ht="42" customHeight="1">
      <c r="A5597" s="4" t="s">
        <v>12855</v>
      </c>
      <c r="B5597" s="5" t="s">
        <v>12855</v>
      </c>
      <c r="C5597" s="5" t="s">
        <v>35</v>
      </c>
      <c r="D5597" s="5" t="s">
        <v>36</v>
      </c>
      <c r="E5597" s="5" t="s">
        <v>138</v>
      </c>
      <c r="F5597" s="9">
        <v>102</v>
      </c>
      <c r="G5597" s="9">
        <v>1104</v>
      </c>
      <c r="H5597" s="5" t="s">
        <v>20</v>
      </c>
      <c r="I5597" s="5" t="s">
        <v>12856</v>
      </c>
      <c r="J5597" s="12" t="str">
        <f>HYPERLINK("https://www.boe.es/gazeta/dias/1805/12/20/pdfs/GMD-1805-102.pdf#page=8","Abrir facsímil")</f>
        <v>Abrir facsímil</v>
      </c>
      <c r="K5597" s="15" t="s">
        <v>22</v>
      </c>
    </row>
    <row r="5598" spans="1:11" ht="42" customHeight="1">
      <c r="A5598" s="4" t="s">
        <v>12857</v>
      </c>
      <c r="B5598" s="5" t="s">
        <v>12858</v>
      </c>
      <c r="C5598" s="5" t="s">
        <v>35</v>
      </c>
      <c r="D5598" s="5" t="s">
        <v>36</v>
      </c>
      <c r="E5598" s="5" t="s">
        <v>192</v>
      </c>
      <c r="F5598" s="9">
        <v>105</v>
      </c>
      <c r="G5598" s="9">
        <v>1137</v>
      </c>
      <c r="H5598" s="5" t="s">
        <v>20</v>
      </c>
      <c r="I5598" s="5" t="s">
        <v>12859</v>
      </c>
      <c r="J5598" s="12" t="str">
        <f>HYPERLINK("https://www.boe.es/gazeta/dias/1805/12/31/pdfs/GMD-1805-105.pdf#page=9","Abrir facsímil")</f>
        <v>Abrir facsímil</v>
      </c>
      <c r="K5598" s="15" t="s">
        <v>22</v>
      </c>
    </row>
    <row r="5599" spans="1:11" ht="42" customHeight="1">
      <c r="A5599" s="4" t="s">
        <v>12860</v>
      </c>
      <c r="B5599" s="5" t="s">
        <v>12860</v>
      </c>
      <c r="C5599" s="5" t="s">
        <v>17</v>
      </c>
      <c r="D5599" s="5" t="s">
        <v>18</v>
      </c>
      <c r="E5599" s="5" t="s">
        <v>170</v>
      </c>
      <c r="F5599" s="9">
        <v>9</v>
      </c>
      <c r="G5599" s="9">
        <v>103</v>
      </c>
      <c r="H5599" s="5" t="s">
        <v>20</v>
      </c>
      <c r="I5599" s="5" t="s">
        <v>12861</v>
      </c>
      <c r="J5599" s="12" t="str">
        <f>HYPERLINK("https://www.boe.es/gazeta/dias/1805/01/29/pdfs/GMD-1805-9.pdf#page=11","Abrir facsímil")</f>
        <v>Abrir facsímil</v>
      </c>
      <c r="K5599" s="15" t="s">
        <v>22</v>
      </c>
    </row>
    <row r="5600" spans="1:11" ht="42" customHeight="1">
      <c r="A5600" s="4" t="s">
        <v>12862</v>
      </c>
      <c r="B5600" s="5" t="s">
        <v>12863</v>
      </c>
      <c r="C5600" s="5" t="s">
        <v>17</v>
      </c>
      <c r="D5600" s="5" t="s">
        <v>18</v>
      </c>
      <c r="E5600" s="5" t="s">
        <v>99</v>
      </c>
      <c r="F5600" s="9">
        <v>83</v>
      </c>
      <c r="G5600" s="9">
        <v>883</v>
      </c>
      <c r="H5600" s="5" t="s">
        <v>20</v>
      </c>
      <c r="I5600" s="5" t="s">
        <v>12864</v>
      </c>
      <c r="J5600" s="12" t="str">
        <f>HYPERLINK("https://www.boe.es/gazeta/dias/1805/10/15/pdfs/GMD-1805-83.pdf#page=11","Abrir facsímil")</f>
        <v>Abrir facsímil</v>
      </c>
      <c r="K5600" s="15" t="s">
        <v>22</v>
      </c>
    </row>
    <row r="5601" spans="1:11" ht="42" customHeight="1">
      <c r="A5601" s="4" t="s">
        <v>12865</v>
      </c>
      <c r="B5601" s="5" t="s">
        <v>12866</v>
      </c>
      <c r="C5601" s="5" t="s">
        <v>35</v>
      </c>
      <c r="D5601" s="5" t="s">
        <v>36</v>
      </c>
      <c r="E5601" s="5" t="s">
        <v>273</v>
      </c>
      <c r="F5601" s="9">
        <v>8</v>
      </c>
      <c r="G5601" s="9">
        <v>90</v>
      </c>
      <c r="H5601" s="5" t="s">
        <v>20</v>
      </c>
      <c r="I5601" s="5" t="s">
        <v>12867</v>
      </c>
      <c r="J5601" s="12" t="str">
        <f>HYPERLINK("https://www.boe.es/gazeta/dias/1805/01/25/pdfs/GMD-1805-8.pdf#page=10","Abrir facsímil")</f>
        <v>Abrir facsímil</v>
      </c>
      <c r="K5601" s="15" t="s">
        <v>22</v>
      </c>
    </row>
    <row r="5602" spans="1:11" ht="42" customHeight="1">
      <c r="A5602" s="4" t="s">
        <v>12865</v>
      </c>
      <c r="B5602" s="5" t="s">
        <v>12866</v>
      </c>
      <c r="C5602" s="5" t="s">
        <v>35</v>
      </c>
      <c r="D5602" s="5" t="s">
        <v>36</v>
      </c>
      <c r="E5602" s="5" t="s">
        <v>24</v>
      </c>
      <c r="F5602" s="9">
        <v>11</v>
      </c>
      <c r="G5602" s="9">
        <v>122</v>
      </c>
      <c r="H5602" s="5" t="s">
        <v>20</v>
      </c>
      <c r="I5602" s="5" t="s">
        <v>12868</v>
      </c>
      <c r="J5602" s="12" t="str">
        <f>HYPERLINK("https://www.boe.es/gazeta/dias/1805/02/05/pdfs/GMD-1805-11.pdf#page=10","Abrir facsímil")</f>
        <v>Abrir facsímil</v>
      </c>
      <c r="K5602" s="15" t="s">
        <v>22</v>
      </c>
    </row>
    <row r="5603" spans="1:11" ht="42" customHeight="1">
      <c r="A5603" s="4" t="s">
        <v>12865</v>
      </c>
      <c r="B5603" s="5" t="s">
        <v>12866</v>
      </c>
      <c r="C5603" s="5" t="s">
        <v>35</v>
      </c>
      <c r="D5603" s="5" t="s">
        <v>36</v>
      </c>
      <c r="E5603" s="5" t="s">
        <v>71</v>
      </c>
      <c r="F5603" s="9">
        <v>33</v>
      </c>
      <c r="G5603" s="9">
        <v>354</v>
      </c>
      <c r="H5603" s="5" t="s">
        <v>20</v>
      </c>
      <c r="I5603" s="5" t="s">
        <v>12869</v>
      </c>
      <c r="J5603" s="12" t="str">
        <f>HYPERLINK("https://www.boe.es/gazeta/dias/1805/04/23/pdfs/GMD-1805-33.pdf#page=10","Abrir facsímil")</f>
        <v>Abrir facsímil</v>
      </c>
      <c r="K5603" s="15" t="s">
        <v>22</v>
      </c>
    </row>
    <row r="5604" spans="1:11" ht="42" customHeight="1">
      <c r="A5604" s="4" t="s">
        <v>12865</v>
      </c>
      <c r="B5604" s="5" t="s">
        <v>12866</v>
      </c>
      <c r="C5604" s="5" t="s">
        <v>85</v>
      </c>
      <c r="D5604" s="5" t="s">
        <v>86</v>
      </c>
      <c r="E5604" s="5" t="s">
        <v>71</v>
      </c>
      <c r="F5604" s="9">
        <v>33</v>
      </c>
      <c r="G5604" s="9">
        <v>355</v>
      </c>
      <c r="H5604" s="5" t="s">
        <v>20</v>
      </c>
      <c r="I5604" s="5" t="s">
        <v>12870</v>
      </c>
      <c r="J5604" s="12" t="str">
        <f>HYPERLINK("https://www.boe.es/gazeta/dias/1805/04/23/pdfs/GMD-1805-33.pdf#page=11","Abrir facsímil")</f>
        <v>Abrir facsímil</v>
      </c>
      <c r="K5604" s="15" t="s">
        <v>22</v>
      </c>
    </row>
    <row r="5605" spans="1:11" ht="42" customHeight="1">
      <c r="A5605" s="4" t="s">
        <v>12865</v>
      </c>
      <c r="B5605" s="5" t="s">
        <v>12866</v>
      </c>
      <c r="C5605" s="5" t="s">
        <v>35</v>
      </c>
      <c r="D5605" s="5" t="s">
        <v>36</v>
      </c>
      <c r="E5605" s="5" t="s">
        <v>1471</v>
      </c>
      <c r="F5605" s="9">
        <v>34</v>
      </c>
      <c r="G5605" s="9">
        <v>362</v>
      </c>
      <c r="H5605" s="5" t="s">
        <v>20</v>
      </c>
      <c r="I5605" s="5" t="s">
        <v>12871</v>
      </c>
      <c r="J5605" s="12" t="str">
        <f>HYPERLINK("https://www.boe.es/gazeta/dias/1805/04/26/pdfs/GMD-1805-34.pdf#page=6","Abrir facsímil")</f>
        <v>Abrir facsímil</v>
      </c>
      <c r="K5605" s="15" t="s">
        <v>22</v>
      </c>
    </row>
    <row r="5606" spans="1:11" ht="42" customHeight="1">
      <c r="A5606" s="4" t="s">
        <v>12865</v>
      </c>
      <c r="B5606" s="5" t="s">
        <v>12866</v>
      </c>
      <c r="C5606" s="5" t="s">
        <v>35</v>
      </c>
      <c r="D5606" s="5" t="s">
        <v>36</v>
      </c>
      <c r="E5606" s="5" t="s">
        <v>188</v>
      </c>
      <c r="F5606" s="9">
        <v>68</v>
      </c>
      <c r="G5606" s="9">
        <v>730</v>
      </c>
      <c r="H5606" s="5" t="s">
        <v>20</v>
      </c>
      <c r="I5606" s="5" t="s">
        <v>12872</v>
      </c>
      <c r="J5606" s="12" t="str">
        <f>HYPERLINK("https://www.boe.es/gazeta/dias/1805/08/23/pdfs/GMD-1805-68.pdf#page=10","Abrir facsímil")</f>
        <v>Abrir facsímil</v>
      </c>
      <c r="K5606" s="15" t="s">
        <v>22</v>
      </c>
    </row>
    <row r="5607" spans="1:11" ht="42" customHeight="1">
      <c r="A5607" s="4" t="s">
        <v>12865</v>
      </c>
      <c r="B5607" s="5" t="s">
        <v>12866</v>
      </c>
      <c r="C5607" s="5" t="s">
        <v>184</v>
      </c>
      <c r="D5607" s="5" t="s">
        <v>86</v>
      </c>
      <c r="E5607" s="5" t="s">
        <v>207</v>
      </c>
      <c r="F5607" s="9">
        <v>76</v>
      </c>
      <c r="G5607" s="9">
        <v>808</v>
      </c>
      <c r="H5607" s="5" t="s">
        <v>20</v>
      </c>
      <c r="I5607" s="5" t="s">
        <v>12873</v>
      </c>
      <c r="J5607" s="12" t="str">
        <f>HYPERLINK("https://www.boe.es/gazeta/dias/1805/09/20/pdfs/GMD-1805-76.pdf#page=8","Abrir facsímil")</f>
        <v>Abrir facsímil</v>
      </c>
      <c r="K5607" s="15" t="s">
        <v>22</v>
      </c>
    </row>
    <row r="5608" spans="1:11" ht="42" customHeight="1">
      <c r="A5608" s="4" t="s">
        <v>12865</v>
      </c>
      <c r="B5608" s="5" t="s">
        <v>12866</v>
      </c>
      <c r="C5608" s="5" t="s">
        <v>184</v>
      </c>
      <c r="D5608" s="5" t="s">
        <v>86</v>
      </c>
      <c r="E5608" s="5" t="s">
        <v>54</v>
      </c>
      <c r="F5608" s="9">
        <v>99</v>
      </c>
      <c r="G5608" s="9">
        <v>1071</v>
      </c>
      <c r="H5608" s="5" t="s">
        <v>20</v>
      </c>
      <c r="I5608" s="5" t="s">
        <v>12874</v>
      </c>
      <c r="J5608" s="12" t="str">
        <f>HYPERLINK("https://www.boe.es/gazeta/dias/1805/12/10/pdfs/GMD-1805-99.pdf#page=11","Abrir facsímil")</f>
        <v>Abrir facsímil</v>
      </c>
      <c r="K5608" s="15" t="s">
        <v>22</v>
      </c>
    </row>
    <row r="5609" spans="1:11" ht="42" customHeight="1">
      <c r="A5609" s="4" t="s">
        <v>12865</v>
      </c>
      <c r="B5609" s="5" t="s">
        <v>12866</v>
      </c>
      <c r="C5609" s="5" t="s">
        <v>184</v>
      </c>
      <c r="D5609" s="5" t="s">
        <v>86</v>
      </c>
      <c r="E5609" s="5" t="s">
        <v>512</v>
      </c>
      <c r="F5609" s="9">
        <v>100</v>
      </c>
      <c r="G5609" s="9">
        <v>1082</v>
      </c>
      <c r="H5609" s="5" t="s">
        <v>20</v>
      </c>
      <c r="I5609" s="5" t="s">
        <v>12875</v>
      </c>
      <c r="J5609" s="12" t="str">
        <f>HYPERLINK("https://www.boe.es/gazeta/dias/1805/12/13/pdfs/GMD-1805-100.pdf#page=10","Abrir facsímil")</f>
        <v>Abrir facsímil</v>
      </c>
      <c r="K5609" s="15" t="s">
        <v>22</v>
      </c>
    </row>
    <row r="5610" spans="1:11" ht="42" customHeight="1">
      <c r="A5610" s="4" t="s">
        <v>12876</v>
      </c>
      <c r="B5610" s="5" t="s">
        <v>12877</v>
      </c>
      <c r="C5610" s="5" t="s">
        <v>35</v>
      </c>
      <c r="D5610" s="5" t="s">
        <v>36</v>
      </c>
      <c r="E5610" s="5" t="s">
        <v>539</v>
      </c>
      <c r="F5610" s="9">
        <v>97</v>
      </c>
      <c r="G5610" s="9">
        <v>1043</v>
      </c>
      <c r="H5610" s="5" t="s">
        <v>20</v>
      </c>
      <c r="I5610" s="5" t="s">
        <v>12878</v>
      </c>
      <c r="J5610" s="12" t="str">
        <f>HYPERLINK("https://www.boe.es/gazeta/dias/1805/12/03/pdfs/GMD-1805-97.pdf#page=7","Abrir facsímil")</f>
        <v>Abrir facsímil</v>
      </c>
      <c r="K5610" s="15" t="s">
        <v>22</v>
      </c>
    </row>
    <row r="5611" spans="1:11" ht="42" customHeight="1">
      <c r="A5611" s="4" t="s">
        <v>12879</v>
      </c>
      <c r="B5611" s="5" t="s">
        <v>12880</v>
      </c>
      <c r="C5611" s="5" t="s">
        <v>184</v>
      </c>
      <c r="D5611" s="5" t="s">
        <v>86</v>
      </c>
      <c r="E5611" s="5" t="s">
        <v>1432</v>
      </c>
      <c r="F5611" s="9">
        <v>53</v>
      </c>
      <c r="G5611" s="9">
        <v>565</v>
      </c>
      <c r="H5611" s="5" t="s">
        <v>20</v>
      </c>
      <c r="I5611" s="5" t="s">
        <v>12881</v>
      </c>
      <c r="J5611" s="12" t="str">
        <f>HYPERLINK("https://www.boe.es/gazeta/dias/1805/07/02/pdfs/GMD-1805-53.pdf#page=1","Abrir facsímil")</f>
        <v>Abrir facsímil</v>
      </c>
      <c r="K5611" s="15" t="s">
        <v>22</v>
      </c>
    </row>
    <row r="5612" spans="1:11" ht="42" customHeight="1">
      <c r="A5612" s="4" t="s">
        <v>12882</v>
      </c>
      <c r="B5612" s="5" t="s">
        <v>12883</v>
      </c>
      <c r="C5612" s="5" t="s">
        <v>35</v>
      </c>
      <c r="D5612" s="5" t="s">
        <v>36</v>
      </c>
      <c r="E5612" s="5" t="s">
        <v>24</v>
      </c>
      <c r="F5612" s="9">
        <v>11</v>
      </c>
      <c r="G5612" s="9">
        <v>121</v>
      </c>
      <c r="H5612" s="5" t="s">
        <v>20</v>
      </c>
      <c r="I5612" s="5" t="s">
        <v>12884</v>
      </c>
      <c r="J5612" s="12" t="str">
        <f>HYPERLINK("https://www.boe.es/gazeta/dias/1805/02/05/pdfs/GMD-1805-11.pdf#page=9","Abrir facsímil")</f>
        <v>Abrir facsímil</v>
      </c>
      <c r="K5612" s="15" t="s">
        <v>22</v>
      </c>
    </row>
    <row r="5613" spans="1:11" ht="42" customHeight="1">
      <c r="A5613" s="4" t="s">
        <v>12885</v>
      </c>
      <c r="B5613" s="5" t="s">
        <v>12886</v>
      </c>
      <c r="C5613" s="5" t="s">
        <v>35</v>
      </c>
      <c r="D5613" s="5" t="s">
        <v>36</v>
      </c>
      <c r="E5613" s="5" t="s">
        <v>141</v>
      </c>
      <c r="F5613" s="9">
        <v>82</v>
      </c>
      <c r="G5613" s="9">
        <v>870</v>
      </c>
      <c r="H5613" s="5" t="s">
        <v>20</v>
      </c>
      <c r="I5613" s="5" t="s">
        <v>12887</v>
      </c>
      <c r="J5613" s="12" t="str">
        <f>HYPERLINK("https://www.boe.es/gazeta/dias/1805/10/11/pdfs/GMD-1805-82.pdf#page=10","Abrir facsímil")</f>
        <v>Abrir facsímil</v>
      </c>
      <c r="K5613" s="15" t="s">
        <v>22</v>
      </c>
    </row>
    <row r="5614" spans="1:11" ht="42" customHeight="1">
      <c r="A5614" s="4" t="s">
        <v>12888</v>
      </c>
      <c r="B5614" s="5" t="s">
        <v>12889</v>
      </c>
      <c r="C5614" s="5" t="s">
        <v>35</v>
      </c>
      <c r="D5614" s="5" t="s">
        <v>36</v>
      </c>
      <c r="E5614" s="5" t="s">
        <v>261</v>
      </c>
      <c r="F5614" s="9">
        <v>18</v>
      </c>
      <c r="G5614" s="9">
        <v>186</v>
      </c>
      <c r="H5614" s="5" t="s">
        <v>20</v>
      </c>
      <c r="I5614" s="5" t="s">
        <v>12890</v>
      </c>
      <c r="J5614" s="12" t="str">
        <f>HYPERLINK("https://www.boe.es/gazeta/dias/1805/03/01/pdfs/GMD-1805-18.pdf#page=6","Abrir facsímil")</f>
        <v>Abrir facsímil</v>
      </c>
      <c r="K5614" s="15" t="s">
        <v>22</v>
      </c>
    </row>
    <row r="5615" spans="1:11" ht="42" customHeight="1">
      <c r="A5615" s="4" t="s">
        <v>12891</v>
      </c>
      <c r="B5615" s="5" t="s">
        <v>12892</v>
      </c>
      <c r="C5615" s="5" t="s">
        <v>35</v>
      </c>
      <c r="D5615" s="5" t="s">
        <v>36</v>
      </c>
      <c r="E5615" s="5" t="s">
        <v>787</v>
      </c>
      <c r="F5615" s="9">
        <v>95</v>
      </c>
      <c r="G5615" s="9">
        <v>1022</v>
      </c>
      <c r="H5615" s="5" t="s">
        <v>20</v>
      </c>
      <c r="I5615" s="5" t="s">
        <v>12893</v>
      </c>
      <c r="J5615" s="12" t="str">
        <f>HYPERLINK("https://www.boe.es/gazeta/dias/1805/11/26/pdfs/GMD-1805-95.pdf#page=10","Abrir facsímil")</f>
        <v>Abrir facsímil</v>
      </c>
      <c r="K5615" s="15" t="s">
        <v>22</v>
      </c>
    </row>
    <row r="5616" spans="1:11" ht="42" customHeight="1">
      <c r="A5616" s="4" t="s">
        <v>12894</v>
      </c>
      <c r="B5616" s="5" t="s">
        <v>12895</v>
      </c>
      <c r="C5616" s="5" t="s">
        <v>35</v>
      </c>
      <c r="D5616" s="5" t="s">
        <v>36</v>
      </c>
      <c r="E5616" s="5" t="s">
        <v>327</v>
      </c>
      <c r="F5616" s="9">
        <v>10</v>
      </c>
      <c r="G5616" s="9">
        <v>109</v>
      </c>
      <c r="H5616" s="5" t="s">
        <v>20</v>
      </c>
      <c r="I5616" s="5" t="s">
        <v>12896</v>
      </c>
      <c r="J5616" s="12" t="str">
        <f>HYPERLINK("https://www.boe.es/gazeta/dias/1805/02/01/pdfs/GMD-1805-10.pdf#page=5","Abrir facsímil")</f>
        <v>Abrir facsímil</v>
      </c>
      <c r="K5616" s="15" t="s">
        <v>22</v>
      </c>
    </row>
    <row r="5617" spans="1:11" ht="42" customHeight="1">
      <c r="A5617" s="4" t="s">
        <v>12897</v>
      </c>
      <c r="B5617" s="5" t="s">
        <v>12898</v>
      </c>
      <c r="C5617" s="5" t="s">
        <v>35</v>
      </c>
      <c r="D5617" s="5" t="s">
        <v>36</v>
      </c>
      <c r="E5617" s="5" t="s">
        <v>138</v>
      </c>
      <c r="F5617" s="9">
        <v>102</v>
      </c>
      <c r="G5617" s="9">
        <v>1103</v>
      </c>
      <c r="H5617" s="5" t="s">
        <v>20</v>
      </c>
      <c r="I5617" s="5" t="s">
        <v>12899</v>
      </c>
      <c r="J5617" s="12" t="str">
        <f>HYPERLINK("https://www.boe.es/gazeta/dias/1805/12/20/pdfs/GMD-1805-102.pdf#page=7","Abrir facsímil")</f>
        <v>Abrir facsímil</v>
      </c>
      <c r="K5617" s="15" t="s">
        <v>22</v>
      </c>
    </row>
    <row r="5618" spans="1:11" ht="42" customHeight="1">
      <c r="A5618" s="4" t="s">
        <v>12900</v>
      </c>
      <c r="B5618" s="5" t="s">
        <v>12901</v>
      </c>
      <c r="C5618" s="5" t="s">
        <v>184</v>
      </c>
      <c r="D5618" s="5" t="s">
        <v>86</v>
      </c>
      <c r="E5618" s="5" t="s">
        <v>114</v>
      </c>
      <c r="F5618" s="9">
        <v>17</v>
      </c>
      <c r="G5618" s="9">
        <v>177</v>
      </c>
      <c r="H5618" s="5" t="s">
        <v>20</v>
      </c>
      <c r="I5618" s="5" t="s">
        <v>12902</v>
      </c>
      <c r="J5618" s="12" t="str">
        <f>HYPERLINK("https://www.boe.es/gazeta/dias/1805/02/26/pdfs/GMD-1805-17.pdf#page=9","Abrir facsímil")</f>
        <v>Abrir facsímil</v>
      </c>
      <c r="K5618" s="15" t="s">
        <v>22</v>
      </c>
    </row>
    <row r="5619" spans="1:11" ht="42" customHeight="1">
      <c r="A5619" s="4" t="s">
        <v>12903</v>
      </c>
      <c r="B5619" s="5" t="s">
        <v>12903</v>
      </c>
      <c r="C5619" s="5" t="s">
        <v>85</v>
      </c>
      <c r="D5619" s="5" t="s">
        <v>86</v>
      </c>
      <c r="E5619" s="5" t="s">
        <v>120</v>
      </c>
      <c r="F5619" s="9">
        <v>24</v>
      </c>
      <c r="G5619" s="9">
        <v>255</v>
      </c>
      <c r="H5619" s="5" t="s">
        <v>20</v>
      </c>
      <c r="I5619" s="5" t="s">
        <v>12904</v>
      </c>
      <c r="J5619" s="12" t="str">
        <f>HYPERLINK("https://www.boe.es/gazeta/dias/1805/03/22/pdfs/GMD-1805-24.pdf#page=7","Abrir facsímil")</f>
        <v>Abrir facsímil</v>
      </c>
      <c r="K5619" s="15" t="s">
        <v>22</v>
      </c>
    </row>
    <row r="5620" spans="1:11" ht="42" customHeight="1">
      <c r="A5620" s="4" t="s">
        <v>12905</v>
      </c>
      <c r="B5620" s="5" t="s">
        <v>12905</v>
      </c>
      <c r="C5620" s="5" t="s">
        <v>17</v>
      </c>
      <c r="D5620" s="5" t="s">
        <v>18</v>
      </c>
      <c r="E5620" s="5" t="s">
        <v>649</v>
      </c>
      <c r="F5620" s="9">
        <v>7</v>
      </c>
      <c r="G5620" s="9">
        <v>75</v>
      </c>
      <c r="H5620" s="5" t="s">
        <v>20</v>
      </c>
      <c r="I5620" s="5" t="s">
        <v>12906</v>
      </c>
      <c r="J5620" s="12" t="str">
        <f>HYPERLINK("https://www.boe.es/gazeta/dias/1805/01/22/pdfs/GMD-1805-7.pdf#page=7","Abrir facsímil")</f>
        <v>Abrir facsímil</v>
      </c>
      <c r="K5620" s="15" t="s">
        <v>22</v>
      </c>
    </row>
    <row r="5621" spans="1:11" ht="42" customHeight="1">
      <c r="A5621" s="4" t="s">
        <v>12907</v>
      </c>
      <c r="B5621" s="5" t="s">
        <v>12907</v>
      </c>
      <c r="C5621" s="5" t="s">
        <v>35</v>
      </c>
      <c r="D5621" s="5" t="s">
        <v>36</v>
      </c>
      <c r="E5621" s="5" t="s">
        <v>1132</v>
      </c>
      <c r="F5621" s="9">
        <v>72</v>
      </c>
      <c r="G5621" s="9">
        <v>767</v>
      </c>
      <c r="H5621" s="5" t="s">
        <v>20</v>
      </c>
      <c r="I5621" s="5" t="s">
        <v>12908</v>
      </c>
      <c r="J5621" s="12" t="str">
        <f>HYPERLINK("https://www.boe.es/gazeta/dias/1805/09/06/pdfs/GMD-1805-72.pdf#page=7","Abrir facsímil")</f>
        <v>Abrir facsímil</v>
      </c>
      <c r="K5621" s="15" t="s">
        <v>22</v>
      </c>
    </row>
    <row r="5622" spans="1:11" ht="42" customHeight="1">
      <c r="A5622" s="4" t="s">
        <v>12909</v>
      </c>
      <c r="B5622" s="5" t="s">
        <v>12910</v>
      </c>
      <c r="C5622" s="5" t="s">
        <v>35</v>
      </c>
      <c r="D5622" s="5" t="s">
        <v>36</v>
      </c>
      <c r="E5622" s="5" t="s">
        <v>40</v>
      </c>
      <c r="F5622" s="9">
        <v>59</v>
      </c>
      <c r="G5622" s="9">
        <v>634</v>
      </c>
      <c r="H5622" s="5" t="s">
        <v>20</v>
      </c>
      <c r="I5622" s="5" t="s">
        <v>12911</v>
      </c>
      <c r="J5622" s="12" t="str">
        <f>HYPERLINK("https://www.boe.es/gazeta/dias/1805/07/23/pdfs/GMD-1805-59.pdf#page=10","Abrir facsímil")</f>
        <v>Abrir facsímil</v>
      </c>
      <c r="K5622" s="15" t="s">
        <v>22</v>
      </c>
    </row>
    <row r="5623" spans="1:11" ht="42" customHeight="1">
      <c r="A5623" s="4" t="s">
        <v>12912</v>
      </c>
      <c r="B5623" s="5" t="s">
        <v>12913</v>
      </c>
      <c r="C5623" s="5" t="s">
        <v>35</v>
      </c>
      <c r="D5623" s="5" t="s">
        <v>36</v>
      </c>
      <c r="E5623" s="5" t="s">
        <v>192</v>
      </c>
      <c r="F5623" s="9">
        <v>105</v>
      </c>
      <c r="G5623" s="9">
        <v>1138</v>
      </c>
      <c r="H5623" s="5" t="s">
        <v>20</v>
      </c>
      <c r="I5623" s="5" t="s">
        <v>12914</v>
      </c>
      <c r="J5623" s="12" t="str">
        <f>HYPERLINK("https://www.boe.es/gazeta/dias/1805/12/31/pdfs/GMD-1805-105.pdf#page=10","Abrir facsímil")</f>
        <v>Abrir facsímil</v>
      </c>
      <c r="K5623" s="15" t="s">
        <v>22</v>
      </c>
    </row>
    <row r="5624" spans="1:11" ht="42" customHeight="1">
      <c r="A5624" s="4" t="s">
        <v>12915</v>
      </c>
      <c r="B5624" s="5" t="s">
        <v>12915</v>
      </c>
      <c r="C5624" s="5" t="s">
        <v>29</v>
      </c>
      <c r="D5624" s="5" t="s">
        <v>30</v>
      </c>
      <c r="E5624" s="5" t="s">
        <v>107</v>
      </c>
      <c r="F5624" s="9">
        <v>19</v>
      </c>
      <c r="G5624" s="9">
        <v>195</v>
      </c>
      <c r="H5624" s="5" t="s">
        <v>20</v>
      </c>
      <c r="I5624" s="5" t="s">
        <v>12916</v>
      </c>
      <c r="J5624" s="12" t="str">
        <f>HYPERLINK("https://www.boe.es/gazeta/dias/1805/03/05/pdfs/GMD-1805-19.pdf#page=7","Abrir facsímil")</f>
        <v>Abrir facsímil</v>
      </c>
      <c r="K5624" s="15" t="s">
        <v>22</v>
      </c>
    </row>
    <row r="5625" spans="1:11" ht="42" customHeight="1">
      <c r="A5625" s="4" t="s">
        <v>12917</v>
      </c>
      <c r="B5625" s="5" t="s">
        <v>12918</v>
      </c>
      <c r="C5625" s="5" t="s">
        <v>80</v>
      </c>
      <c r="D5625" s="5" t="s">
        <v>81</v>
      </c>
      <c r="E5625" s="5" t="s">
        <v>789</v>
      </c>
      <c r="F5625" s="9">
        <v>104</v>
      </c>
      <c r="G5625" s="9">
        <v>1117</v>
      </c>
      <c r="H5625" s="5" t="s">
        <v>20</v>
      </c>
      <c r="I5625" s="5" t="s">
        <v>12919</v>
      </c>
      <c r="J5625" s="12" t="str">
        <f>HYPERLINK("https://www.boe.es/gazeta/dias/1805/12/27/pdfs/GMD-1805-104.pdf#page=1","Abrir facsímil")</f>
        <v>Abrir facsímil</v>
      </c>
      <c r="K5625" s="15" t="s">
        <v>22</v>
      </c>
    </row>
    <row r="5626" spans="1:11" ht="42" customHeight="1">
      <c r="A5626" s="4" t="s">
        <v>12917</v>
      </c>
      <c r="B5626" s="5" t="s">
        <v>12918</v>
      </c>
      <c r="C5626" s="5" t="s">
        <v>80</v>
      </c>
      <c r="D5626" s="5" t="s">
        <v>81</v>
      </c>
      <c r="E5626" s="5" t="s">
        <v>789</v>
      </c>
      <c r="F5626" s="9">
        <v>104</v>
      </c>
      <c r="G5626" s="9">
        <v>1126</v>
      </c>
      <c r="H5626" s="5" t="s">
        <v>20</v>
      </c>
      <c r="I5626" s="5" t="s">
        <v>12920</v>
      </c>
      <c r="J5626" s="12" t="str">
        <f>HYPERLINK("https://www.boe.es/gazeta/dias/1805/12/27/pdfs/GMD-1805-104.pdf#page=10","Abrir facsímil")</f>
        <v>Abrir facsímil</v>
      </c>
      <c r="K5626" s="15" t="s">
        <v>22</v>
      </c>
    </row>
    <row r="5627" spans="1:11" ht="42" customHeight="1">
      <c r="A5627" s="4" t="s">
        <v>12921</v>
      </c>
      <c r="B5627" s="5" t="s">
        <v>12922</v>
      </c>
      <c r="C5627" s="5" t="s">
        <v>80</v>
      </c>
      <c r="D5627" s="5" t="s">
        <v>81</v>
      </c>
      <c r="E5627" s="5" t="s">
        <v>71</v>
      </c>
      <c r="F5627" s="9">
        <v>33</v>
      </c>
      <c r="G5627" s="9">
        <v>346</v>
      </c>
      <c r="H5627" s="5" t="s">
        <v>20</v>
      </c>
      <c r="I5627" s="5" t="s">
        <v>12923</v>
      </c>
      <c r="J5627" s="12" t="str">
        <f>HYPERLINK("https://www.boe.es/gazeta/dias/1805/04/23/pdfs/GMD-1805-33.pdf#page=2","Abrir facsímil")</f>
        <v>Abrir facsímil</v>
      </c>
      <c r="K5627" s="15" t="s">
        <v>22</v>
      </c>
    </row>
    <row r="5628" spans="1:11" ht="42" customHeight="1">
      <c r="A5628" s="4" t="s">
        <v>12924</v>
      </c>
      <c r="B5628" s="5" t="s">
        <v>12925</v>
      </c>
      <c r="C5628" s="5" t="s">
        <v>35</v>
      </c>
      <c r="D5628" s="5" t="s">
        <v>36</v>
      </c>
      <c r="E5628" s="5" t="s">
        <v>192</v>
      </c>
      <c r="F5628" s="9">
        <v>105</v>
      </c>
      <c r="G5628" s="9">
        <v>1137</v>
      </c>
      <c r="H5628" s="5" t="s">
        <v>20</v>
      </c>
      <c r="I5628" s="5" t="s">
        <v>12926</v>
      </c>
      <c r="J5628" s="12" t="str">
        <f>HYPERLINK("https://www.boe.es/gazeta/dias/1805/12/31/pdfs/GMD-1805-105.pdf#page=9","Abrir facsímil")</f>
        <v>Abrir facsímil</v>
      </c>
      <c r="K5628" s="15" t="s">
        <v>22</v>
      </c>
    </row>
    <row r="5629" spans="1:11" ht="42" customHeight="1">
      <c r="A5629" s="4" t="s">
        <v>12927</v>
      </c>
      <c r="B5629" s="5" t="s">
        <v>12927</v>
      </c>
      <c r="C5629" s="5" t="s">
        <v>80</v>
      </c>
      <c r="D5629" s="5" t="s">
        <v>81</v>
      </c>
      <c r="E5629" s="5" t="s">
        <v>290</v>
      </c>
      <c r="F5629" s="9">
        <v>36</v>
      </c>
      <c r="G5629" s="9">
        <v>382</v>
      </c>
      <c r="H5629" s="5" t="s">
        <v>20</v>
      </c>
      <c r="I5629" s="5" t="s">
        <v>12928</v>
      </c>
      <c r="J5629" s="12" t="str">
        <f>HYPERLINK("https://www.boe.es/gazeta/dias/1805/05/03/pdfs/GMD-1805-36.pdf#page=2","Abrir facsímil")</f>
        <v>Abrir facsímil</v>
      </c>
      <c r="K5629" s="15" t="s">
        <v>22</v>
      </c>
    </row>
    <row r="5630" spans="1:11" ht="42" customHeight="1">
      <c r="A5630" s="4" t="s">
        <v>12929</v>
      </c>
      <c r="B5630" s="5" t="s">
        <v>12930</v>
      </c>
      <c r="C5630" s="5" t="s">
        <v>35</v>
      </c>
      <c r="D5630" s="5" t="s">
        <v>36</v>
      </c>
      <c r="E5630" s="5" t="s">
        <v>148</v>
      </c>
      <c r="F5630" s="9">
        <v>50</v>
      </c>
      <c r="G5630" s="9">
        <v>541</v>
      </c>
      <c r="H5630" s="5" t="s">
        <v>20</v>
      </c>
      <c r="I5630" s="5" t="s">
        <v>12931</v>
      </c>
      <c r="J5630" s="12" t="str">
        <f>HYPERLINK("https://www.boe.es/gazeta/dias/1805/06/21/pdfs/GMD-1805-50.pdf#page=9","Abrir facsímil")</f>
        <v>Abrir facsímil</v>
      </c>
      <c r="K5630" s="15" t="s">
        <v>22</v>
      </c>
    </row>
    <row r="5631" spans="1:11" ht="42" customHeight="1">
      <c r="A5631" s="4" t="s">
        <v>12932</v>
      </c>
      <c r="B5631" s="5" t="s">
        <v>12933</v>
      </c>
      <c r="C5631" s="5" t="s">
        <v>35</v>
      </c>
      <c r="D5631" s="5" t="s">
        <v>36</v>
      </c>
      <c r="E5631" s="5" t="s">
        <v>365</v>
      </c>
      <c r="F5631" s="9">
        <v>3</v>
      </c>
      <c r="G5631" s="9">
        <v>29</v>
      </c>
      <c r="H5631" s="5" t="s">
        <v>20</v>
      </c>
      <c r="I5631" s="5" t="s">
        <v>12934</v>
      </c>
      <c r="J5631" s="12" t="str">
        <f>HYPERLINK("https://www.boe.es/gazeta/dias/1805/01/08/pdfs/GMD-1805-3.pdf#page=5","Abrir facsímil")</f>
        <v>Abrir facsímil</v>
      </c>
      <c r="K5631" s="15" t="s">
        <v>22</v>
      </c>
    </row>
    <row r="5632" spans="1:11" ht="42" customHeight="1">
      <c r="A5632" s="4" t="s">
        <v>12935</v>
      </c>
      <c r="B5632" s="5" t="s">
        <v>12935</v>
      </c>
      <c r="C5632" s="5" t="s">
        <v>29</v>
      </c>
      <c r="D5632" s="5" t="s">
        <v>30</v>
      </c>
      <c r="E5632" s="5" t="s">
        <v>352</v>
      </c>
      <c r="F5632" s="9">
        <v>60</v>
      </c>
      <c r="G5632" s="9">
        <v>640</v>
      </c>
      <c r="H5632" s="5" t="s">
        <v>20</v>
      </c>
      <c r="I5632" s="5" t="s">
        <v>12936</v>
      </c>
      <c r="J5632" s="12" t="str">
        <f>HYPERLINK("https://www.boe.es/gazeta/dias/1805/07/26/pdfs/GMD-1805-60.pdf#page=4","Abrir facsímil")</f>
        <v>Abrir facsímil</v>
      </c>
      <c r="K5632" s="15" t="s">
        <v>22</v>
      </c>
    </row>
    <row r="5633" spans="1:11" ht="42" customHeight="1">
      <c r="A5633" s="4" t="s">
        <v>12937</v>
      </c>
      <c r="B5633" s="5" t="s">
        <v>12938</v>
      </c>
      <c r="C5633" s="5" t="s">
        <v>35</v>
      </c>
      <c r="D5633" s="5" t="s">
        <v>36</v>
      </c>
      <c r="E5633" s="5" t="s">
        <v>293</v>
      </c>
      <c r="F5633" s="9">
        <v>5</v>
      </c>
      <c r="G5633" s="9">
        <v>53</v>
      </c>
      <c r="H5633" s="5" t="s">
        <v>20</v>
      </c>
      <c r="I5633" s="5" t="s">
        <v>12939</v>
      </c>
      <c r="J5633" s="12" t="str">
        <f>HYPERLINK("https://www.boe.es/gazeta/dias/1805/01/15/pdfs/GMD-1805-5.pdf#page=9","Abrir facsímil")</f>
        <v>Abrir facsímil</v>
      </c>
      <c r="K5633" s="15" t="s">
        <v>22</v>
      </c>
    </row>
    <row r="5634" spans="1:11" ht="42" customHeight="1">
      <c r="A5634" s="4" t="s">
        <v>12940</v>
      </c>
      <c r="B5634" s="5" t="s">
        <v>12940</v>
      </c>
      <c r="C5634" s="5" t="s">
        <v>80</v>
      </c>
      <c r="D5634" s="5" t="s">
        <v>81</v>
      </c>
      <c r="E5634" s="5" t="s">
        <v>82</v>
      </c>
      <c r="F5634" s="9">
        <v>25</v>
      </c>
      <c r="G5634" s="9">
        <v>266</v>
      </c>
      <c r="H5634" s="5" t="s">
        <v>20</v>
      </c>
      <c r="I5634" s="5" t="s">
        <v>12941</v>
      </c>
      <c r="J5634" s="12" t="str">
        <f>HYPERLINK("https://www.boe.es/gazeta/dias/1805/03/26/pdfs/GMD-1805-25.pdf#page=6","Abrir facsímil")</f>
        <v>Abrir facsímil</v>
      </c>
      <c r="K5634" s="15" t="s">
        <v>22</v>
      </c>
    </row>
    <row r="5635" spans="1:11" ht="42" customHeight="1">
      <c r="A5635" s="4" t="s">
        <v>12942</v>
      </c>
      <c r="B5635" s="5" t="s">
        <v>12942</v>
      </c>
      <c r="C5635" s="5" t="s">
        <v>80</v>
      </c>
      <c r="D5635" s="5" t="s">
        <v>81</v>
      </c>
      <c r="E5635" s="5" t="s">
        <v>122</v>
      </c>
      <c r="F5635" s="9">
        <v>38</v>
      </c>
      <c r="G5635" s="9">
        <v>409</v>
      </c>
      <c r="H5635" s="5" t="s">
        <v>20</v>
      </c>
      <c r="I5635" s="5" t="s">
        <v>12943</v>
      </c>
      <c r="J5635" s="12" t="str">
        <f>HYPERLINK("https://www.boe.es/gazeta/dias/1805/05/10/pdfs/GMD-1805-38.pdf#page=5","Abrir facsímil")</f>
        <v>Abrir facsímil</v>
      </c>
      <c r="K5635" s="15" t="s">
        <v>22</v>
      </c>
    </row>
    <row r="5636" spans="1:11" ht="42" customHeight="1">
      <c r="A5636" s="4" t="s">
        <v>12944</v>
      </c>
      <c r="B5636" s="5" t="s">
        <v>12944</v>
      </c>
      <c r="C5636" s="5" t="s">
        <v>35</v>
      </c>
      <c r="D5636" s="5" t="s">
        <v>36</v>
      </c>
      <c r="E5636" s="5" t="s">
        <v>261</v>
      </c>
      <c r="F5636" s="9">
        <v>18</v>
      </c>
      <c r="G5636" s="9">
        <v>184</v>
      </c>
      <c r="H5636" s="5" t="s">
        <v>20</v>
      </c>
      <c r="I5636" s="5" t="s">
        <v>12945</v>
      </c>
      <c r="J5636" s="12" t="str">
        <f>HYPERLINK("https://www.boe.es/gazeta/dias/1805/03/01/pdfs/GMD-1805-18.pdf#page=4","Abrir facsímil")</f>
        <v>Abrir facsímil</v>
      </c>
      <c r="K5636" s="15" t="s">
        <v>22</v>
      </c>
    </row>
    <row r="5637" spans="1:11" ht="42" customHeight="1">
      <c r="A5637" s="4" t="s">
        <v>12944</v>
      </c>
      <c r="B5637" s="5" t="s">
        <v>12944</v>
      </c>
      <c r="C5637" s="5" t="s">
        <v>17</v>
      </c>
      <c r="D5637" s="5" t="s">
        <v>18</v>
      </c>
      <c r="E5637" s="5" t="s">
        <v>440</v>
      </c>
      <c r="F5637" s="9">
        <v>27</v>
      </c>
      <c r="G5637" s="9">
        <v>283</v>
      </c>
      <c r="H5637" s="5" t="s">
        <v>20</v>
      </c>
      <c r="I5637" s="5" t="s">
        <v>12946</v>
      </c>
      <c r="J5637" s="12" t="str">
        <f>HYPERLINK("https://www.boe.es/gazeta/dias/1805/04/02/pdfs/GMD-1805-27.pdf#page=3","Abrir facsímil")</f>
        <v>Abrir facsímil</v>
      </c>
      <c r="K5637" s="15" t="s">
        <v>22</v>
      </c>
    </row>
    <row r="5638" spans="1:11" ht="42" customHeight="1">
      <c r="A5638" s="4" t="s">
        <v>12944</v>
      </c>
      <c r="B5638" s="5" t="s">
        <v>12944</v>
      </c>
      <c r="C5638" s="5" t="s">
        <v>35</v>
      </c>
      <c r="D5638" s="5" t="s">
        <v>36</v>
      </c>
      <c r="E5638" s="5" t="s">
        <v>850</v>
      </c>
      <c r="F5638" s="9">
        <v>42</v>
      </c>
      <c r="G5638" s="9">
        <v>450</v>
      </c>
      <c r="H5638" s="5" t="s">
        <v>20</v>
      </c>
      <c r="I5638" s="5" t="s">
        <v>12947</v>
      </c>
      <c r="J5638" s="12" t="str">
        <f>HYPERLINK("https://www.boe.es/gazeta/dias/1805/05/24/pdfs/GMD-1805-42.pdf#page=6","Abrir facsímil")</f>
        <v>Abrir facsímil</v>
      </c>
      <c r="K5638" s="15" t="s">
        <v>22</v>
      </c>
    </row>
    <row r="5639" spans="1:11" ht="42" customHeight="1">
      <c r="A5639" s="4" t="s">
        <v>12944</v>
      </c>
      <c r="B5639" s="5" t="s">
        <v>12944</v>
      </c>
      <c r="C5639" s="5" t="s">
        <v>17</v>
      </c>
      <c r="D5639" s="5" t="s">
        <v>18</v>
      </c>
      <c r="E5639" s="5" t="s">
        <v>393</v>
      </c>
      <c r="F5639" s="9">
        <v>44</v>
      </c>
      <c r="G5639" s="9">
        <v>469</v>
      </c>
      <c r="H5639" s="5" t="s">
        <v>20</v>
      </c>
      <c r="I5639" s="5" t="s">
        <v>12948</v>
      </c>
      <c r="J5639" s="12" t="str">
        <f>HYPERLINK("https://www.boe.es/gazeta/dias/1805/05/31/pdfs/GMD-1805-44.pdf#page=5","Abrir facsímil")</f>
        <v>Abrir facsímil</v>
      </c>
      <c r="K5639" s="15" t="s">
        <v>22</v>
      </c>
    </row>
    <row r="5640" spans="1:11" ht="42" customHeight="1">
      <c r="A5640" s="4" t="s">
        <v>12944</v>
      </c>
      <c r="B5640" s="5" t="s">
        <v>12944</v>
      </c>
      <c r="C5640" s="5" t="s">
        <v>80</v>
      </c>
      <c r="D5640" s="5" t="s">
        <v>81</v>
      </c>
      <c r="E5640" s="5" t="s">
        <v>904</v>
      </c>
      <c r="F5640" s="9">
        <v>47</v>
      </c>
      <c r="G5640" s="9">
        <v>506</v>
      </c>
      <c r="H5640" s="5" t="s">
        <v>20</v>
      </c>
      <c r="I5640" s="5" t="s">
        <v>12949</v>
      </c>
      <c r="J5640" s="12" t="str">
        <f>HYPERLINK("https://www.boe.es/gazeta/dias/1805/06/11/pdfs/GMD-1805-47.pdf#page=6","Abrir facsímil")</f>
        <v>Abrir facsímil</v>
      </c>
      <c r="K5640" s="15" t="s">
        <v>22</v>
      </c>
    </row>
    <row r="5641" spans="1:11" ht="42" customHeight="1">
      <c r="A5641" s="4" t="s">
        <v>12950</v>
      </c>
      <c r="B5641" s="5" t="s">
        <v>12950</v>
      </c>
      <c r="C5641" s="5" t="s">
        <v>17</v>
      </c>
      <c r="D5641" s="5" t="s">
        <v>18</v>
      </c>
      <c r="E5641" s="5" t="s">
        <v>117</v>
      </c>
      <c r="F5641" s="9">
        <v>20</v>
      </c>
      <c r="G5641" s="9">
        <v>208</v>
      </c>
      <c r="H5641" s="5" t="s">
        <v>20</v>
      </c>
      <c r="I5641" s="5" t="s">
        <v>12951</v>
      </c>
      <c r="J5641" s="12" t="str">
        <f>HYPERLINK("https://www.boe.es/gazeta/dias/1805/03/08/pdfs/GMD-1805-20.pdf#page=8","Abrir facsímil")</f>
        <v>Abrir facsímil</v>
      </c>
      <c r="K5641" s="15" t="s">
        <v>22</v>
      </c>
    </row>
    <row r="5642" spans="1:11" ht="42" customHeight="1">
      <c r="A5642" s="4" t="s">
        <v>12952</v>
      </c>
      <c r="B5642" s="5" t="s">
        <v>12953</v>
      </c>
      <c r="C5642" s="5" t="s">
        <v>85</v>
      </c>
      <c r="D5642" s="5" t="s">
        <v>86</v>
      </c>
      <c r="E5642" s="5" t="s">
        <v>1187</v>
      </c>
      <c r="F5642" s="9">
        <v>40</v>
      </c>
      <c r="G5642" s="9">
        <v>426</v>
      </c>
      <c r="H5642" s="5" t="s">
        <v>20</v>
      </c>
      <c r="I5642" s="5" t="s">
        <v>12954</v>
      </c>
      <c r="J5642" s="12" t="str">
        <f>HYPERLINK("https://www.boe.es/gazeta/dias/1805/05/17/pdfs/GMD-1805-40.pdf#page=2","Abrir facsímil")</f>
        <v>Abrir facsímil</v>
      </c>
      <c r="K5642" s="15" t="s">
        <v>22</v>
      </c>
    </row>
    <row r="5643" spans="1:11" ht="42" customHeight="1">
      <c r="A5643" s="4" t="s">
        <v>12955</v>
      </c>
      <c r="B5643" s="5" t="s">
        <v>12956</v>
      </c>
      <c r="C5643" s="5" t="s">
        <v>35</v>
      </c>
      <c r="D5643" s="5" t="s">
        <v>36</v>
      </c>
      <c r="E5643" s="5" t="s">
        <v>290</v>
      </c>
      <c r="F5643" s="9">
        <v>36</v>
      </c>
      <c r="G5643" s="9">
        <v>389</v>
      </c>
      <c r="H5643" s="5" t="s">
        <v>20</v>
      </c>
      <c r="I5643" s="5" t="s">
        <v>12957</v>
      </c>
      <c r="J5643" s="12" t="str">
        <f>HYPERLINK("https://www.boe.es/gazeta/dias/1805/05/03/pdfs/GMD-1805-36.pdf#page=9","Abrir facsímil")</f>
        <v>Abrir facsímil</v>
      </c>
      <c r="K5643" s="15" t="s">
        <v>22</v>
      </c>
    </row>
    <row r="5644" spans="1:11" ht="42" customHeight="1">
      <c r="A5644" s="4" t="s">
        <v>12958</v>
      </c>
      <c r="B5644" s="5" t="s">
        <v>12959</v>
      </c>
      <c r="C5644" s="5" t="s">
        <v>35</v>
      </c>
      <c r="D5644" s="5" t="s">
        <v>36</v>
      </c>
      <c r="E5644" s="5" t="s">
        <v>711</v>
      </c>
      <c r="F5644" s="9">
        <v>63</v>
      </c>
      <c r="G5644" s="9">
        <v>673</v>
      </c>
      <c r="H5644" s="5" t="s">
        <v>20</v>
      </c>
      <c r="I5644" s="5" t="s">
        <v>12960</v>
      </c>
      <c r="J5644" s="12" t="str">
        <f>HYPERLINK("https://www.boe.es/gazeta/dias/1805/08/06/pdfs/GMD-1805-63.pdf#page=9","Abrir facsímil")</f>
        <v>Abrir facsímil</v>
      </c>
      <c r="K5644" s="15" t="s">
        <v>22</v>
      </c>
    </row>
    <row r="5645" spans="1:11" ht="42" customHeight="1">
      <c r="A5645" s="4" t="s">
        <v>12961</v>
      </c>
      <c r="B5645" s="5" t="s">
        <v>12961</v>
      </c>
      <c r="C5645" s="5" t="s">
        <v>80</v>
      </c>
      <c r="D5645" s="5" t="s">
        <v>81</v>
      </c>
      <c r="E5645" s="5" t="s">
        <v>103</v>
      </c>
      <c r="F5645" s="9">
        <v>30</v>
      </c>
      <c r="G5645" s="9">
        <v>318</v>
      </c>
      <c r="H5645" s="5" t="s">
        <v>20</v>
      </c>
      <c r="I5645" s="5" t="s">
        <v>12962</v>
      </c>
      <c r="J5645" s="12" t="str">
        <f>HYPERLINK("https://www.boe.es/gazeta/dias/1805/04/12/pdfs/GMD-1805-30.pdf#page=2","Abrir facsímil")</f>
        <v>Abrir facsímil</v>
      </c>
      <c r="K5645" s="15" t="s">
        <v>22</v>
      </c>
    </row>
    <row r="5646" spans="1:11" ht="42" customHeight="1">
      <c r="A5646" s="4" t="s">
        <v>12963</v>
      </c>
      <c r="B5646" s="5" t="s">
        <v>12963</v>
      </c>
      <c r="C5646" s="5" t="s">
        <v>29</v>
      </c>
      <c r="D5646" s="5" t="s">
        <v>30</v>
      </c>
      <c r="E5646" s="5" t="s">
        <v>120</v>
      </c>
      <c r="F5646" s="9">
        <v>24</v>
      </c>
      <c r="G5646" s="9">
        <v>249</v>
      </c>
      <c r="H5646" s="5" t="s">
        <v>20</v>
      </c>
      <c r="I5646" s="5" t="s">
        <v>12964</v>
      </c>
      <c r="J5646" s="12" t="str">
        <f>HYPERLINK("https://www.boe.es/gazeta/dias/1805/03/22/pdfs/GMD-1805-24.pdf#page=1","Abrir facsímil")</f>
        <v>Abrir facsímil</v>
      </c>
      <c r="K5646" s="15" t="s">
        <v>22</v>
      </c>
    </row>
    <row r="5647" spans="1:11" ht="42" customHeight="1">
      <c r="A5647" s="4" t="s">
        <v>12965</v>
      </c>
      <c r="B5647" s="5" t="s">
        <v>12965</v>
      </c>
      <c r="C5647" s="5" t="s">
        <v>80</v>
      </c>
      <c r="D5647" s="5" t="s">
        <v>81</v>
      </c>
      <c r="E5647" s="5" t="s">
        <v>87</v>
      </c>
      <c r="F5647" s="9">
        <v>14</v>
      </c>
      <c r="G5647" s="9">
        <v>141</v>
      </c>
      <c r="H5647" s="5" t="s">
        <v>20</v>
      </c>
      <c r="I5647" s="5" t="s">
        <v>12966</v>
      </c>
      <c r="J5647" s="12" t="str">
        <f>HYPERLINK("https://www.boe.es/gazeta/dias/1805/02/15/pdfs/GMD-1805-14.pdf#page=1","Abrir facsímil")</f>
        <v>Abrir facsímil</v>
      </c>
      <c r="K5647" s="15" t="s">
        <v>22</v>
      </c>
    </row>
    <row r="5648" spans="1:11" ht="42" customHeight="1">
      <c r="A5648" s="4" t="s">
        <v>12967</v>
      </c>
      <c r="B5648" s="5" t="s">
        <v>12968</v>
      </c>
      <c r="C5648" s="5" t="s">
        <v>35</v>
      </c>
      <c r="D5648" s="5" t="s">
        <v>36</v>
      </c>
      <c r="E5648" s="5" t="s">
        <v>67</v>
      </c>
      <c r="F5648" s="9">
        <v>98</v>
      </c>
      <c r="G5648" s="9">
        <v>1059</v>
      </c>
      <c r="H5648" s="5" t="s">
        <v>20</v>
      </c>
      <c r="I5648" s="5" t="s">
        <v>12969</v>
      </c>
      <c r="J5648" s="12" t="str">
        <f>HYPERLINK("https://www.boe.es/gazeta/dias/1805/12/06/pdfs/GMD-1805-98.pdf#page=11","Abrir facsímil")</f>
        <v>Abrir facsímil</v>
      </c>
      <c r="K5648" s="15" t="s">
        <v>22</v>
      </c>
    </row>
    <row r="5649" spans="1:11" ht="42" customHeight="1">
      <c r="A5649" s="4" t="s">
        <v>12970</v>
      </c>
      <c r="B5649" s="5" t="s">
        <v>12971</v>
      </c>
      <c r="C5649" s="5" t="s">
        <v>35</v>
      </c>
      <c r="D5649" s="5" t="s">
        <v>36</v>
      </c>
      <c r="E5649" s="5" t="s">
        <v>1132</v>
      </c>
      <c r="F5649" s="9">
        <v>72</v>
      </c>
      <c r="G5649" s="9">
        <v>767</v>
      </c>
      <c r="H5649" s="5" t="s">
        <v>20</v>
      </c>
      <c r="I5649" s="5" t="s">
        <v>12972</v>
      </c>
      <c r="J5649" s="12" t="str">
        <f>HYPERLINK("https://www.boe.es/gazeta/dias/1805/09/06/pdfs/GMD-1805-72.pdf#page=7","Abrir facsímil")</f>
        <v>Abrir facsímil</v>
      </c>
      <c r="K5649" s="15" t="s">
        <v>22</v>
      </c>
    </row>
    <row r="5650" spans="1:11" ht="42" customHeight="1">
      <c r="A5650" s="4" t="s">
        <v>12973</v>
      </c>
      <c r="B5650" s="5" t="s">
        <v>12973</v>
      </c>
      <c r="C5650" s="5" t="s">
        <v>29</v>
      </c>
      <c r="D5650" s="5" t="s">
        <v>30</v>
      </c>
      <c r="E5650" s="5" t="s">
        <v>399</v>
      </c>
      <c r="F5650" s="9">
        <v>39</v>
      </c>
      <c r="G5650" s="9">
        <v>415</v>
      </c>
      <c r="H5650" s="5" t="s">
        <v>20</v>
      </c>
      <c r="I5650" s="5" t="s">
        <v>12974</v>
      </c>
      <c r="J5650" s="12" t="str">
        <f>HYPERLINK("https://www.boe.es/gazeta/dias/1805/05/14/pdfs/GMD-1805-39.pdf#page=3","Abrir facsímil")</f>
        <v>Abrir facsímil</v>
      </c>
      <c r="K5650" s="15" t="s">
        <v>22</v>
      </c>
    </row>
    <row r="5651" spans="1:11" ht="42" customHeight="1">
      <c r="A5651" s="4" t="s">
        <v>12975</v>
      </c>
      <c r="B5651" s="5" t="s">
        <v>12976</v>
      </c>
      <c r="C5651" s="5" t="s">
        <v>80</v>
      </c>
      <c r="D5651" s="5" t="s">
        <v>81</v>
      </c>
      <c r="E5651" s="5" t="s">
        <v>335</v>
      </c>
      <c r="F5651" s="9">
        <v>79</v>
      </c>
      <c r="G5651" s="9">
        <v>835</v>
      </c>
      <c r="H5651" s="5" t="s">
        <v>20</v>
      </c>
      <c r="I5651" s="5" t="s">
        <v>12977</v>
      </c>
      <c r="J5651" s="12" t="str">
        <f>HYPERLINK("https://www.boe.es/gazeta/dias/1805/10/01/pdfs/GMD-1805-79.pdf#page=7","Abrir facsímil")</f>
        <v>Abrir facsímil</v>
      </c>
      <c r="K5651" s="15" t="s">
        <v>22</v>
      </c>
    </row>
    <row r="5652" spans="1:11" ht="42" customHeight="1">
      <c r="A5652" s="4" t="s">
        <v>12978</v>
      </c>
      <c r="B5652" s="5" t="s">
        <v>12979</v>
      </c>
      <c r="C5652" s="5" t="s">
        <v>29</v>
      </c>
      <c r="D5652" s="5" t="s">
        <v>30</v>
      </c>
      <c r="E5652" s="5" t="s">
        <v>144</v>
      </c>
      <c r="F5652" s="9">
        <v>85</v>
      </c>
      <c r="G5652" s="9">
        <v>904</v>
      </c>
      <c r="H5652" s="5" t="s">
        <v>20</v>
      </c>
      <c r="I5652" s="5" t="s">
        <v>12980</v>
      </c>
      <c r="J5652" s="12" t="str">
        <f>HYPERLINK("https://www.boe.es/gazeta/dias/1805/10/22/pdfs/GMD-1805-85.pdf#page=12","Abrir facsímil")</f>
        <v>Abrir facsímil</v>
      </c>
      <c r="K5652" s="15" t="s">
        <v>22</v>
      </c>
    </row>
    <row r="5653" spans="1:11" ht="42" customHeight="1">
      <c r="A5653" s="4" t="s">
        <v>12981</v>
      </c>
      <c r="B5653" s="5" t="s">
        <v>12982</v>
      </c>
      <c r="C5653" s="5" t="s">
        <v>35</v>
      </c>
      <c r="D5653" s="5" t="s">
        <v>36</v>
      </c>
      <c r="E5653" s="5" t="s">
        <v>711</v>
      </c>
      <c r="F5653" s="9">
        <v>63</v>
      </c>
      <c r="G5653" s="9">
        <v>673</v>
      </c>
      <c r="H5653" s="5" t="s">
        <v>20</v>
      </c>
      <c r="I5653" s="5" t="s">
        <v>12983</v>
      </c>
      <c r="J5653" s="12" t="str">
        <f>HYPERLINK("https://www.boe.es/gazeta/dias/1805/08/06/pdfs/GMD-1805-63.pdf#page=9","Abrir facsímil")</f>
        <v>Abrir facsímil</v>
      </c>
      <c r="K5653" s="15" t="s">
        <v>22</v>
      </c>
    </row>
    <row r="5654" spans="1:11" ht="42" customHeight="1">
      <c r="A5654" s="4" t="s">
        <v>12984</v>
      </c>
      <c r="B5654" s="5" t="s">
        <v>12985</v>
      </c>
      <c r="C5654" s="5" t="s">
        <v>35</v>
      </c>
      <c r="D5654" s="5" t="s">
        <v>36</v>
      </c>
      <c r="E5654" s="5" t="s">
        <v>409</v>
      </c>
      <c r="F5654" s="9">
        <v>69</v>
      </c>
      <c r="G5654" s="9">
        <v>737</v>
      </c>
      <c r="H5654" s="5" t="s">
        <v>20</v>
      </c>
      <c r="I5654" s="5" t="s">
        <v>12986</v>
      </c>
      <c r="J5654" s="12" t="str">
        <f>HYPERLINK("https://www.boe.es/gazeta/dias/1805/08/27/pdfs/GMD-1805-69.pdf#page=5","Abrir facsímil")</f>
        <v>Abrir facsímil</v>
      </c>
      <c r="K5654" s="15" t="s">
        <v>22</v>
      </c>
    </row>
    <row r="5655" spans="1:11" ht="42" customHeight="1">
      <c r="A5655" s="4" t="s">
        <v>12984</v>
      </c>
      <c r="B5655" s="5" t="s">
        <v>12985</v>
      </c>
      <c r="C5655" s="5" t="s">
        <v>80</v>
      </c>
      <c r="D5655" s="5" t="s">
        <v>81</v>
      </c>
      <c r="E5655" s="5" t="s">
        <v>864</v>
      </c>
      <c r="F5655" s="9">
        <v>88</v>
      </c>
      <c r="G5655" s="9">
        <v>934</v>
      </c>
      <c r="H5655" s="5" t="s">
        <v>20</v>
      </c>
      <c r="I5655" s="5" t="s">
        <v>12987</v>
      </c>
      <c r="J5655" s="12" t="str">
        <f>HYPERLINK("https://www.boe.es/gazeta/dias/1805/11/01/pdfs/GMD-1805-88.pdf#page=6","Abrir facsímil")</f>
        <v>Abrir facsímil</v>
      </c>
      <c r="K5655" s="15" t="s">
        <v>22</v>
      </c>
    </row>
    <row r="5656" spans="1:11" ht="42" customHeight="1">
      <c r="A5656" s="4" t="s">
        <v>12984</v>
      </c>
      <c r="B5656" s="5" t="s">
        <v>12985</v>
      </c>
      <c r="C5656" s="5" t="s">
        <v>80</v>
      </c>
      <c r="D5656" s="5" t="s">
        <v>81</v>
      </c>
      <c r="E5656" s="5" t="s">
        <v>886</v>
      </c>
      <c r="F5656" s="9">
        <v>93</v>
      </c>
      <c r="G5656" s="9">
        <v>994</v>
      </c>
      <c r="H5656" s="5" t="s">
        <v>20</v>
      </c>
      <c r="I5656" s="5" t="s">
        <v>12988</v>
      </c>
      <c r="J5656" s="12" t="str">
        <f>HYPERLINK("https://www.boe.es/gazeta/dias/1805/11/19/pdfs/GMD-1805-93.pdf#page=6","Abrir facsímil")</f>
        <v>Abrir facsímil</v>
      </c>
      <c r="K5656" s="15" t="s">
        <v>22</v>
      </c>
    </row>
    <row r="5657" spans="1:11" ht="42" customHeight="1">
      <c r="A5657" s="4" t="s">
        <v>12984</v>
      </c>
      <c r="B5657" s="5" t="s">
        <v>12985</v>
      </c>
      <c r="C5657" s="5" t="s">
        <v>80</v>
      </c>
      <c r="D5657" s="5" t="s">
        <v>81</v>
      </c>
      <c r="E5657" s="5" t="s">
        <v>512</v>
      </c>
      <c r="F5657" s="9">
        <v>100</v>
      </c>
      <c r="G5657" s="9">
        <v>1079</v>
      </c>
      <c r="H5657" s="5" t="s">
        <v>20</v>
      </c>
      <c r="I5657" s="5" t="s">
        <v>12989</v>
      </c>
      <c r="J5657" s="12" t="str">
        <f>HYPERLINK("https://www.boe.es/gazeta/dias/1805/12/13/pdfs/GMD-1805-100.pdf#page=7","Abrir facsímil")</f>
        <v>Abrir facsímil</v>
      </c>
      <c r="K5657" s="15" t="s">
        <v>22</v>
      </c>
    </row>
    <row r="5658" spans="1:11" ht="42" customHeight="1">
      <c r="A5658" s="4" t="s">
        <v>12990</v>
      </c>
      <c r="B5658" s="5" t="s">
        <v>12991</v>
      </c>
      <c r="C5658" s="5" t="s">
        <v>17</v>
      </c>
      <c r="D5658" s="5" t="s">
        <v>18</v>
      </c>
      <c r="E5658" s="5" t="s">
        <v>303</v>
      </c>
      <c r="F5658" s="9">
        <v>57</v>
      </c>
      <c r="G5658" s="9">
        <v>610</v>
      </c>
      <c r="H5658" s="5" t="s">
        <v>20</v>
      </c>
      <c r="I5658" s="5" t="s">
        <v>12992</v>
      </c>
      <c r="J5658" s="12" t="str">
        <f>HYPERLINK("https://www.boe.es/gazeta/dias/1805/07/16/pdfs/GMD-1805-57.pdf#page=6","Abrir facsímil")</f>
        <v>Abrir facsímil</v>
      </c>
      <c r="K5658" s="15" t="s">
        <v>22</v>
      </c>
    </row>
    <row r="5659" spans="1:11" ht="42" customHeight="1">
      <c r="A5659" s="4" t="s">
        <v>12993</v>
      </c>
      <c r="B5659" s="5" t="s">
        <v>12993</v>
      </c>
      <c r="C5659" s="5" t="s">
        <v>35</v>
      </c>
      <c r="D5659" s="5" t="s">
        <v>36</v>
      </c>
      <c r="E5659" s="5" t="s">
        <v>261</v>
      </c>
      <c r="F5659" s="9">
        <v>18</v>
      </c>
      <c r="G5659" s="9">
        <v>188</v>
      </c>
      <c r="H5659" s="5" t="s">
        <v>20</v>
      </c>
      <c r="I5659" s="5" t="s">
        <v>12994</v>
      </c>
      <c r="J5659" s="12" t="str">
        <f>HYPERLINK("https://www.boe.es/gazeta/dias/1805/03/01/pdfs/GMD-1805-18.pdf#page=8","Abrir facsímil")</f>
        <v>Abrir facsímil</v>
      </c>
      <c r="K5659" s="15" t="s">
        <v>22</v>
      </c>
    </row>
    <row r="5660" spans="1:11" ht="42" customHeight="1">
      <c r="A5660" s="4" t="s">
        <v>12995</v>
      </c>
      <c r="B5660" s="5" t="s">
        <v>12995</v>
      </c>
      <c r="C5660" s="5" t="s">
        <v>80</v>
      </c>
      <c r="D5660" s="5" t="s">
        <v>81</v>
      </c>
      <c r="E5660" s="5" t="s">
        <v>387</v>
      </c>
      <c r="F5660" s="9">
        <v>4</v>
      </c>
      <c r="G5660" s="9">
        <v>38</v>
      </c>
      <c r="H5660" s="5" t="s">
        <v>20</v>
      </c>
      <c r="I5660" s="5" t="s">
        <v>12996</v>
      </c>
      <c r="J5660" s="12" t="str">
        <f>HYPERLINK("https://www.boe.es/gazeta/dias/1805/01/11/pdfs/GMD-1805-4.pdf#page=6","Abrir facsímil")</f>
        <v>Abrir facsímil</v>
      </c>
      <c r="K5660" s="15" t="s">
        <v>22</v>
      </c>
    </row>
    <row r="5661" spans="1:11" ht="42" customHeight="1">
      <c r="A5661" s="4" t="s">
        <v>12997</v>
      </c>
      <c r="B5661" s="5" t="s">
        <v>12997</v>
      </c>
      <c r="C5661" s="5" t="s">
        <v>17</v>
      </c>
      <c r="D5661" s="5" t="s">
        <v>18</v>
      </c>
      <c r="E5661" s="5" t="s">
        <v>296</v>
      </c>
      <c r="F5661" s="9">
        <v>26</v>
      </c>
      <c r="G5661" s="9">
        <v>276</v>
      </c>
      <c r="H5661" s="5" t="s">
        <v>20</v>
      </c>
      <c r="I5661" s="5" t="s">
        <v>12998</v>
      </c>
      <c r="J5661" s="12" t="str">
        <f>HYPERLINK("https://www.boe.es/gazeta/dias/1805/03/29/pdfs/GMD-1805-26.pdf#page=8","Abrir facsímil")</f>
        <v>Abrir facsímil</v>
      </c>
      <c r="K5661" s="15" t="s">
        <v>22</v>
      </c>
    </row>
    <row r="5662" spans="1:11" ht="42" customHeight="1">
      <c r="A5662" s="4" t="s">
        <v>12997</v>
      </c>
      <c r="B5662" s="5" t="s">
        <v>12997</v>
      </c>
      <c r="C5662" s="5" t="s">
        <v>80</v>
      </c>
      <c r="D5662" s="5" t="s">
        <v>81</v>
      </c>
      <c r="E5662" s="5" t="s">
        <v>1022</v>
      </c>
      <c r="F5662" s="9">
        <v>52</v>
      </c>
      <c r="G5662" s="9">
        <v>560</v>
      </c>
      <c r="H5662" s="5" t="s">
        <v>20</v>
      </c>
      <c r="I5662" s="5" t="s">
        <v>12999</v>
      </c>
      <c r="J5662" s="12" t="str">
        <f>HYPERLINK("https://www.boe.es/gazeta/dias/1805/06/28/pdfs/GMD-1805-52.pdf#page=8","Abrir facsímil")</f>
        <v>Abrir facsímil</v>
      </c>
      <c r="K5662" s="15" t="s">
        <v>22</v>
      </c>
    </row>
    <row r="5663" spans="1:11" ht="42" customHeight="1">
      <c r="A5663" s="4" t="s">
        <v>13000</v>
      </c>
      <c r="B5663" s="5" t="s">
        <v>13000</v>
      </c>
      <c r="C5663" s="5" t="s">
        <v>17</v>
      </c>
      <c r="D5663" s="5" t="s">
        <v>18</v>
      </c>
      <c r="E5663" s="5" t="s">
        <v>114</v>
      </c>
      <c r="F5663" s="9">
        <v>17</v>
      </c>
      <c r="G5663" s="9">
        <v>176</v>
      </c>
      <c r="H5663" s="5" t="s">
        <v>20</v>
      </c>
      <c r="I5663" s="5" t="s">
        <v>13001</v>
      </c>
      <c r="J5663" s="12" t="str">
        <f>HYPERLINK("https://www.boe.es/gazeta/dias/1805/02/26/pdfs/GMD-1805-17.pdf#page=8","Abrir facsímil")</f>
        <v>Abrir facsímil</v>
      </c>
      <c r="K5663" s="15" t="s">
        <v>22</v>
      </c>
    </row>
    <row r="5664" spans="1:11" ht="42" customHeight="1">
      <c r="A5664" s="4" t="s">
        <v>13002</v>
      </c>
      <c r="B5664" s="5" t="s">
        <v>13002</v>
      </c>
      <c r="C5664" s="5" t="s">
        <v>85</v>
      </c>
      <c r="D5664" s="5" t="s">
        <v>86</v>
      </c>
      <c r="E5664" s="5" t="s">
        <v>91</v>
      </c>
      <c r="F5664" s="9">
        <v>28</v>
      </c>
      <c r="G5664" s="9">
        <v>299</v>
      </c>
      <c r="H5664" s="5" t="s">
        <v>20</v>
      </c>
      <c r="I5664" s="5" t="s">
        <v>13003</v>
      </c>
      <c r="J5664" s="12" t="str">
        <f>HYPERLINK("https://www.boe.es/gazeta/dias/1805/04/05/pdfs/GMD-1805-28.pdf#page=7","Abrir facsímil")</f>
        <v>Abrir facsímil</v>
      </c>
      <c r="K5664" s="15" t="s">
        <v>22</v>
      </c>
    </row>
    <row r="5665" spans="1:11" ht="42" customHeight="1">
      <c r="A5665" s="4" t="s">
        <v>13004</v>
      </c>
      <c r="B5665" s="5" t="s">
        <v>13004</v>
      </c>
      <c r="C5665" s="5" t="s">
        <v>35</v>
      </c>
      <c r="D5665" s="5" t="s">
        <v>36</v>
      </c>
      <c r="E5665" s="5" t="s">
        <v>300</v>
      </c>
      <c r="F5665" s="9">
        <v>81</v>
      </c>
      <c r="G5665" s="9">
        <v>859</v>
      </c>
      <c r="H5665" s="5" t="s">
        <v>20</v>
      </c>
      <c r="I5665" s="5" t="s">
        <v>13005</v>
      </c>
      <c r="J5665" s="12" t="str">
        <f>HYPERLINK("https://www.boe.es/gazeta/dias/1805/10/08/pdfs/GMD-1805-81.pdf#page=7","Abrir facsímil")</f>
        <v>Abrir facsímil</v>
      </c>
      <c r="K5665" s="15" t="s">
        <v>22</v>
      </c>
    </row>
    <row r="5666" spans="1:11" ht="42" customHeight="1">
      <c r="A5666" s="4" t="s">
        <v>13006</v>
      </c>
      <c r="B5666" s="5" t="s">
        <v>13006</v>
      </c>
      <c r="C5666" s="5" t="s">
        <v>85</v>
      </c>
      <c r="D5666" s="5" t="s">
        <v>86</v>
      </c>
      <c r="E5666" s="5" t="s">
        <v>181</v>
      </c>
      <c r="F5666" s="9">
        <v>90</v>
      </c>
      <c r="G5666" s="9">
        <v>966</v>
      </c>
      <c r="H5666" s="5" t="s">
        <v>20</v>
      </c>
      <c r="I5666" s="5" t="s">
        <v>13007</v>
      </c>
      <c r="J5666" s="12" t="str">
        <f>HYPERLINK("https://www.boe.es/gazeta/dias/1805/11/08/pdfs/GMD-1805-90.pdf#page=10","Abrir facsímil")</f>
        <v>Abrir facsímil</v>
      </c>
      <c r="K5666" s="15" t="s">
        <v>22</v>
      </c>
    </row>
    <row r="5667" spans="1:11" ht="42" customHeight="1">
      <c r="A5667" s="4" t="s">
        <v>13008</v>
      </c>
      <c r="B5667" s="5" t="s">
        <v>13009</v>
      </c>
      <c r="C5667" s="5" t="s">
        <v>35</v>
      </c>
      <c r="D5667" s="5" t="s">
        <v>36</v>
      </c>
      <c r="E5667" s="5" t="s">
        <v>645</v>
      </c>
      <c r="F5667" s="9">
        <v>55</v>
      </c>
      <c r="G5667" s="9">
        <v>585</v>
      </c>
      <c r="H5667" s="5" t="s">
        <v>20</v>
      </c>
      <c r="I5667" s="5" t="s">
        <v>13010</v>
      </c>
      <c r="J5667" s="12" t="str">
        <f>HYPERLINK("https://www.boe.es/gazeta/dias/1805/07/09/pdfs/GMD-1805-55.pdf#page=5","Abrir facsímil")</f>
        <v>Abrir facsímil</v>
      </c>
      <c r="K5667" s="15" t="s">
        <v>22</v>
      </c>
    </row>
    <row r="5668" spans="1:11" ht="42" customHeight="1">
      <c r="A5668" s="4" t="s">
        <v>13011</v>
      </c>
      <c r="B5668" s="5" t="s">
        <v>13012</v>
      </c>
      <c r="C5668" s="5" t="s">
        <v>52</v>
      </c>
      <c r="D5668" s="5" t="s">
        <v>53</v>
      </c>
      <c r="E5668" s="5" t="s">
        <v>54</v>
      </c>
      <c r="F5668" s="9">
        <v>99</v>
      </c>
      <c r="G5668" s="9" t="s">
        <v>159</v>
      </c>
      <c r="H5668" s="5" t="s">
        <v>20</v>
      </c>
      <c r="I5668" s="5" t="s">
        <v>13013</v>
      </c>
      <c r="J5668" s="12" t="str">
        <f>HYPERLINK("https://www.boe.es/gazeta/dias/1805/12/10/pdfs/GMD-C-1805-99.pdf#page=3","Abrir facsímil")</f>
        <v>Abrir facsímil</v>
      </c>
      <c r="K5668" s="15" t="s">
        <v>22</v>
      </c>
    </row>
    <row r="5669" spans="1:11" ht="42" customHeight="1">
      <c r="A5669" s="4" t="s">
        <v>13014</v>
      </c>
      <c r="B5669" s="5" t="s">
        <v>13015</v>
      </c>
      <c r="C5669" s="5" t="s">
        <v>264</v>
      </c>
      <c r="D5669" s="5" t="s">
        <v>265</v>
      </c>
      <c r="E5669" s="5" t="s">
        <v>1471</v>
      </c>
      <c r="F5669" s="9">
        <v>34</v>
      </c>
      <c r="G5669" s="9">
        <v>367</v>
      </c>
      <c r="H5669" s="5" t="s">
        <v>20</v>
      </c>
      <c r="I5669" s="5" t="s">
        <v>13016</v>
      </c>
      <c r="J5669" s="12" t="str">
        <f>HYPERLINK("https://www.boe.es/gazeta/dias/1805/04/26/pdfs/GMD-C-1805-34.pdf#page=3","Abrir facsímil")</f>
        <v>Abrir facsímil</v>
      </c>
      <c r="K5669" s="15" t="s">
        <v>22</v>
      </c>
    </row>
    <row r="5670" spans="1:11" ht="42" customHeight="1">
      <c r="A5670" s="4" t="s">
        <v>13017</v>
      </c>
      <c r="B5670" s="5" t="s">
        <v>13017</v>
      </c>
      <c r="C5670" s="5" t="s">
        <v>17</v>
      </c>
      <c r="D5670" s="5" t="s">
        <v>18</v>
      </c>
      <c r="E5670" s="5" t="s">
        <v>471</v>
      </c>
      <c r="F5670" s="9">
        <v>22</v>
      </c>
      <c r="G5670" s="9">
        <v>233</v>
      </c>
      <c r="H5670" s="5" t="s">
        <v>20</v>
      </c>
      <c r="I5670" s="5" t="s">
        <v>13018</v>
      </c>
      <c r="J5670" s="12" t="str">
        <f>HYPERLINK("https://www.boe.es/gazeta/dias/1805/03/15/pdfs/GMD-1805-22.pdf#page=9","Abrir facsímil")</f>
        <v>Abrir facsímil</v>
      </c>
      <c r="K5670" s="15" t="s">
        <v>22</v>
      </c>
    </row>
    <row r="5671" spans="1:11" ht="42" customHeight="1">
      <c r="A5671" s="4" t="s">
        <v>13019</v>
      </c>
      <c r="B5671" s="5" t="s">
        <v>13019</v>
      </c>
      <c r="C5671" s="5" t="s">
        <v>17</v>
      </c>
      <c r="D5671" s="5" t="s">
        <v>18</v>
      </c>
      <c r="E5671" s="5" t="s">
        <v>76</v>
      </c>
      <c r="F5671" s="9">
        <v>66</v>
      </c>
      <c r="G5671" s="9">
        <v>709</v>
      </c>
      <c r="H5671" s="5" t="s">
        <v>20</v>
      </c>
      <c r="I5671" s="5" t="s">
        <v>13020</v>
      </c>
      <c r="J5671" s="12" t="str">
        <f>HYPERLINK("https://www.boe.es/gazeta/dias/1805/08/16/pdfs/GMD-1805-66.pdf#page=9","Abrir facsímil")</f>
        <v>Abrir facsímil</v>
      </c>
      <c r="K5671" s="15" t="s">
        <v>22</v>
      </c>
    </row>
    <row r="5672" spans="1:11" ht="42" customHeight="1">
      <c r="A5672" s="4" t="s">
        <v>13021</v>
      </c>
      <c r="B5672" s="5" t="s">
        <v>13021</v>
      </c>
      <c r="C5672" s="5" t="s">
        <v>35</v>
      </c>
      <c r="D5672" s="5" t="s">
        <v>36</v>
      </c>
      <c r="E5672" s="5" t="s">
        <v>76</v>
      </c>
      <c r="F5672" s="9">
        <v>66</v>
      </c>
      <c r="G5672" s="9">
        <v>709</v>
      </c>
      <c r="H5672" s="5" t="s">
        <v>20</v>
      </c>
      <c r="I5672" s="5" t="s">
        <v>13022</v>
      </c>
      <c r="J5672" s="12" t="str">
        <f>HYPERLINK("https://www.boe.es/gazeta/dias/1805/08/16/pdfs/GMD-1805-66.pdf#page=9","Abrir facsímil")</f>
        <v>Abrir facsímil</v>
      </c>
      <c r="K5672" s="15" t="s">
        <v>22</v>
      </c>
    </row>
    <row r="5673" spans="1:11" ht="42" customHeight="1">
      <c r="A5673" s="4" t="s">
        <v>13023</v>
      </c>
      <c r="B5673" s="5" t="s">
        <v>13023</v>
      </c>
      <c r="C5673" s="5" t="s">
        <v>17</v>
      </c>
      <c r="D5673" s="5" t="s">
        <v>18</v>
      </c>
      <c r="E5673" s="5" t="s">
        <v>76</v>
      </c>
      <c r="F5673" s="9">
        <v>66</v>
      </c>
      <c r="G5673" s="9">
        <v>709</v>
      </c>
      <c r="H5673" s="5" t="s">
        <v>20</v>
      </c>
      <c r="I5673" s="5" t="s">
        <v>13024</v>
      </c>
      <c r="J5673" s="12" t="str">
        <f>HYPERLINK("https://www.boe.es/gazeta/dias/1805/08/16/pdfs/GMD-1805-66.pdf#page=9","Abrir facsímil")</f>
        <v>Abrir facsímil</v>
      </c>
      <c r="K5673" s="15" t="s">
        <v>22</v>
      </c>
    </row>
    <row r="5674" spans="1:11" ht="42" customHeight="1">
      <c r="A5674" s="4" t="s">
        <v>13025</v>
      </c>
      <c r="B5674" s="5" t="s">
        <v>13026</v>
      </c>
      <c r="C5674" s="5" t="s">
        <v>29</v>
      </c>
      <c r="D5674" s="5" t="s">
        <v>30</v>
      </c>
      <c r="E5674" s="5" t="s">
        <v>886</v>
      </c>
      <c r="F5674" s="9">
        <v>93</v>
      </c>
      <c r="G5674" s="9">
        <v>996</v>
      </c>
      <c r="H5674" s="5" t="s">
        <v>20</v>
      </c>
      <c r="I5674" s="5" t="s">
        <v>13027</v>
      </c>
      <c r="J5674" s="12" t="str">
        <f>HYPERLINK("https://www.boe.es/gazeta/dias/1805/11/19/pdfs/GMD-1805-93.pdf#page=8","Abrir facsímil")</f>
        <v>Abrir facsímil</v>
      </c>
      <c r="K5674" s="15" t="s">
        <v>22</v>
      </c>
    </row>
    <row r="5675" spans="1:11" ht="42" customHeight="1">
      <c r="A5675" s="4" t="s">
        <v>13025</v>
      </c>
      <c r="B5675" s="5" t="s">
        <v>13026</v>
      </c>
      <c r="C5675" s="5" t="s">
        <v>17</v>
      </c>
      <c r="D5675" s="5" t="s">
        <v>18</v>
      </c>
      <c r="E5675" s="5" t="s">
        <v>539</v>
      </c>
      <c r="F5675" s="9">
        <v>97</v>
      </c>
      <c r="G5675" s="9">
        <v>1042</v>
      </c>
      <c r="H5675" s="5" t="s">
        <v>20</v>
      </c>
      <c r="I5675" s="5" t="s">
        <v>13028</v>
      </c>
      <c r="J5675" s="12" t="str">
        <f>HYPERLINK("https://www.boe.es/gazeta/dias/1805/12/03/pdfs/GMD-1805-97.pdf#page=6","Abrir facsímil")</f>
        <v>Abrir facsímil</v>
      </c>
      <c r="K5675" s="15" t="s">
        <v>22</v>
      </c>
    </row>
    <row r="5676" spans="1:11" ht="42" customHeight="1">
      <c r="A5676" s="4" t="s">
        <v>13029</v>
      </c>
      <c r="B5676" s="5" t="s">
        <v>13030</v>
      </c>
      <c r="C5676" s="5" t="s">
        <v>184</v>
      </c>
      <c r="D5676" s="5" t="s">
        <v>86</v>
      </c>
      <c r="E5676" s="5" t="s">
        <v>393</v>
      </c>
      <c r="F5676" s="9">
        <v>44</v>
      </c>
      <c r="G5676" s="9">
        <v>473</v>
      </c>
      <c r="H5676" s="5" t="s">
        <v>20</v>
      </c>
      <c r="I5676" s="5" t="s">
        <v>13031</v>
      </c>
      <c r="J5676" s="12" t="str">
        <f>HYPERLINK("https://www.boe.es/gazeta/dias/1805/05/31/pdfs/GMD-1805-44.pdf#page=9","Abrir facsímil")</f>
        <v>Abrir facsímil</v>
      </c>
      <c r="K5676" s="15" t="s">
        <v>22</v>
      </c>
    </row>
    <row r="5677" spans="1:11" ht="42" customHeight="1">
      <c r="A5677" s="4" t="s">
        <v>13032</v>
      </c>
      <c r="B5677" s="5" t="s">
        <v>13033</v>
      </c>
      <c r="C5677" s="5" t="s">
        <v>52</v>
      </c>
      <c r="D5677" s="5" t="s">
        <v>53</v>
      </c>
      <c r="E5677" s="5" t="s">
        <v>54</v>
      </c>
      <c r="F5677" s="9">
        <v>99</v>
      </c>
      <c r="G5677" s="9" t="s">
        <v>145</v>
      </c>
      <c r="H5677" s="5" t="s">
        <v>20</v>
      </c>
      <c r="I5677" s="5" t="s">
        <v>13034</v>
      </c>
      <c r="J5677" s="12" t="str">
        <f>HYPERLINK("https://www.boe.es/gazeta/dias/1805/12/10/pdfs/GMD-C-1805-99.pdf#page=2","Abrir facsímil")</f>
        <v>Abrir facsímil</v>
      </c>
      <c r="K5677" s="15" t="s">
        <v>22</v>
      </c>
    </row>
    <row r="5678" spans="1:11" ht="42" customHeight="1">
      <c r="A5678" s="4" t="s">
        <v>13035</v>
      </c>
      <c r="B5678" s="5" t="s">
        <v>13036</v>
      </c>
      <c r="C5678" s="5" t="s">
        <v>52</v>
      </c>
      <c r="D5678" s="5" t="s">
        <v>53</v>
      </c>
      <c r="E5678" s="5" t="s">
        <v>144</v>
      </c>
      <c r="F5678" s="9">
        <v>85</v>
      </c>
      <c r="G5678" s="9" t="s">
        <v>222</v>
      </c>
      <c r="H5678" s="5" t="s">
        <v>20</v>
      </c>
      <c r="I5678" s="5" t="s">
        <v>13037</v>
      </c>
      <c r="J5678" s="12" t="str">
        <f>HYPERLINK("https://www.boe.es/gazeta/dias/1805/10/22/pdfs/GMD-C-1805-85.pdf#page=1","Abrir facsímil")</f>
        <v>Abrir facsímil</v>
      </c>
      <c r="K5678" s="15" t="s">
        <v>22</v>
      </c>
    </row>
    <row r="5679" spans="1:11" ht="42" customHeight="1">
      <c r="A5679" s="4" t="s">
        <v>13038</v>
      </c>
      <c r="B5679" s="5" t="s">
        <v>13039</v>
      </c>
      <c r="C5679" s="5" t="s">
        <v>35</v>
      </c>
      <c r="D5679" s="5" t="s">
        <v>36</v>
      </c>
      <c r="E5679" s="5" t="s">
        <v>188</v>
      </c>
      <c r="F5679" s="9">
        <v>68</v>
      </c>
      <c r="G5679" s="9">
        <v>729</v>
      </c>
      <c r="H5679" s="5" t="s">
        <v>20</v>
      </c>
      <c r="I5679" s="5" t="s">
        <v>13040</v>
      </c>
      <c r="J5679" s="12" t="str">
        <f>HYPERLINK("https://www.boe.es/gazeta/dias/1805/08/23/pdfs/GMD-1805-68.pdf#page=9","Abrir facsímil")</f>
        <v>Abrir facsímil</v>
      </c>
      <c r="K5679" s="15" t="s">
        <v>22</v>
      </c>
    </row>
    <row r="5680" spans="1:11" ht="42" customHeight="1">
      <c r="A5680" s="4" t="s">
        <v>13038</v>
      </c>
      <c r="B5680" s="5" t="s">
        <v>13039</v>
      </c>
      <c r="C5680" s="5" t="s">
        <v>52</v>
      </c>
      <c r="D5680" s="5" t="s">
        <v>53</v>
      </c>
      <c r="E5680" s="5" t="s">
        <v>54</v>
      </c>
      <c r="F5680" s="9">
        <v>99</v>
      </c>
      <c r="G5680" s="9" t="s">
        <v>145</v>
      </c>
      <c r="H5680" s="5" t="s">
        <v>20</v>
      </c>
      <c r="I5680" s="5" t="s">
        <v>13041</v>
      </c>
      <c r="J5680" s="12" t="str">
        <f>HYPERLINK("https://www.boe.es/gazeta/dias/1805/12/10/pdfs/GMD-C-1805-99.pdf#page=2","Abrir facsímil")</f>
        <v>Abrir facsímil</v>
      </c>
      <c r="K5680" s="15" t="s">
        <v>22</v>
      </c>
    </row>
    <row r="5681" spans="1:11" ht="42" customHeight="1">
      <c r="A5681" s="4" t="s">
        <v>13042</v>
      </c>
      <c r="B5681" s="5" t="s">
        <v>13043</v>
      </c>
      <c r="C5681" s="5" t="s">
        <v>29</v>
      </c>
      <c r="D5681" s="5" t="s">
        <v>30</v>
      </c>
      <c r="E5681" s="5" t="s">
        <v>352</v>
      </c>
      <c r="F5681" s="9">
        <v>60</v>
      </c>
      <c r="G5681" s="9">
        <v>648</v>
      </c>
      <c r="H5681" s="5" t="s">
        <v>20</v>
      </c>
      <c r="I5681" s="5" t="s">
        <v>13044</v>
      </c>
      <c r="J5681" s="12" t="str">
        <f>HYPERLINK("https://www.boe.es/gazeta/dias/1805/07/26/pdfs/GMD-1805-60.pdf#page=12","Abrir facsímil")</f>
        <v>Abrir facsímil</v>
      </c>
      <c r="K5681" s="15" t="s">
        <v>22</v>
      </c>
    </row>
    <row r="5682" spans="1:11" ht="42" customHeight="1">
      <c r="A5682" s="4" t="s">
        <v>13045</v>
      </c>
      <c r="B5682" s="5" t="s">
        <v>13046</v>
      </c>
      <c r="C5682" s="5" t="s">
        <v>80</v>
      </c>
      <c r="D5682" s="5" t="s">
        <v>81</v>
      </c>
      <c r="E5682" s="5" t="s">
        <v>71</v>
      </c>
      <c r="F5682" s="9">
        <v>33</v>
      </c>
      <c r="G5682" s="9">
        <v>346</v>
      </c>
      <c r="H5682" s="5" t="s">
        <v>20</v>
      </c>
      <c r="I5682" s="5" t="s">
        <v>13047</v>
      </c>
      <c r="J5682" s="12" t="str">
        <f>HYPERLINK("https://www.boe.es/gazeta/dias/1805/04/23/pdfs/GMD-1805-33.pdf#page=2","Abrir facsímil")</f>
        <v>Abrir facsímil</v>
      </c>
      <c r="K5682" s="15" t="s">
        <v>22</v>
      </c>
    </row>
    <row r="5683" spans="1:11" ht="42" customHeight="1">
      <c r="A5683" s="4" t="s">
        <v>13048</v>
      </c>
      <c r="B5683" s="5" t="s">
        <v>13048</v>
      </c>
      <c r="C5683" s="5" t="s">
        <v>29</v>
      </c>
      <c r="D5683" s="5" t="s">
        <v>30</v>
      </c>
      <c r="E5683" s="5" t="s">
        <v>850</v>
      </c>
      <c r="F5683" s="9">
        <v>42</v>
      </c>
      <c r="G5683" s="9">
        <v>455</v>
      </c>
      <c r="H5683" s="5" t="s">
        <v>20</v>
      </c>
      <c r="I5683" s="5" t="s">
        <v>13049</v>
      </c>
      <c r="J5683" s="12" t="str">
        <f>HYPERLINK("https://www.boe.es/gazeta/dias/1805/05/24/pdfs/GMD-1805-42.pdf#page=11","Abrir facsímil")</f>
        <v>Abrir facsímil</v>
      </c>
      <c r="K5683" s="15" t="s">
        <v>22</v>
      </c>
    </row>
    <row r="5684" spans="1:11" ht="42" customHeight="1">
      <c r="A5684" s="4" t="s">
        <v>13050</v>
      </c>
      <c r="B5684" s="5" t="s">
        <v>13051</v>
      </c>
      <c r="C5684" s="5" t="s">
        <v>35</v>
      </c>
      <c r="D5684" s="5" t="s">
        <v>36</v>
      </c>
      <c r="E5684" s="5" t="s">
        <v>303</v>
      </c>
      <c r="F5684" s="9">
        <v>57</v>
      </c>
      <c r="G5684" s="9">
        <v>610</v>
      </c>
      <c r="H5684" s="5" t="s">
        <v>20</v>
      </c>
      <c r="I5684" s="5" t="s">
        <v>13052</v>
      </c>
      <c r="J5684" s="12" t="str">
        <f>HYPERLINK("https://www.boe.es/gazeta/dias/1805/07/16/pdfs/GMD-1805-57.pdf#page=6","Abrir facsímil")</f>
        <v>Abrir facsímil</v>
      </c>
      <c r="K5684" s="15" t="s">
        <v>22</v>
      </c>
    </row>
    <row r="5685" spans="1:11" ht="42" customHeight="1">
      <c r="A5685" s="4" t="s">
        <v>13053</v>
      </c>
      <c r="B5685" s="5" t="s">
        <v>13054</v>
      </c>
      <c r="C5685" s="5" t="s">
        <v>35</v>
      </c>
      <c r="D5685" s="5" t="s">
        <v>36</v>
      </c>
      <c r="E5685" s="5" t="s">
        <v>539</v>
      </c>
      <c r="F5685" s="9">
        <v>97</v>
      </c>
      <c r="G5685" s="9">
        <v>1044</v>
      </c>
      <c r="H5685" s="5" t="s">
        <v>20</v>
      </c>
      <c r="I5685" s="5" t="s">
        <v>13055</v>
      </c>
      <c r="J5685" s="12" t="str">
        <f>HYPERLINK("https://www.boe.es/gazeta/dias/1805/12/03/pdfs/GMD-1805-97.pdf#page=8","Abrir facsímil")</f>
        <v>Abrir facsímil</v>
      </c>
      <c r="K5685" s="15" t="s">
        <v>22</v>
      </c>
    </row>
    <row r="5686" spans="1:11" ht="42" customHeight="1">
      <c r="A5686" s="4" t="s">
        <v>13056</v>
      </c>
      <c r="B5686" s="5" t="s">
        <v>13056</v>
      </c>
      <c r="C5686" s="5" t="s">
        <v>80</v>
      </c>
      <c r="D5686" s="5" t="s">
        <v>81</v>
      </c>
      <c r="E5686" s="5" t="s">
        <v>673</v>
      </c>
      <c r="F5686" s="9">
        <v>32</v>
      </c>
      <c r="G5686" s="9">
        <v>339</v>
      </c>
      <c r="H5686" s="5" t="s">
        <v>20</v>
      </c>
      <c r="I5686" s="5" t="s">
        <v>13057</v>
      </c>
      <c r="J5686" s="12" t="str">
        <f>HYPERLINK("https://www.boe.es/gazeta/dias/1805/04/19/pdfs/GMD-1805-32.pdf#page=3","Abrir facsímil")</f>
        <v>Abrir facsímil</v>
      </c>
      <c r="K5686" s="15" t="s">
        <v>22</v>
      </c>
    </row>
    <row r="5687" spans="1:11" ht="42" customHeight="1">
      <c r="A5687" s="4" t="s">
        <v>13056</v>
      </c>
      <c r="B5687" s="5" t="s">
        <v>13056</v>
      </c>
      <c r="C5687" s="5" t="s">
        <v>80</v>
      </c>
      <c r="D5687" s="5" t="s">
        <v>81</v>
      </c>
      <c r="E5687" s="5" t="s">
        <v>673</v>
      </c>
      <c r="F5687" s="9">
        <v>32</v>
      </c>
      <c r="G5687" s="9">
        <v>340</v>
      </c>
      <c r="H5687" s="5" t="s">
        <v>20</v>
      </c>
      <c r="I5687" s="5" t="s">
        <v>13058</v>
      </c>
      <c r="J5687" s="12" t="str">
        <f>HYPERLINK("https://www.boe.es/gazeta/dias/1805/04/19/pdfs/GMD-1805-32.pdf#page=4","Abrir facsímil")</f>
        <v>Abrir facsímil</v>
      </c>
      <c r="K5687" s="15" t="s">
        <v>22</v>
      </c>
    </row>
    <row r="5688" spans="1:11" ht="42" customHeight="1">
      <c r="A5688" s="4" t="s">
        <v>13056</v>
      </c>
      <c r="B5688" s="5" t="s">
        <v>13056</v>
      </c>
      <c r="C5688" s="5" t="s">
        <v>85</v>
      </c>
      <c r="D5688" s="5" t="s">
        <v>86</v>
      </c>
      <c r="E5688" s="5" t="s">
        <v>673</v>
      </c>
      <c r="F5688" s="9">
        <v>32</v>
      </c>
      <c r="G5688" s="9">
        <v>341</v>
      </c>
      <c r="H5688" s="5" t="s">
        <v>20</v>
      </c>
      <c r="I5688" s="5" t="s">
        <v>13059</v>
      </c>
      <c r="J5688" s="12" t="str">
        <f>HYPERLINK("https://www.boe.es/gazeta/dias/1805/04/19/pdfs/GMD-1805-32.pdf#page=5","Abrir facsímil")</f>
        <v>Abrir facsímil</v>
      </c>
      <c r="K5688" s="15" t="s">
        <v>22</v>
      </c>
    </row>
    <row r="5689" spans="1:11" ht="42" customHeight="1">
      <c r="A5689" s="4" t="s">
        <v>13056</v>
      </c>
      <c r="B5689" s="5" t="s">
        <v>13056</v>
      </c>
      <c r="C5689" s="5" t="s">
        <v>80</v>
      </c>
      <c r="D5689" s="5" t="s">
        <v>81</v>
      </c>
      <c r="E5689" s="5" t="s">
        <v>122</v>
      </c>
      <c r="F5689" s="9">
        <v>38</v>
      </c>
      <c r="G5689" s="9">
        <v>408</v>
      </c>
      <c r="H5689" s="5" t="s">
        <v>20</v>
      </c>
      <c r="I5689" s="5" t="s">
        <v>13060</v>
      </c>
      <c r="J5689" s="12" t="str">
        <f>HYPERLINK("https://www.boe.es/gazeta/dias/1805/05/10/pdfs/GMD-1805-38.pdf#page=4","Abrir facsímil")</f>
        <v>Abrir facsímil</v>
      </c>
      <c r="K5689" s="15" t="s">
        <v>22</v>
      </c>
    </row>
    <row r="5690" spans="1:11" ht="42" customHeight="1">
      <c r="A5690" s="4" t="s">
        <v>13056</v>
      </c>
      <c r="B5690" s="5" t="s">
        <v>13056</v>
      </c>
      <c r="C5690" s="5" t="s">
        <v>35</v>
      </c>
      <c r="D5690" s="5" t="s">
        <v>36</v>
      </c>
      <c r="E5690" s="5" t="s">
        <v>733</v>
      </c>
      <c r="F5690" s="9">
        <v>45</v>
      </c>
      <c r="G5690" s="9">
        <v>481</v>
      </c>
      <c r="H5690" s="5" t="s">
        <v>20</v>
      </c>
      <c r="I5690" s="5" t="s">
        <v>13061</v>
      </c>
      <c r="J5690" s="12" t="str">
        <f>HYPERLINK("https://www.boe.es/gazeta/dias/1805/06/04/pdfs/GMD-1805-45.pdf#page=5","Abrir facsímil")</f>
        <v>Abrir facsímil</v>
      </c>
      <c r="K5690" s="15" t="s">
        <v>22</v>
      </c>
    </row>
    <row r="5691" spans="1:11" ht="42" customHeight="1">
      <c r="A5691" s="4" t="s">
        <v>13062</v>
      </c>
      <c r="B5691" s="5" t="s">
        <v>13062</v>
      </c>
      <c r="C5691" s="5" t="s">
        <v>29</v>
      </c>
      <c r="D5691" s="5" t="s">
        <v>30</v>
      </c>
      <c r="E5691" s="5" t="s">
        <v>27</v>
      </c>
      <c r="F5691" s="9">
        <v>37</v>
      </c>
      <c r="G5691" s="9">
        <v>394</v>
      </c>
      <c r="H5691" s="5" t="s">
        <v>20</v>
      </c>
      <c r="I5691" s="5" t="s">
        <v>13063</v>
      </c>
      <c r="J5691" s="12" t="str">
        <f>HYPERLINK("https://www.boe.es/gazeta/dias/1805/05/07/pdfs/GMD-1805-37.pdf#page=2","Abrir facsímil")</f>
        <v>Abrir facsímil</v>
      </c>
      <c r="K5691" s="15" t="s">
        <v>22</v>
      </c>
    </row>
    <row r="5692" spans="1:11" ht="42" customHeight="1">
      <c r="A5692" s="4" t="s">
        <v>13064</v>
      </c>
      <c r="B5692" s="5" t="s">
        <v>13065</v>
      </c>
      <c r="C5692" s="5" t="s">
        <v>80</v>
      </c>
      <c r="D5692" s="5" t="s">
        <v>81</v>
      </c>
      <c r="E5692" s="5" t="s">
        <v>192</v>
      </c>
      <c r="F5692" s="9">
        <v>105</v>
      </c>
      <c r="G5692" s="9">
        <v>1134</v>
      </c>
      <c r="H5692" s="5" t="s">
        <v>20</v>
      </c>
      <c r="I5692" s="5" t="s">
        <v>13066</v>
      </c>
      <c r="J5692" s="12" t="str">
        <f>HYPERLINK("https://www.boe.es/gazeta/dias/1805/12/31/pdfs/GMD-1805-105.pdf#page=6","Abrir facsímil")</f>
        <v>Abrir facsímil</v>
      </c>
      <c r="K5692" s="15" t="s">
        <v>22</v>
      </c>
    </row>
    <row r="5693" spans="1:11" ht="42" customHeight="1">
      <c r="A5693" s="4" t="s">
        <v>13067</v>
      </c>
      <c r="B5693" s="5" t="s">
        <v>13067</v>
      </c>
      <c r="C5693" s="5" t="s">
        <v>35</v>
      </c>
      <c r="D5693" s="5" t="s">
        <v>36</v>
      </c>
      <c r="E5693" s="5" t="s">
        <v>120</v>
      </c>
      <c r="F5693" s="9">
        <v>24</v>
      </c>
      <c r="G5693" s="9">
        <v>253</v>
      </c>
      <c r="H5693" s="5" t="s">
        <v>20</v>
      </c>
      <c r="I5693" s="5" t="s">
        <v>13068</v>
      </c>
      <c r="J5693" s="12" t="str">
        <f>HYPERLINK("https://www.boe.es/gazeta/dias/1805/03/22/pdfs/GMD-1805-24.pdf#page=5","Abrir facsímil")</f>
        <v>Abrir facsímil</v>
      </c>
      <c r="K5693" s="15" t="s">
        <v>22</v>
      </c>
    </row>
    <row r="5694" spans="1:11" ht="42" customHeight="1">
      <c r="A5694" s="4" t="s">
        <v>13069</v>
      </c>
      <c r="B5694" s="5" t="s">
        <v>13070</v>
      </c>
      <c r="C5694" s="5" t="s">
        <v>17</v>
      </c>
      <c r="D5694" s="5" t="s">
        <v>18</v>
      </c>
      <c r="E5694" s="5" t="s">
        <v>120</v>
      </c>
      <c r="F5694" s="9">
        <v>24</v>
      </c>
      <c r="G5694" s="9">
        <v>250</v>
      </c>
      <c r="H5694" s="5" t="s">
        <v>20</v>
      </c>
      <c r="I5694" s="5" t="s">
        <v>13071</v>
      </c>
      <c r="J5694" s="12" t="str">
        <f>HYPERLINK("https://www.boe.es/gazeta/dias/1805/03/22/pdfs/GMD-1805-24.pdf#page=2","Abrir facsímil")</f>
        <v>Abrir facsímil</v>
      </c>
      <c r="K5694" s="15" t="s">
        <v>22</v>
      </c>
    </row>
    <row r="5695" spans="1:11" ht="42" customHeight="1">
      <c r="A5695" s="4" t="s">
        <v>13069</v>
      </c>
      <c r="B5695" s="5" t="s">
        <v>13070</v>
      </c>
      <c r="C5695" s="5" t="s">
        <v>17</v>
      </c>
      <c r="D5695" s="5" t="s">
        <v>18</v>
      </c>
      <c r="E5695" s="5" t="s">
        <v>1292</v>
      </c>
      <c r="F5695" s="9">
        <v>43</v>
      </c>
      <c r="G5695" s="9">
        <v>459</v>
      </c>
      <c r="H5695" s="5" t="s">
        <v>20</v>
      </c>
      <c r="I5695" s="5" t="s">
        <v>13072</v>
      </c>
      <c r="J5695" s="12" t="str">
        <f>HYPERLINK("https://www.boe.es/gazeta/dias/1805/05/28/pdfs/GMD-1805-43.pdf#page=3","Abrir facsímil")</f>
        <v>Abrir facsímil</v>
      </c>
      <c r="K5695" s="15" t="s">
        <v>22</v>
      </c>
    </row>
    <row r="5696" spans="1:11" ht="42" customHeight="1">
      <c r="A5696" s="4" t="s">
        <v>13073</v>
      </c>
      <c r="B5696" s="5" t="s">
        <v>13074</v>
      </c>
      <c r="C5696" s="5" t="s">
        <v>80</v>
      </c>
      <c r="D5696" s="5" t="s">
        <v>81</v>
      </c>
      <c r="E5696" s="5" t="s">
        <v>303</v>
      </c>
      <c r="F5696" s="9">
        <v>57</v>
      </c>
      <c r="G5696" s="9">
        <v>607</v>
      </c>
      <c r="H5696" s="5" t="s">
        <v>20</v>
      </c>
      <c r="I5696" s="5" t="s">
        <v>13075</v>
      </c>
      <c r="J5696" s="12" t="str">
        <f>HYPERLINK("https://www.boe.es/gazeta/dias/1805/07/16/pdfs/GMD-1805-57.pdf#page=3","Abrir facsímil")</f>
        <v>Abrir facsímil</v>
      </c>
      <c r="K5696" s="15" t="s">
        <v>22</v>
      </c>
    </row>
    <row r="5697" spans="1:11" ht="42" customHeight="1">
      <c r="A5697" s="4" t="s">
        <v>13069</v>
      </c>
      <c r="B5697" s="5" t="s">
        <v>13070</v>
      </c>
      <c r="C5697" s="5" t="s">
        <v>35</v>
      </c>
      <c r="D5697" s="5" t="s">
        <v>36</v>
      </c>
      <c r="E5697" s="5" t="s">
        <v>585</v>
      </c>
      <c r="F5697" s="9">
        <v>64</v>
      </c>
      <c r="G5697" s="9">
        <v>680</v>
      </c>
      <c r="H5697" s="5" t="s">
        <v>20</v>
      </c>
      <c r="I5697" s="5" t="s">
        <v>13076</v>
      </c>
      <c r="J5697" s="12" t="str">
        <f>HYPERLINK("https://www.boe.es/gazeta/dias/1805/08/09/pdfs/GMD-1805-64.pdf#page=4","Abrir facsímil")</f>
        <v>Abrir facsímil</v>
      </c>
      <c r="K5697" s="15" t="s">
        <v>22</v>
      </c>
    </row>
    <row r="5698" spans="1:11" ht="42" customHeight="1">
      <c r="A5698" s="4" t="s">
        <v>13077</v>
      </c>
      <c r="B5698" s="5" t="s">
        <v>13078</v>
      </c>
      <c r="C5698" s="5" t="s">
        <v>35</v>
      </c>
      <c r="D5698" s="5" t="s">
        <v>36</v>
      </c>
      <c r="E5698" s="5" t="s">
        <v>904</v>
      </c>
      <c r="F5698" s="9">
        <v>47</v>
      </c>
      <c r="G5698" s="9">
        <v>505</v>
      </c>
      <c r="H5698" s="5" t="s">
        <v>20</v>
      </c>
      <c r="I5698" s="5" t="s">
        <v>13079</v>
      </c>
      <c r="J5698" s="12" t="str">
        <f>HYPERLINK("https://www.boe.es/gazeta/dias/1805/06/11/pdfs/GMD-1805-47.pdf#page=5","Abrir facsímil")</f>
        <v>Abrir facsímil</v>
      </c>
      <c r="K5698" s="15" t="s">
        <v>22</v>
      </c>
    </row>
    <row r="5699" spans="1:11" ht="42" customHeight="1">
      <c r="A5699" s="4" t="s">
        <v>13077</v>
      </c>
      <c r="B5699" s="5" t="s">
        <v>13078</v>
      </c>
      <c r="C5699" s="5" t="s">
        <v>80</v>
      </c>
      <c r="D5699" s="5" t="s">
        <v>81</v>
      </c>
      <c r="E5699" s="5" t="s">
        <v>276</v>
      </c>
      <c r="F5699" s="9">
        <v>51</v>
      </c>
      <c r="G5699" s="9">
        <v>547</v>
      </c>
      <c r="H5699" s="5" t="s">
        <v>20</v>
      </c>
      <c r="I5699" s="5" t="s">
        <v>13080</v>
      </c>
      <c r="J5699" s="12" t="str">
        <f>HYPERLINK("https://www.boe.es/gazeta/dias/1805/06/25/pdfs/GMD-1805-51.pdf#page=3","Abrir facsímil")</f>
        <v>Abrir facsímil</v>
      </c>
      <c r="K5699" s="15" t="s">
        <v>22</v>
      </c>
    </row>
    <row r="5700" spans="1:11" ht="42" customHeight="1">
      <c r="A5700" s="4" t="s">
        <v>13081</v>
      </c>
      <c r="B5700" s="5" t="s">
        <v>13081</v>
      </c>
      <c r="C5700" s="5" t="s">
        <v>80</v>
      </c>
      <c r="D5700" s="5" t="s">
        <v>81</v>
      </c>
      <c r="E5700" s="5" t="s">
        <v>673</v>
      </c>
      <c r="F5700" s="9">
        <v>32</v>
      </c>
      <c r="G5700" s="9">
        <v>339</v>
      </c>
      <c r="H5700" s="5" t="s">
        <v>20</v>
      </c>
      <c r="I5700" s="5" t="s">
        <v>13082</v>
      </c>
      <c r="J5700" s="12" t="str">
        <f>HYPERLINK("https://www.boe.es/gazeta/dias/1805/04/19/pdfs/GMD-1805-32.pdf#page=3","Abrir facsímil")</f>
        <v>Abrir facsímil</v>
      </c>
      <c r="K5700" s="15" t="s">
        <v>22</v>
      </c>
    </row>
    <row r="5701" spans="1:11" ht="42" customHeight="1">
      <c r="A5701" s="4" t="s">
        <v>13081</v>
      </c>
      <c r="B5701" s="5" t="s">
        <v>13081</v>
      </c>
      <c r="C5701" s="5" t="s">
        <v>35</v>
      </c>
      <c r="D5701" s="5" t="s">
        <v>36</v>
      </c>
      <c r="E5701" s="5" t="s">
        <v>27</v>
      </c>
      <c r="F5701" s="9">
        <v>37</v>
      </c>
      <c r="G5701" s="9">
        <v>398</v>
      </c>
      <c r="H5701" s="5" t="s">
        <v>20</v>
      </c>
      <c r="I5701" s="5" t="s">
        <v>13083</v>
      </c>
      <c r="J5701" s="12" t="str">
        <f>HYPERLINK("https://www.boe.es/gazeta/dias/1805/05/07/pdfs/GMD-1805-37.pdf#page=6","Abrir facsímil")</f>
        <v>Abrir facsímil</v>
      </c>
      <c r="K5701" s="15" t="s">
        <v>22</v>
      </c>
    </row>
    <row r="5702" spans="1:11" ht="42" customHeight="1">
      <c r="A5702" s="4" t="s">
        <v>13081</v>
      </c>
      <c r="B5702" s="5" t="s">
        <v>13081</v>
      </c>
      <c r="C5702" s="5" t="s">
        <v>184</v>
      </c>
      <c r="D5702" s="5" t="s">
        <v>86</v>
      </c>
      <c r="E5702" s="5" t="s">
        <v>335</v>
      </c>
      <c r="F5702" s="9">
        <v>79</v>
      </c>
      <c r="G5702" s="9">
        <v>833</v>
      </c>
      <c r="H5702" s="5" t="s">
        <v>20</v>
      </c>
      <c r="I5702" s="5" t="s">
        <v>13084</v>
      </c>
      <c r="J5702" s="12" t="str">
        <f>HYPERLINK("https://www.boe.es/gazeta/dias/1805/10/01/pdfs/GMD-1805-79.pdf#page=5","Abrir facsímil")</f>
        <v>Abrir facsímil</v>
      </c>
      <c r="K5702" s="15" t="s">
        <v>22</v>
      </c>
    </row>
    <row r="5703" spans="1:11" ht="42" customHeight="1">
      <c r="A5703" s="4" t="s">
        <v>13081</v>
      </c>
      <c r="B5703" s="5" t="s">
        <v>13081</v>
      </c>
      <c r="C5703" s="5" t="s">
        <v>35</v>
      </c>
      <c r="D5703" s="5" t="s">
        <v>36</v>
      </c>
      <c r="E5703" s="5" t="s">
        <v>99</v>
      </c>
      <c r="F5703" s="9">
        <v>83</v>
      </c>
      <c r="G5703" s="9">
        <v>875</v>
      </c>
      <c r="H5703" s="5" t="s">
        <v>20</v>
      </c>
      <c r="I5703" s="5" t="s">
        <v>13085</v>
      </c>
      <c r="J5703" s="12" t="str">
        <f>HYPERLINK("https://www.boe.es/gazeta/dias/1805/10/15/pdfs/GMD-1805-83.pdf#page=3","Abrir facsímil")</f>
        <v>Abrir facsímil</v>
      </c>
      <c r="K5703" s="15" t="s">
        <v>22</v>
      </c>
    </row>
    <row r="5704" spans="1:11" ht="42" customHeight="1">
      <c r="A5704" s="4" t="s">
        <v>13081</v>
      </c>
      <c r="B5704" s="5" t="s">
        <v>13081</v>
      </c>
      <c r="C5704" s="5" t="s">
        <v>80</v>
      </c>
      <c r="D5704" s="5" t="s">
        <v>81</v>
      </c>
      <c r="E5704" s="5" t="s">
        <v>181</v>
      </c>
      <c r="F5704" s="9">
        <v>90</v>
      </c>
      <c r="G5704" s="9">
        <v>960</v>
      </c>
      <c r="H5704" s="5" t="s">
        <v>20</v>
      </c>
      <c r="I5704" s="5" t="s">
        <v>13086</v>
      </c>
      <c r="J5704" s="12" t="str">
        <f>HYPERLINK("https://www.boe.es/gazeta/dias/1805/11/08/pdfs/GMD-1805-90.pdf#page=4","Abrir facsímil")</f>
        <v>Abrir facsímil</v>
      </c>
      <c r="K5704" s="15" t="s">
        <v>22</v>
      </c>
    </row>
    <row r="5705" spans="1:11" ht="42" customHeight="1">
      <c r="A5705" s="4" t="s">
        <v>13081</v>
      </c>
      <c r="B5705" s="5" t="s">
        <v>13081</v>
      </c>
      <c r="C5705" s="5" t="s">
        <v>80</v>
      </c>
      <c r="D5705" s="5" t="s">
        <v>81</v>
      </c>
      <c r="E5705" s="5" t="s">
        <v>552</v>
      </c>
      <c r="F5705" s="9">
        <v>94</v>
      </c>
      <c r="G5705" s="9">
        <v>1003</v>
      </c>
      <c r="H5705" s="5" t="s">
        <v>20</v>
      </c>
      <c r="I5705" s="5" t="s">
        <v>13087</v>
      </c>
      <c r="J5705" s="12" t="str">
        <f>HYPERLINK("https://www.boe.es/gazeta/dias/1805/11/22/pdfs/GMD-1805-94.pdf#page=3","Abrir facsímil")</f>
        <v>Abrir facsímil</v>
      </c>
      <c r="K5705" s="15" t="s">
        <v>22</v>
      </c>
    </row>
    <row r="5706" spans="1:11" ht="42" customHeight="1">
      <c r="A5706" s="4" t="s">
        <v>13081</v>
      </c>
      <c r="B5706" s="5" t="s">
        <v>13081</v>
      </c>
      <c r="C5706" s="5" t="s">
        <v>35</v>
      </c>
      <c r="D5706" s="5" t="s">
        <v>36</v>
      </c>
      <c r="E5706" s="5" t="s">
        <v>138</v>
      </c>
      <c r="F5706" s="9">
        <v>102</v>
      </c>
      <c r="G5706" s="9">
        <v>1099</v>
      </c>
      <c r="H5706" s="5" t="s">
        <v>20</v>
      </c>
      <c r="I5706" s="5" t="s">
        <v>13088</v>
      </c>
      <c r="J5706" s="12" t="str">
        <f>HYPERLINK("https://www.boe.es/gazeta/dias/1805/12/20/pdfs/GMD-1805-102.pdf#page=3","Abrir facsímil")</f>
        <v>Abrir facsímil</v>
      </c>
      <c r="K5706" s="15" t="s">
        <v>22</v>
      </c>
    </row>
    <row r="5707" spans="1:11" ht="42" customHeight="1">
      <c r="A5707" s="4" t="s">
        <v>13089</v>
      </c>
      <c r="B5707" s="5" t="s">
        <v>13089</v>
      </c>
      <c r="C5707" s="5" t="s">
        <v>85</v>
      </c>
      <c r="D5707" s="5" t="s">
        <v>86</v>
      </c>
      <c r="E5707" s="5" t="s">
        <v>217</v>
      </c>
      <c r="F5707" s="9">
        <v>96</v>
      </c>
      <c r="G5707" s="9">
        <v>1030</v>
      </c>
      <c r="H5707" s="5" t="s">
        <v>20</v>
      </c>
      <c r="I5707" s="5" t="s">
        <v>13090</v>
      </c>
      <c r="J5707" s="12" t="str">
        <f>HYPERLINK("https://www.boe.es/gazeta/dias/1805/11/29/pdfs/GMD-1805-96.pdf#page=6","Abrir facsímil")</f>
        <v>Abrir facsímil</v>
      </c>
      <c r="K5707" s="15" t="s">
        <v>22</v>
      </c>
    </row>
    <row r="5708" spans="1:11" ht="42" customHeight="1">
      <c r="A5708" s="4" t="s">
        <v>13091</v>
      </c>
      <c r="B5708" s="5" t="s">
        <v>13091</v>
      </c>
      <c r="C5708" s="5" t="s">
        <v>35</v>
      </c>
      <c r="D5708" s="5" t="s">
        <v>36</v>
      </c>
      <c r="E5708" s="5" t="s">
        <v>63</v>
      </c>
      <c r="F5708" s="9">
        <v>101</v>
      </c>
      <c r="G5708" s="9">
        <v>1093</v>
      </c>
      <c r="H5708" s="5" t="s">
        <v>20</v>
      </c>
      <c r="I5708" s="5" t="s">
        <v>13092</v>
      </c>
      <c r="J5708" s="12" t="str">
        <f>HYPERLINK("https://www.boe.es/gazeta/dias/1805/12/17/pdfs/GMD-1805-101.pdf#page=9","Abrir facsímil")</f>
        <v>Abrir facsímil</v>
      </c>
      <c r="K5708" s="15" t="s">
        <v>22</v>
      </c>
    </row>
    <row r="5709" spans="1:11" ht="42" customHeight="1">
      <c r="A5709" s="4" t="s">
        <v>13093</v>
      </c>
      <c r="B5709" s="5" t="s">
        <v>13093</v>
      </c>
      <c r="C5709" s="5" t="s">
        <v>17</v>
      </c>
      <c r="D5709" s="5" t="s">
        <v>18</v>
      </c>
      <c r="E5709" s="5" t="s">
        <v>393</v>
      </c>
      <c r="F5709" s="9">
        <v>44</v>
      </c>
      <c r="G5709" s="9">
        <v>475</v>
      </c>
      <c r="H5709" s="5" t="s">
        <v>20</v>
      </c>
      <c r="I5709" s="5" t="s">
        <v>13094</v>
      </c>
      <c r="J5709" s="12" t="str">
        <f>HYPERLINK("https://www.boe.es/gazeta/dias/1805/05/31/pdfs/GMD-1805-44.pdf#page=11","Abrir facsímil")</f>
        <v>Abrir facsímil</v>
      </c>
      <c r="K5709" s="15" t="s">
        <v>22</v>
      </c>
    </row>
    <row r="5710" spans="1:11" ht="42" customHeight="1">
      <c r="A5710" s="4" t="s">
        <v>13095</v>
      </c>
      <c r="B5710" s="5" t="s">
        <v>13095</v>
      </c>
      <c r="C5710" s="5" t="s">
        <v>17</v>
      </c>
      <c r="D5710" s="5" t="s">
        <v>18</v>
      </c>
      <c r="E5710" s="5" t="s">
        <v>393</v>
      </c>
      <c r="F5710" s="9">
        <v>44</v>
      </c>
      <c r="G5710" s="9">
        <v>475</v>
      </c>
      <c r="H5710" s="5" t="s">
        <v>20</v>
      </c>
      <c r="I5710" s="5" t="s">
        <v>13096</v>
      </c>
      <c r="J5710" s="12" t="str">
        <f>HYPERLINK("https://www.boe.es/gazeta/dias/1805/05/31/pdfs/GMD-1805-44.pdf#page=11","Abrir facsímil")</f>
        <v>Abrir facsímil</v>
      </c>
      <c r="K5710" s="15" t="s">
        <v>22</v>
      </c>
    </row>
    <row r="5711" spans="1:11" ht="42" customHeight="1">
      <c r="A5711" s="4" t="s">
        <v>13097</v>
      </c>
      <c r="B5711" s="5" t="s">
        <v>13097</v>
      </c>
      <c r="C5711" s="5" t="s">
        <v>35</v>
      </c>
      <c r="D5711" s="5" t="s">
        <v>36</v>
      </c>
      <c r="E5711" s="5" t="s">
        <v>63</v>
      </c>
      <c r="F5711" s="9">
        <v>101</v>
      </c>
      <c r="G5711" s="9">
        <v>1092</v>
      </c>
      <c r="H5711" s="5" t="s">
        <v>20</v>
      </c>
      <c r="I5711" s="5" t="s">
        <v>13098</v>
      </c>
      <c r="J5711" s="12" t="str">
        <f>HYPERLINK("https://www.boe.es/gazeta/dias/1805/12/17/pdfs/GMD-1805-101.pdf#page=8","Abrir facsímil")</f>
        <v>Abrir facsímil</v>
      </c>
      <c r="K5711" s="15" t="s">
        <v>22</v>
      </c>
    </row>
    <row r="5712" spans="1:11" ht="42" customHeight="1">
      <c r="A5712" s="4" t="s">
        <v>13099</v>
      </c>
      <c r="B5712" s="5" t="s">
        <v>13099</v>
      </c>
      <c r="C5712" s="5" t="s">
        <v>35</v>
      </c>
      <c r="D5712" s="5" t="s">
        <v>36</v>
      </c>
      <c r="E5712" s="5" t="s">
        <v>831</v>
      </c>
      <c r="F5712" s="9">
        <v>62</v>
      </c>
      <c r="G5712" s="9">
        <v>664</v>
      </c>
      <c r="H5712" s="5" t="s">
        <v>20</v>
      </c>
      <c r="I5712" s="5" t="s">
        <v>13100</v>
      </c>
      <c r="J5712" s="12" t="str">
        <f>HYPERLINK("https://www.boe.es/gazeta/dias/1805/08/02/pdfs/GMD-1805-62.pdf#page=8","Abrir facsímil")</f>
        <v>Abrir facsímil</v>
      </c>
      <c r="K5712" s="15" t="s">
        <v>22</v>
      </c>
    </row>
    <row r="5713" spans="1:11" ht="42" customHeight="1">
      <c r="A5713" s="4" t="s">
        <v>13101</v>
      </c>
      <c r="B5713" s="5" t="s">
        <v>13101</v>
      </c>
      <c r="C5713" s="5" t="s">
        <v>184</v>
      </c>
      <c r="D5713" s="5" t="s">
        <v>86</v>
      </c>
      <c r="E5713" s="5" t="s">
        <v>112</v>
      </c>
      <c r="F5713" s="9">
        <v>16</v>
      </c>
      <c r="G5713" s="9">
        <v>164</v>
      </c>
      <c r="H5713" s="5" t="s">
        <v>20</v>
      </c>
      <c r="I5713" s="5" t="s">
        <v>13102</v>
      </c>
      <c r="J5713" s="12" t="str">
        <f>HYPERLINK("https://www.boe.es/gazeta/dias/1805/02/22/pdfs/GMD-1805-16.pdf#page=4","Abrir facsímil")</f>
        <v>Abrir facsímil</v>
      </c>
      <c r="K5713" s="15" t="s">
        <v>22</v>
      </c>
    </row>
    <row r="5714" spans="1:11" ht="42" customHeight="1">
      <c r="A5714" s="4" t="s">
        <v>13103</v>
      </c>
      <c r="B5714" s="5" t="s">
        <v>13103</v>
      </c>
      <c r="C5714" s="5" t="s">
        <v>17</v>
      </c>
      <c r="D5714" s="5" t="s">
        <v>18</v>
      </c>
      <c r="E5714" s="5" t="s">
        <v>24</v>
      </c>
      <c r="F5714" s="9">
        <v>11</v>
      </c>
      <c r="G5714" s="9">
        <v>115</v>
      </c>
      <c r="H5714" s="5" t="s">
        <v>20</v>
      </c>
      <c r="I5714" s="5" t="s">
        <v>13104</v>
      </c>
      <c r="J5714" s="12" t="str">
        <f>HYPERLINK("https://www.boe.es/gazeta/dias/1805/02/05/pdfs/GMD-1805-11.pdf#page=3","Abrir facsímil")</f>
        <v>Abrir facsímil</v>
      </c>
      <c r="K5714" s="15" t="s">
        <v>22</v>
      </c>
    </row>
    <row r="5715" spans="1:11" ht="42" customHeight="1">
      <c r="A5715" s="4" t="s">
        <v>13105</v>
      </c>
      <c r="B5715" s="5" t="s">
        <v>13106</v>
      </c>
      <c r="C5715" s="5" t="s">
        <v>35</v>
      </c>
      <c r="D5715" s="5" t="s">
        <v>36</v>
      </c>
      <c r="E5715" s="5" t="s">
        <v>327</v>
      </c>
      <c r="F5715" s="9">
        <v>10</v>
      </c>
      <c r="G5715" s="9">
        <v>109</v>
      </c>
      <c r="H5715" s="5" t="s">
        <v>20</v>
      </c>
      <c r="I5715" s="5" t="s">
        <v>13107</v>
      </c>
      <c r="J5715" s="12" t="str">
        <f>HYPERLINK("https://www.boe.es/gazeta/dias/1805/02/01/pdfs/GMD-1805-10.pdf#page=5","Abrir facsímil")</f>
        <v>Abrir facsímil</v>
      </c>
      <c r="K5715" s="15" t="s">
        <v>22</v>
      </c>
    </row>
    <row r="5716" spans="1:11" ht="42" customHeight="1">
      <c r="A5716" s="4" t="s">
        <v>13108</v>
      </c>
      <c r="B5716" s="5" t="s">
        <v>13109</v>
      </c>
      <c r="C5716" s="5" t="s">
        <v>80</v>
      </c>
      <c r="D5716" s="5" t="s">
        <v>81</v>
      </c>
      <c r="E5716" s="5" t="s">
        <v>495</v>
      </c>
      <c r="F5716" s="9">
        <v>103</v>
      </c>
      <c r="G5716" s="9">
        <v>1110</v>
      </c>
      <c r="H5716" s="5" t="s">
        <v>20</v>
      </c>
      <c r="I5716" s="5" t="s">
        <v>13110</v>
      </c>
      <c r="J5716" s="12" t="str">
        <f>HYPERLINK("https://www.boe.es/gazeta/dias/1805/12/24/pdfs/GMD-1805-103.pdf#page=2","Abrir facsímil")</f>
        <v>Abrir facsímil</v>
      </c>
      <c r="K5716" s="15" t="s">
        <v>22</v>
      </c>
    </row>
    <row r="5717" spans="1:11" ht="42" customHeight="1">
      <c r="A5717" s="4" t="s">
        <v>13111</v>
      </c>
      <c r="B5717" s="5" t="s">
        <v>13112</v>
      </c>
      <c r="C5717" s="5" t="s">
        <v>80</v>
      </c>
      <c r="D5717" s="5" t="s">
        <v>81</v>
      </c>
      <c r="E5717" s="5" t="s">
        <v>112</v>
      </c>
      <c r="F5717" s="9">
        <v>16</v>
      </c>
      <c r="G5717" s="9">
        <v>163</v>
      </c>
      <c r="H5717" s="5" t="s">
        <v>20</v>
      </c>
      <c r="I5717" s="5" t="s">
        <v>13113</v>
      </c>
      <c r="J5717" s="12" t="str">
        <f>HYPERLINK("https://www.boe.es/gazeta/dias/1805/02/22/pdfs/GMD-1805-16.pdf#page=3","Abrir facsímil")</f>
        <v>Abrir facsímil</v>
      </c>
      <c r="K5717" s="15" t="s">
        <v>22</v>
      </c>
    </row>
    <row r="5718" spans="1:11" ht="42" customHeight="1">
      <c r="A5718" s="4" t="s">
        <v>13114</v>
      </c>
      <c r="B5718" s="5" t="s">
        <v>13115</v>
      </c>
      <c r="C5718" s="5" t="s">
        <v>80</v>
      </c>
      <c r="D5718" s="5" t="s">
        <v>81</v>
      </c>
      <c r="E5718" s="5" t="s">
        <v>76</v>
      </c>
      <c r="F5718" s="9">
        <v>66</v>
      </c>
      <c r="G5718" s="9">
        <v>704</v>
      </c>
      <c r="H5718" s="5" t="s">
        <v>20</v>
      </c>
      <c r="I5718" s="5" t="s">
        <v>13116</v>
      </c>
      <c r="J5718" s="12" t="str">
        <f>HYPERLINK("https://www.boe.es/gazeta/dias/1805/08/16/pdfs/GMD-1805-66.pdf#page=4","Abrir facsímil")</f>
        <v>Abrir facsímil</v>
      </c>
      <c r="K5718" s="15" t="s">
        <v>22</v>
      </c>
    </row>
    <row r="5719" spans="1:11" ht="42" customHeight="1">
      <c r="A5719" s="4" t="s">
        <v>13117</v>
      </c>
      <c r="B5719" s="5" t="s">
        <v>13118</v>
      </c>
      <c r="C5719" s="5" t="s">
        <v>80</v>
      </c>
      <c r="D5719" s="5" t="s">
        <v>81</v>
      </c>
      <c r="E5719" s="5" t="s">
        <v>1494</v>
      </c>
      <c r="F5719" s="9">
        <v>31</v>
      </c>
      <c r="G5719" s="9">
        <v>329</v>
      </c>
      <c r="H5719" s="5" t="s">
        <v>20</v>
      </c>
      <c r="I5719" s="5" t="s">
        <v>13119</v>
      </c>
      <c r="J5719" s="12" t="str">
        <f>HYPERLINK("https://www.boe.es/gazeta/dias/1805/04/16/pdfs/GMD-1805-31.pdf#page=5","Abrir facsímil")</f>
        <v>Abrir facsímil</v>
      </c>
      <c r="K5719" s="15" t="s">
        <v>22</v>
      </c>
    </row>
    <row r="5720" spans="1:11" ht="42" customHeight="1">
      <c r="A5720" s="4" t="s">
        <v>13120</v>
      </c>
      <c r="B5720" s="5" t="s">
        <v>13121</v>
      </c>
      <c r="C5720" s="5" t="s">
        <v>80</v>
      </c>
      <c r="D5720" s="5" t="s">
        <v>81</v>
      </c>
      <c r="E5720" s="5" t="s">
        <v>585</v>
      </c>
      <c r="F5720" s="9">
        <v>64</v>
      </c>
      <c r="G5720" s="9">
        <v>680</v>
      </c>
      <c r="H5720" s="5" t="s">
        <v>20</v>
      </c>
      <c r="I5720" s="5" t="s">
        <v>13122</v>
      </c>
      <c r="J5720" s="12" t="str">
        <f>HYPERLINK("https://www.boe.es/gazeta/dias/1805/08/09/pdfs/GMD-1805-64.pdf#page=4","Abrir facsímil")</f>
        <v>Abrir facsímil</v>
      </c>
      <c r="K5720" s="15" t="s">
        <v>22</v>
      </c>
    </row>
    <row r="5721" spans="1:11" ht="42" customHeight="1">
      <c r="A5721" s="4" t="s">
        <v>13123</v>
      </c>
      <c r="B5721" s="5" t="s">
        <v>13124</v>
      </c>
      <c r="C5721" s="5" t="s">
        <v>80</v>
      </c>
      <c r="D5721" s="5" t="s">
        <v>81</v>
      </c>
      <c r="E5721" s="5" t="s">
        <v>192</v>
      </c>
      <c r="F5721" s="9">
        <v>105</v>
      </c>
      <c r="G5721" s="9">
        <v>1131</v>
      </c>
      <c r="H5721" s="5" t="s">
        <v>20</v>
      </c>
      <c r="I5721" s="5" t="s">
        <v>13125</v>
      </c>
      <c r="J5721" s="12" t="str">
        <f>HYPERLINK("https://www.boe.es/gazeta/dias/1805/12/31/pdfs/GMD-1805-105.pdf#page=3","Abrir facsímil")</f>
        <v>Abrir facsímil</v>
      </c>
      <c r="K5721" s="15" t="s">
        <v>22</v>
      </c>
    </row>
    <row r="5722" spans="1:11" ht="42" customHeight="1">
      <c r="A5722" s="4" t="s">
        <v>13126</v>
      </c>
      <c r="B5722" s="5" t="s">
        <v>13127</v>
      </c>
      <c r="C5722" s="5" t="s">
        <v>80</v>
      </c>
      <c r="D5722" s="5" t="s">
        <v>81</v>
      </c>
      <c r="E5722" s="5" t="s">
        <v>456</v>
      </c>
      <c r="F5722" s="9">
        <v>70</v>
      </c>
      <c r="G5722" s="9">
        <v>743</v>
      </c>
      <c r="H5722" s="5" t="s">
        <v>20</v>
      </c>
      <c r="I5722" s="5" t="s">
        <v>13128</v>
      </c>
      <c r="J5722" s="12" t="str">
        <f>HYPERLINK("https://www.boe.es/gazeta/dias/1805/08/30/pdfs/GMD-1805-70.pdf#page=3","Abrir facsímil")</f>
        <v>Abrir facsímil</v>
      </c>
      <c r="K5722" s="15" t="s">
        <v>22</v>
      </c>
    </row>
    <row r="5723" spans="1:11" ht="42" customHeight="1">
      <c r="A5723" s="4" t="s">
        <v>13126</v>
      </c>
      <c r="B5723" s="5" t="s">
        <v>13127</v>
      </c>
      <c r="C5723" s="5" t="s">
        <v>29</v>
      </c>
      <c r="D5723" s="5" t="s">
        <v>30</v>
      </c>
      <c r="E5723" s="5" t="s">
        <v>135</v>
      </c>
      <c r="F5723" s="9">
        <v>71</v>
      </c>
      <c r="G5723" s="9">
        <v>751</v>
      </c>
      <c r="H5723" s="5" t="s">
        <v>20</v>
      </c>
      <c r="I5723" s="5" t="s">
        <v>13129</v>
      </c>
      <c r="J5723" s="12" t="str">
        <f>HYPERLINK("https://www.boe.es/gazeta/dias/1805/09/03/pdfs/GMD-1805-71.pdf#page=3","Abrir facsímil")</f>
        <v>Abrir facsímil</v>
      </c>
      <c r="K5723" s="15" t="s">
        <v>22</v>
      </c>
    </row>
    <row r="5724" spans="1:11" ht="42" customHeight="1">
      <c r="A5724" s="4" t="s">
        <v>13130</v>
      </c>
      <c r="B5724" s="5" t="s">
        <v>13130</v>
      </c>
      <c r="C5724" s="5" t="s">
        <v>35</v>
      </c>
      <c r="D5724" s="5" t="s">
        <v>36</v>
      </c>
      <c r="E5724" s="5" t="s">
        <v>273</v>
      </c>
      <c r="F5724" s="9">
        <v>8</v>
      </c>
      <c r="G5724" s="9">
        <v>91</v>
      </c>
      <c r="H5724" s="5" t="s">
        <v>20</v>
      </c>
      <c r="I5724" s="5" t="s">
        <v>13131</v>
      </c>
      <c r="J5724" s="12" t="str">
        <f>HYPERLINK("https://www.boe.es/gazeta/dias/1805/01/25/pdfs/GMD-1805-8.pdf#page=11","Abrir facsímil")</f>
        <v>Abrir facsímil</v>
      </c>
      <c r="K5724" s="15" t="s">
        <v>22</v>
      </c>
    </row>
    <row r="5725" spans="1:11" ht="42" customHeight="1">
      <c r="A5725" s="4" t="s">
        <v>13132</v>
      </c>
      <c r="B5725" s="5" t="s">
        <v>13132</v>
      </c>
      <c r="C5725" s="5" t="s">
        <v>17</v>
      </c>
      <c r="D5725" s="5" t="s">
        <v>18</v>
      </c>
      <c r="E5725" s="5" t="s">
        <v>711</v>
      </c>
      <c r="F5725" s="9">
        <v>63</v>
      </c>
      <c r="G5725" s="9">
        <v>671</v>
      </c>
      <c r="H5725" s="5" t="s">
        <v>20</v>
      </c>
      <c r="I5725" s="5" t="s">
        <v>13133</v>
      </c>
      <c r="J5725" s="12" t="str">
        <f>HYPERLINK("https://www.boe.es/gazeta/dias/1805/08/06/pdfs/GMD-1805-63.pdf#page=7","Abrir facsímil")</f>
        <v>Abrir facsímil</v>
      </c>
      <c r="K5725" s="15" t="s">
        <v>22</v>
      </c>
    </row>
    <row r="5726" spans="1:11" ht="42" customHeight="1">
      <c r="A5726" s="4" t="s">
        <v>13134</v>
      </c>
      <c r="B5726" s="5" t="s">
        <v>13135</v>
      </c>
      <c r="C5726" s="5" t="s">
        <v>80</v>
      </c>
      <c r="D5726" s="5" t="s">
        <v>81</v>
      </c>
      <c r="E5726" s="5" t="s">
        <v>495</v>
      </c>
      <c r="F5726" s="9">
        <v>103</v>
      </c>
      <c r="G5726" s="9">
        <v>1110</v>
      </c>
      <c r="H5726" s="5" t="s">
        <v>20</v>
      </c>
      <c r="I5726" s="5" t="s">
        <v>13136</v>
      </c>
      <c r="J5726" s="12" t="str">
        <f>HYPERLINK("https://www.boe.es/gazeta/dias/1805/12/24/pdfs/GMD-1805-103.pdf#page=2","Abrir facsímil")</f>
        <v>Abrir facsímil</v>
      </c>
      <c r="K5726" s="15" t="s">
        <v>22</v>
      </c>
    </row>
    <row r="5727" spans="1:11" ht="42" customHeight="1">
      <c r="A5727" s="4" t="s">
        <v>13137</v>
      </c>
      <c r="B5727" s="5" t="s">
        <v>13138</v>
      </c>
      <c r="C5727" s="5" t="s">
        <v>80</v>
      </c>
      <c r="D5727" s="5" t="s">
        <v>81</v>
      </c>
      <c r="E5727" s="5" t="s">
        <v>729</v>
      </c>
      <c r="F5727" s="9">
        <v>61</v>
      </c>
      <c r="G5727" s="9">
        <v>649</v>
      </c>
      <c r="H5727" s="5" t="s">
        <v>20</v>
      </c>
      <c r="I5727" s="5" t="s">
        <v>13139</v>
      </c>
      <c r="J5727" s="12" t="str">
        <f>HYPERLINK("https://www.boe.es/gazeta/dias/1805/07/30/pdfs/GMD-1805-61.pdf#page=1","Abrir facsímil")</f>
        <v>Abrir facsímil</v>
      </c>
      <c r="K5727" s="15" t="s">
        <v>22</v>
      </c>
    </row>
    <row r="5728" spans="1:11" ht="42" customHeight="1">
      <c r="A5728" s="4" t="s">
        <v>13137</v>
      </c>
      <c r="B5728" s="5" t="s">
        <v>13138</v>
      </c>
      <c r="C5728" s="5" t="s">
        <v>184</v>
      </c>
      <c r="D5728" s="5" t="s">
        <v>86</v>
      </c>
      <c r="E5728" s="5" t="s">
        <v>817</v>
      </c>
      <c r="F5728" s="9">
        <v>92</v>
      </c>
      <c r="G5728" s="9">
        <v>985</v>
      </c>
      <c r="H5728" s="5" t="s">
        <v>20</v>
      </c>
      <c r="I5728" s="5" t="s">
        <v>13140</v>
      </c>
      <c r="J5728" s="12" t="str">
        <f>HYPERLINK("https://www.boe.es/gazeta/dias/1805/11/15/pdfs/GMD-1805-92.pdf#page=5","Abrir facsímil")</f>
        <v>Abrir facsímil</v>
      </c>
      <c r="K5728" s="15" t="s">
        <v>22</v>
      </c>
    </row>
    <row r="5729" spans="1:11" ht="42" customHeight="1">
      <c r="A5729" s="4" t="s">
        <v>13141</v>
      </c>
      <c r="B5729" s="5" t="s">
        <v>13142</v>
      </c>
      <c r="C5729" s="5" t="s">
        <v>29</v>
      </c>
      <c r="D5729" s="5" t="s">
        <v>30</v>
      </c>
      <c r="E5729" s="5" t="s">
        <v>226</v>
      </c>
      <c r="F5729" s="9">
        <v>73</v>
      </c>
      <c r="G5729" s="9">
        <v>776</v>
      </c>
      <c r="H5729" s="5" t="s">
        <v>20</v>
      </c>
      <c r="I5729" s="5" t="s">
        <v>13143</v>
      </c>
      <c r="J5729" s="12" t="str">
        <f>HYPERLINK("https://www.boe.es/gazeta/dias/1805/09/10/pdfs/GMD-1805-73.pdf#page=8","Abrir facsímil")</f>
        <v>Abrir facsímil</v>
      </c>
      <c r="K5729" s="15" t="s">
        <v>22</v>
      </c>
    </row>
    <row r="5730" spans="1:11" ht="42" customHeight="1">
      <c r="A5730" s="4" t="s">
        <v>13144</v>
      </c>
      <c r="B5730" s="5" t="s">
        <v>13145</v>
      </c>
      <c r="C5730" s="5" t="s">
        <v>17</v>
      </c>
      <c r="D5730" s="5" t="s">
        <v>18</v>
      </c>
      <c r="E5730" s="5" t="s">
        <v>44</v>
      </c>
      <c r="F5730" s="9">
        <v>29</v>
      </c>
      <c r="G5730" s="9">
        <v>312</v>
      </c>
      <c r="H5730" s="5" t="s">
        <v>20</v>
      </c>
      <c r="I5730" s="5" t="s">
        <v>13146</v>
      </c>
      <c r="J5730" s="12" t="str">
        <f>HYPERLINK("https://www.boe.es/gazeta/dias/1805/04/09/pdfs/GMD-1805-29.pdf#page=8","Abrir facsímil")</f>
        <v>Abrir facsímil</v>
      </c>
      <c r="K5730" s="15" t="s">
        <v>22</v>
      </c>
    </row>
    <row r="5731" spans="1:11" ht="42" customHeight="1">
      <c r="A5731" s="4" t="s">
        <v>13147</v>
      </c>
      <c r="B5731" s="5" t="s">
        <v>13148</v>
      </c>
      <c r="C5731" s="5" t="s">
        <v>35</v>
      </c>
      <c r="D5731" s="5" t="s">
        <v>36</v>
      </c>
      <c r="E5731" s="5" t="s">
        <v>506</v>
      </c>
      <c r="F5731" s="9">
        <v>80</v>
      </c>
      <c r="G5731" s="9">
        <v>850</v>
      </c>
      <c r="H5731" s="5" t="s">
        <v>20</v>
      </c>
      <c r="I5731" s="5" t="s">
        <v>13149</v>
      </c>
      <c r="J5731" s="12" t="str">
        <f>HYPERLINK("https://www.boe.es/gazeta/dias/1805/10/04/pdfs/GMD-1805-80.pdf#page=10","Abrir facsímil")</f>
        <v>Abrir facsímil</v>
      </c>
      <c r="K5731" s="15" t="s">
        <v>22</v>
      </c>
    </row>
    <row r="5732" spans="1:11" ht="42" customHeight="1">
      <c r="A5732" s="4" t="s">
        <v>13150</v>
      </c>
      <c r="B5732" s="5" t="s">
        <v>13151</v>
      </c>
      <c r="C5732" s="5" t="s">
        <v>17</v>
      </c>
      <c r="D5732" s="5" t="s">
        <v>18</v>
      </c>
      <c r="E5732" s="5" t="s">
        <v>409</v>
      </c>
      <c r="F5732" s="9">
        <v>69</v>
      </c>
      <c r="G5732" s="9">
        <v>739</v>
      </c>
      <c r="H5732" s="5" t="s">
        <v>20</v>
      </c>
      <c r="I5732" s="5" t="s">
        <v>13152</v>
      </c>
      <c r="J5732" s="12" t="str">
        <f>HYPERLINK("https://www.boe.es/gazeta/dias/1805/08/27/pdfs/GMD-1805-69.pdf#page=7","Abrir facsímil")</f>
        <v>Abrir facsímil</v>
      </c>
      <c r="K5732" s="15" t="s">
        <v>22</v>
      </c>
    </row>
    <row r="5733" spans="1:11" ht="42" customHeight="1">
      <c r="A5733" s="4" t="s">
        <v>13153</v>
      </c>
      <c r="B5733" s="5" t="s">
        <v>13154</v>
      </c>
      <c r="C5733" s="5" t="s">
        <v>35</v>
      </c>
      <c r="D5733" s="5" t="s">
        <v>36</v>
      </c>
      <c r="E5733" s="5" t="s">
        <v>103</v>
      </c>
      <c r="F5733" s="9">
        <v>30</v>
      </c>
      <c r="G5733" s="9">
        <v>323</v>
      </c>
      <c r="H5733" s="5" t="s">
        <v>20</v>
      </c>
      <c r="I5733" s="5" t="s">
        <v>13155</v>
      </c>
      <c r="J5733" s="12" t="str">
        <f>HYPERLINK("https://www.boe.es/gazeta/dias/1805/04/12/pdfs/GMD-1805-30.pdf#page=7","Abrir facsímil")</f>
        <v>Abrir facsímil</v>
      </c>
      <c r="K5733" s="15" t="s">
        <v>22</v>
      </c>
    </row>
    <row r="5734" spans="1:11" ht="42" customHeight="1">
      <c r="A5734" s="4" t="s">
        <v>13156</v>
      </c>
      <c r="B5734" s="5" t="s">
        <v>13157</v>
      </c>
      <c r="C5734" s="5" t="s">
        <v>80</v>
      </c>
      <c r="D5734" s="5" t="s">
        <v>81</v>
      </c>
      <c r="E5734" s="5" t="s">
        <v>335</v>
      </c>
      <c r="F5734" s="9">
        <v>79</v>
      </c>
      <c r="G5734" s="9">
        <v>833</v>
      </c>
      <c r="H5734" s="5" t="s">
        <v>20</v>
      </c>
      <c r="I5734" s="5" t="s">
        <v>13158</v>
      </c>
      <c r="J5734" s="12" t="str">
        <f>HYPERLINK("https://www.boe.es/gazeta/dias/1805/10/01/pdfs/GMD-1805-79.pdf#page=5","Abrir facsímil")</f>
        <v>Abrir facsímil</v>
      </c>
      <c r="K5734" s="15" t="s">
        <v>22</v>
      </c>
    </row>
    <row r="5735" spans="1:11" ht="42" customHeight="1">
      <c r="A5735" s="4" t="s">
        <v>13159</v>
      </c>
      <c r="B5735" s="5" t="s">
        <v>13160</v>
      </c>
      <c r="C5735" s="5" t="s">
        <v>35</v>
      </c>
      <c r="D5735" s="5" t="s">
        <v>36</v>
      </c>
      <c r="E5735" s="5" t="s">
        <v>132</v>
      </c>
      <c r="F5735" s="9">
        <v>2</v>
      </c>
      <c r="G5735" s="9">
        <v>21</v>
      </c>
      <c r="H5735" s="5" t="s">
        <v>20</v>
      </c>
      <c r="I5735" s="5" t="s">
        <v>13161</v>
      </c>
      <c r="J5735" s="12" t="str">
        <f>HYPERLINK("https://www.boe.es/gazeta/dias/1805/01/04/pdfs/GMD-1805-2.pdf#page=9","Abrir facsímil")</f>
        <v>Abrir facsímil</v>
      </c>
      <c r="K5735" s="15" t="s">
        <v>22</v>
      </c>
    </row>
    <row r="5736" spans="1:11" ht="42" customHeight="1">
      <c r="A5736" s="4" t="s">
        <v>13162</v>
      </c>
      <c r="B5736" s="5" t="s">
        <v>13163</v>
      </c>
      <c r="C5736" s="5" t="s">
        <v>35</v>
      </c>
      <c r="D5736" s="5" t="s">
        <v>36</v>
      </c>
      <c r="E5736" s="5" t="s">
        <v>112</v>
      </c>
      <c r="F5736" s="9">
        <v>16</v>
      </c>
      <c r="G5736" s="9">
        <v>166</v>
      </c>
      <c r="H5736" s="5" t="s">
        <v>20</v>
      </c>
      <c r="I5736" s="5" t="s">
        <v>13164</v>
      </c>
      <c r="J5736" s="12" t="str">
        <f>HYPERLINK("https://www.boe.es/gazeta/dias/1805/02/22/pdfs/GMD-1805-16.pdf#page=6","Abrir facsímil")</f>
        <v>Abrir facsímil</v>
      </c>
      <c r="K5736" s="15" t="s">
        <v>22</v>
      </c>
    </row>
    <row r="5737" spans="1:11" ht="42" customHeight="1">
      <c r="A5737" s="4" t="s">
        <v>13165</v>
      </c>
      <c r="B5737" s="5" t="s">
        <v>13166</v>
      </c>
      <c r="C5737" s="5" t="s">
        <v>85</v>
      </c>
      <c r="D5737" s="5" t="s">
        <v>86</v>
      </c>
      <c r="E5737" s="5" t="s">
        <v>107</v>
      </c>
      <c r="F5737" s="9">
        <v>19</v>
      </c>
      <c r="G5737" s="9">
        <v>198</v>
      </c>
      <c r="H5737" s="5" t="s">
        <v>20</v>
      </c>
      <c r="I5737" s="5" t="s">
        <v>13167</v>
      </c>
      <c r="J5737" s="12" t="str">
        <f>HYPERLINK("https://www.boe.es/gazeta/dias/1805/03/05/pdfs/GMD-1805-19.pdf#page=10","Abrir facsímil")</f>
        <v>Abrir facsímil</v>
      </c>
      <c r="K5737" s="15" t="s">
        <v>22</v>
      </c>
    </row>
    <row r="5738" spans="1:11" ht="42" customHeight="1">
      <c r="A5738" s="4" t="s">
        <v>13168</v>
      </c>
      <c r="B5738" s="5" t="s">
        <v>13169</v>
      </c>
      <c r="C5738" s="5" t="s">
        <v>17</v>
      </c>
      <c r="D5738" s="5" t="s">
        <v>18</v>
      </c>
      <c r="E5738" s="5" t="s">
        <v>711</v>
      </c>
      <c r="F5738" s="9">
        <v>63</v>
      </c>
      <c r="G5738" s="9">
        <v>673</v>
      </c>
      <c r="H5738" s="5" t="s">
        <v>20</v>
      </c>
      <c r="I5738" s="5" t="s">
        <v>13170</v>
      </c>
      <c r="J5738" s="12" t="str">
        <f>HYPERLINK("https://www.boe.es/gazeta/dias/1805/08/06/pdfs/GMD-1805-63.pdf#page=9","Abrir facsímil")</f>
        <v>Abrir facsímil</v>
      </c>
      <c r="K5738" s="15" t="s">
        <v>22</v>
      </c>
    </row>
    <row r="5739" spans="1:11" ht="42" customHeight="1">
      <c r="A5739" s="4" t="s">
        <v>13171</v>
      </c>
      <c r="B5739" s="5" t="s">
        <v>13172</v>
      </c>
      <c r="C5739" s="5" t="s">
        <v>17</v>
      </c>
      <c r="D5739" s="5" t="s">
        <v>18</v>
      </c>
      <c r="E5739" s="5" t="s">
        <v>645</v>
      </c>
      <c r="F5739" s="9">
        <v>55</v>
      </c>
      <c r="G5739" s="9">
        <v>585</v>
      </c>
      <c r="H5739" s="5" t="s">
        <v>20</v>
      </c>
      <c r="I5739" s="5" t="s">
        <v>13173</v>
      </c>
      <c r="J5739" s="12" t="str">
        <f>HYPERLINK("https://www.boe.es/gazeta/dias/1805/07/09/pdfs/GMD-1805-55.pdf#page=5","Abrir facsímil")</f>
        <v>Abrir facsímil</v>
      </c>
      <c r="K5739" s="15" t="s">
        <v>22</v>
      </c>
    </row>
    <row r="5740" spans="1:11" ht="42" customHeight="1">
      <c r="A5740" s="4" t="s">
        <v>13171</v>
      </c>
      <c r="B5740" s="5" t="s">
        <v>13172</v>
      </c>
      <c r="C5740" s="5" t="s">
        <v>264</v>
      </c>
      <c r="D5740" s="5" t="s">
        <v>265</v>
      </c>
      <c r="E5740" s="5" t="s">
        <v>645</v>
      </c>
      <c r="F5740" s="9">
        <v>55</v>
      </c>
      <c r="G5740" s="9">
        <v>589</v>
      </c>
      <c r="H5740" s="5" t="s">
        <v>20</v>
      </c>
      <c r="I5740" s="5" t="s">
        <v>13174</v>
      </c>
      <c r="J5740" s="12" t="str">
        <f>HYPERLINK("https://www.boe.es/gazeta/dias/1805/07/09/pdfs/GMD-C-1805-55.pdf#page=1","Abrir facsímil")</f>
        <v>Abrir facsímil</v>
      </c>
      <c r="K5740" s="15" t="s">
        <v>22</v>
      </c>
    </row>
    <row r="5741" spans="1:11" ht="42" customHeight="1">
      <c r="A5741" s="4" t="s">
        <v>13171</v>
      </c>
      <c r="B5741" s="5" t="s">
        <v>13172</v>
      </c>
      <c r="C5741" s="5" t="s">
        <v>17</v>
      </c>
      <c r="D5741" s="5" t="s">
        <v>18</v>
      </c>
      <c r="E5741" s="5" t="s">
        <v>552</v>
      </c>
      <c r="F5741" s="9">
        <v>94</v>
      </c>
      <c r="G5741" s="9">
        <v>1010</v>
      </c>
      <c r="H5741" s="5" t="s">
        <v>20</v>
      </c>
      <c r="I5741" s="5" t="s">
        <v>13175</v>
      </c>
      <c r="J5741" s="12" t="str">
        <f>HYPERLINK("https://www.boe.es/gazeta/dias/1805/11/22/pdfs/GMD-1805-94.pdf#page=10","Abrir facsímil")</f>
        <v>Abrir facsímil</v>
      </c>
      <c r="K5741" s="15" t="s">
        <v>22</v>
      </c>
    </row>
    <row r="5742" spans="1:11" ht="42" customHeight="1">
      <c r="A5742" s="4" t="s">
        <v>13176</v>
      </c>
      <c r="B5742" s="5" t="s">
        <v>13177</v>
      </c>
      <c r="C5742" s="5" t="s">
        <v>52</v>
      </c>
      <c r="D5742" s="5" t="s">
        <v>53</v>
      </c>
      <c r="E5742" s="5" t="s">
        <v>54</v>
      </c>
      <c r="F5742" s="9">
        <v>99</v>
      </c>
      <c r="G5742" s="9" t="s">
        <v>159</v>
      </c>
      <c r="H5742" s="5" t="s">
        <v>20</v>
      </c>
      <c r="I5742" s="5" t="s">
        <v>13178</v>
      </c>
      <c r="J5742" s="12" t="str">
        <f>HYPERLINK("https://www.boe.es/gazeta/dias/1805/12/10/pdfs/GMD-C-1805-99.pdf#page=3","Abrir facsímil")</f>
        <v>Abrir facsímil</v>
      </c>
      <c r="K5742" s="15" t="s">
        <v>22</v>
      </c>
    </row>
    <row r="5743" spans="1:11" ht="42" customHeight="1">
      <c r="A5743" s="4" t="s">
        <v>13179</v>
      </c>
      <c r="B5743" s="5" t="s">
        <v>13180</v>
      </c>
      <c r="C5743" s="5" t="s">
        <v>17</v>
      </c>
      <c r="D5743" s="5" t="s">
        <v>18</v>
      </c>
      <c r="E5743" s="5" t="s">
        <v>787</v>
      </c>
      <c r="F5743" s="9">
        <v>95</v>
      </c>
      <c r="G5743" s="9">
        <v>1020</v>
      </c>
      <c r="H5743" s="5" t="s">
        <v>20</v>
      </c>
      <c r="I5743" s="5" t="s">
        <v>13181</v>
      </c>
      <c r="J5743" s="12" t="str">
        <f>HYPERLINK("https://www.boe.es/gazeta/dias/1805/11/26/pdfs/GMD-1805-95.pdf#page=8","Abrir facsímil")</f>
        <v>Abrir facsímil</v>
      </c>
      <c r="K5743" s="15" t="s">
        <v>22</v>
      </c>
    </row>
    <row r="5744" spans="1:11" ht="42" customHeight="1">
      <c r="A5744" s="4" t="s">
        <v>13182</v>
      </c>
      <c r="B5744" s="5" t="s">
        <v>13183</v>
      </c>
      <c r="C5744" s="5" t="s">
        <v>17</v>
      </c>
      <c r="D5744" s="5" t="s">
        <v>18</v>
      </c>
      <c r="E5744" s="5" t="s">
        <v>281</v>
      </c>
      <c r="F5744" s="9">
        <v>15</v>
      </c>
      <c r="G5744" s="9">
        <v>155</v>
      </c>
      <c r="H5744" s="5" t="s">
        <v>20</v>
      </c>
      <c r="I5744" s="5" t="s">
        <v>13184</v>
      </c>
      <c r="J5744" s="12" t="str">
        <f>HYPERLINK("https://www.boe.es/gazeta/dias/1805/02/19/pdfs/GMD-1805-15.pdf#page=7","Abrir facsímil")</f>
        <v>Abrir facsímil</v>
      </c>
      <c r="K5744" s="15" t="s">
        <v>22</v>
      </c>
    </row>
    <row r="5745" spans="1:11" ht="42" customHeight="1">
      <c r="A5745" s="4" t="s">
        <v>13185</v>
      </c>
      <c r="B5745" s="5" t="s">
        <v>13186</v>
      </c>
      <c r="C5745" s="5" t="s">
        <v>35</v>
      </c>
      <c r="D5745" s="5" t="s">
        <v>36</v>
      </c>
      <c r="E5745" s="5" t="s">
        <v>539</v>
      </c>
      <c r="F5745" s="9">
        <v>97</v>
      </c>
      <c r="G5745" s="9">
        <v>1043</v>
      </c>
      <c r="H5745" s="5" t="s">
        <v>20</v>
      </c>
      <c r="I5745" s="5" t="s">
        <v>13187</v>
      </c>
      <c r="J5745" s="12" t="str">
        <f>HYPERLINK("https://www.boe.es/gazeta/dias/1805/12/03/pdfs/GMD-1805-97.pdf#page=7","Abrir facsímil")</f>
        <v>Abrir facsímil</v>
      </c>
      <c r="K5745" s="15" t="s">
        <v>22</v>
      </c>
    </row>
    <row r="5746" spans="1:11" ht="42" customHeight="1">
      <c r="A5746" s="4" t="s">
        <v>13188</v>
      </c>
      <c r="B5746" s="5" t="s">
        <v>13189</v>
      </c>
      <c r="C5746" s="5" t="s">
        <v>17</v>
      </c>
      <c r="D5746" s="5" t="s">
        <v>18</v>
      </c>
      <c r="E5746" s="5" t="s">
        <v>200</v>
      </c>
      <c r="F5746" s="9">
        <v>91</v>
      </c>
      <c r="G5746" s="9">
        <v>977</v>
      </c>
      <c r="H5746" s="5" t="s">
        <v>20</v>
      </c>
      <c r="I5746" s="5" t="s">
        <v>13190</v>
      </c>
      <c r="J5746" s="12" t="str">
        <f>HYPERLINK("https://www.boe.es/gazeta/dias/1805/11/12/pdfs/GMD-1805-91.pdf#page=9","Abrir facsímil")</f>
        <v>Abrir facsímil</v>
      </c>
      <c r="K5746" s="15" t="s">
        <v>22</v>
      </c>
    </row>
    <row r="5747" spans="1:11" ht="42" customHeight="1">
      <c r="A5747" s="4" t="s">
        <v>13191</v>
      </c>
      <c r="B5747" s="5" t="s">
        <v>13192</v>
      </c>
      <c r="C5747" s="5" t="s">
        <v>85</v>
      </c>
      <c r="D5747" s="5" t="s">
        <v>86</v>
      </c>
      <c r="E5747" s="5" t="s">
        <v>71</v>
      </c>
      <c r="F5747" s="9">
        <v>33</v>
      </c>
      <c r="G5747" s="9">
        <v>354</v>
      </c>
      <c r="H5747" s="5" t="s">
        <v>20</v>
      </c>
      <c r="I5747" s="5" t="s">
        <v>13193</v>
      </c>
      <c r="J5747" s="12" t="str">
        <f>HYPERLINK("https://www.boe.es/gazeta/dias/1805/04/23/pdfs/GMD-1805-33.pdf#page=10","Abrir facsímil")</f>
        <v>Abrir facsímil</v>
      </c>
      <c r="K5747" s="15" t="s">
        <v>22</v>
      </c>
    </row>
    <row r="5748" spans="1:11" ht="42" customHeight="1">
      <c r="A5748" s="4" t="s">
        <v>13194</v>
      </c>
      <c r="B5748" s="5" t="s">
        <v>13195</v>
      </c>
      <c r="C5748" s="5" t="s">
        <v>35</v>
      </c>
      <c r="D5748" s="5" t="s">
        <v>36</v>
      </c>
      <c r="E5748" s="5" t="s">
        <v>1187</v>
      </c>
      <c r="F5748" s="9">
        <v>40</v>
      </c>
      <c r="G5748" s="9">
        <v>430</v>
      </c>
      <c r="H5748" s="5" t="s">
        <v>20</v>
      </c>
      <c r="I5748" s="5" t="s">
        <v>13196</v>
      </c>
      <c r="J5748" s="12" t="str">
        <f>HYPERLINK("https://www.boe.es/gazeta/dias/1805/05/17/pdfs/GMD-1805-40.pdf#page=6","Abrir facsímil")</f>
        <v>Abrir facsímil</v>
      </c>
      <c r="K5748" s="15" t="s">
        <v>22</v>
      </c>
    </row>
    <row r="5749" spans="1:11" ht="42" customHeight="1">
      <c r="A5749" s="4" t="s">
        <v>13194</v>
      </c>
      <c r="B5749" s="5" t="s">
        <v>13195</v>
      </c>
      <c r="C5749" s="5" t="s">
        <v>184</v>
      </c>
      <c r="D5749" s="5" t="s">
        <v>86</v>
      </c>
      <c r="E5749" s="5" t="s">
        <v>300</v>
      </c>
      <c r="F5749" s="9">
        <v>81</v>
      </c>
      <c r="G5749" s="9">
        <v>859</v>
      </c>
      <c r="H5749" s="5" t="s">
        <v>20</v>
      </c>
      <c r="I5749" s="5" t="s">
        <v>13197</v>
      </c>
      <c r="J5749" s="12" t="str">
        <f>HYPERLINK("https://www.boe.es/gazeta/dias/1805/10/08/pdfs/GMD-1805-81.pdf#page=7","Abrir facsímil")</f>
        <v>Abrir facsímil</v>
      </c>
      <c r="K5749" s="15" t="s">
        <v>22</v>
      </c>
    </row>
    <row r="5750" spans="1:11" ht="42" customHeight="1">
      <c r="A5750" s="4" t="s">
        <v>13198</v>
      </c>
      <c r="B5750" s="5" t="s">
        <v>13199</v>
      </c>
      <c r="C5750" s="5" t="s">
        <v>35</v>
      </c>
      <c r="D5750" s="5" t="s">
        <v>36</v>
      </c>
      <c r="E5750" s="5" t="s">
        <v>91</v>
      </c>
      <c r="F5750" s="9">
        <v>28</v>
      </c>
      <c r="G5750" s="9">
        <v>300</v>
      </c>
      <c r="H5750" s="5" t="s">
        <v>20</v>
      </c>
      <c r="I5750" s="5" t="s">
        <v>13200</v>
      </c>
      <c r="J5750" s="12" t="str">
        <f>HYPERLINK("https://www.boe.es/gazeta/dias/1805/04/05/pdfs/GMD-1805-28.pdf#page=8","Abrir facsímil")</f>
        <v>Abrir facsímil</v>
      </c>
      <c r="K5750" s="15" t="s">
        <v>22</v>
      </c>
    </row>
    <row r="5751" spans="1:11" ht="42" customHeight="1">
      <c r="A5751" s="4" t="s">
        <v>13201</v>
      </c>
      <c r="B5751" s="5" t="s">
        <v>13201</v>
      </c>
      <c r="C5751" s="5" t="s">
        <v>17</v>
      </c>
      <c r="D5751" s="5" t="s">
        <v>18</v>
      </c>
      <c r="E5751" s="5" t="s">
        <v>300</v>
      </c>
      <c r="F5751" s="9">
        <v>81</v>
      </c>
      <c r="G5751" s="9">
        <v>858</v>
      </c>
      <c r="H5751" s="5" t="s">
        <v>20</v>
      </c>
      <c r="I5751" s="5" t="s">
        <v>13202</v>
      </c>
      <c r="J5751" s="12" t="str">
        <f>HYPERLINK("https://www.boe.es/gazeta/dias/1805/10/08/pdfs/GMD-1805-81.pdf#page=6","Abrir facsímil")</f>
        <v>Abrir facsímil</v>
      </c>
      <c r="K5751" s="15" t="s">
        <v>22</v>
      </c>
    </row>
    <row r="5752" spans="1:11" ht="42" customHeight="1">
      <c r="A5752" s="4" t="s">
        <v>13203</v>
      </c>
      <c r="B5752" s="5" t="s">
        <v>13204</v>
      </c>
      <c r="C5752" s="5" t="s">
        <v>17</v>
      </c>
      <c r="D5752" s="5" t="s">
        <v>18</v>
      </c>
      <c r="E5752" s="5" t="s">
        <v>440</v>
      </c>
      <c r="F5752" s="9">
        <v>27</v>
      </c>
      <c r="G5752" s="9">
        <v>284</v>
      </c>
      <c r="H5752" s="5" t="s">
        <v>20</v>
      </c>
      <c r="I5752" s="5" t="s">
        <v>13205</v>
      </c>
      <c r="J5752" s="12" t="str">
        <f>HYPERLINK("https://www.boe.es/gazeta/dias/1805/04/02/pdfs/GMD-1805-27.pdf#page=4","Abrir facsímil")</f>
        <v>Abrir facsímil</v>
      </c>
      <c r="K5752" s="15" t="s">
        <v>22</v>
      </c>
    </row>
    <row r="5753" spans="1:11" ht="42" customHeight="1">
      <c r="A5753" s="4" t="s">
        <v>13203</v>
      </c>
      <c r="B5753" s="5" t="s">
        <v>13204</v>
      </c>
      <c r="C5753" s="5" t="s">
        <v>80</v>
      </c>
      <c r="D5753" s="5" t="s">
        <v>81</v>
      </c>
      <c r="E5753" s="5" t="s">
        <v>864</v>
      </c>
      <c r="F5753" s="9">
        <v>88</v>
      </c>
      <c r="G5753" s="9">
        <v>934</v>
      </c>
      <c r="H5753" s="5" t="s">
        <v>20</v>
      </c>
      <c r="I5753" s="5" t="s">
        <v>13206</v>
      </c>
      <c r="J5753" s="12" t="str">
        <f>HYPERLINK("https://www.boe.es/gazeta/dias/1805/11/01/pdfs/GMD-1805-88.pdf#page=6","Abrir facsímil")</f>
        <v>Abrir facsímil</v>
      </c>
      <c r="K5753" s="15" t="s">
        <v>22</v>
      </c>
    </row>
    <row r="5754" spans="1:11" ht="42" customHeight="1">
      <c r="A5754" s="4" t="s">
        <v>13207</v>
      </c>
      <c r="B5754" s="5" t="s">
        <v>13208</v>
      </c>
      <c r="C5754" s="5" t="s">
        <v>17</v>
      </c>
      <c r="D5754" s="5" t="s">
        <v>18</v>
      </c>
      <c r="E5754" s="5" t="s">
        <v>135</v>
      </c>
      <c r="F5754" s="9">
        <v>71</v>
      </c>
      <c r="G5754" s="9">
        <v>753</v>
      </c>
      <c r="H5754" s="5" t="s">
        <v>20</v>
      </c>
      <c r="I5754" s="5" t="s">
        <v>13209</v>
      </c>
      <c r="J5754" s="12" t="str">
        <f>HYPERLINK("https://www.boe.es/gazeta/dias/1805/09/03/pdfs/GMD-1805-71.pdf#page=5","Abrir facsímil")</f>
        <v>Abrir facsímil</v>
      </c>
      <c r="K5754" s="15" t="s">
        <v>22</v>
      </c>
    </row>
    <row r="5755" spans="1:11" ht="42" customHeight="1">
      <c r="A5755" s="4" t="s">
        <v>13207</v>
      </c>
      <c r="B5755" s="5" t="s">
        <v>13208</v>
      </c>
      <c r="C5755" s="5" t="s">
        <v>80</v>
      </c>
      <c r="D5755" s="5" t="s">
        <v>81</v>
      </c>
      <c r="E5755" s="5" t="s">
        <v>19</v>
      </c>
      <c r="F5755" s="9">
        <v>86</v>
      </c>
      <c r="G5755" s="9">
        <v>912</v>
      </c>
      <c r="H5755" s="5" t="s">
        <v>20</v>
      </c>
      <c r="I5755" s="5" t="s">
        <v>13210</v>
      </c>
      <c r="J5755" s="12" t="str">
        <f>HYPERLINK("https://www.boe.es/gazeta/dias/1805/10/25/pdfs/GMD-1805-86.pdf#page=8","Abrir facsímil")</f>
        <v>Abrir facsímil</v>
      </c>
      <c r="K5755" s="15" t="s">
        <v>22</v>
      </c>
    </row>
    <row r="5756" spans="1:11" ht="42" customHeight="1">
      <c r="A5756" s="4" t="s">
        <v>13207</v>
      </c>
      <c r="B5756" s="5" t="s">
        <v>13208</v>
      </c>
      <c r="C5756" s="5" t="s">
        <v>80</v>
      </c>
      <c r="D5756" s="5" t="s">
        <v>81</v>
      </c>
      <c r="E5756" s="5" t="s">
        <v>215</v>
      </c>
      <c r="F5756" s="9">
        <v>87</v>
      </c>
      <c r="G5756" s="9">
        <v>923</v>
      </c>
      <c r="H5756" s="5" t="s">
        <v>20</v>
      </c>
      <c r="I5756" s="5" t="s">
        <v>13211</v>
      </c>
      <c r="J5756" s="12" t="str">
        <f>HYPERLINK("https://www.boe.es/gazeta/dias/1805/10/29/pdfs/GMD-1805-87.pdf#page=7","Abrir facsímil")</f>
        <v>Abrir facsímil</v>
      </c>
      <c r="K5756" s="15" t="s">
        <v>22</v>
      </c>
    </row>
    <row r="5757" spans="1:11" ht="42" customHeight="1">
      <c r="A5757" s="4" t="s">
        <v>13207</v>
      </c>
      <c r="B5757" s="5" t="s">
        <v>13208</v>
      </c>
      <c r="C5757" s="5" t="s">
        <v>184</v>
      </c>
      <c r="D5757" s="5" t="s">
        <v>86</v>
      </c>
      <c r="E5757" s="5" t="s">
        <v>215</v>
      </c>
      <c r="F5757" s="9">
        <v>87</v>
      </c>
      <c r="G5757" s="9">
        <v>925</v>
      </c>
      <c r="H5757" s="5" t="s">
        <v>20</v>
      </c>
      <c r="I5757" s="5" t="s">
        <v>13212</v>
      </c>
      <c r="J5757" s="12" t="str">
        <f>HYPERLINK("https://www.boe.es/gazeta/dias/1805/10/29/pdfs/GMD-1805-87.pdf#page=9","Abrir facsímil")</f>
        <v>Abrir facsímil</v>
      </c>
      <c r="K5757" s="15" t="s">
        <v>22</v>
      </c>
    </row>
    <row r="5758" spans="1:11" ht="42" customHeight="1">
      <c r="A5758" s="4" t="s">
        <v>13207</v>
      </c>
      <c r="B5758" s="5" t="s">
        <v>13208</v>
      </c>
      <c r="C5758" s="5" t="s">
        <v>80</v>
      </c>
      <c r="D5758" s="5" t="s">
        <v>81</v>
      </c>
      <c r="E5758" s="5" t="s">
        <v>864</v>
      </c>
      <c r="F5758" s="9">
        <v>88</v>
      </c>
      <c r="G5758" s="9">
        <v>934</v>
      </c>
      <c r="H5758" s="5" t="s">
        <v>20</v>
      </c>
      <c r="I5758" s="5" t="s">
        <v>13213</v>
      </c>
      <c r="J5758" s="12" t="str">
        <f>HYPERLINK("https://www.boe.es/gazeta/dias/1805/11/01/pdfs/GMD-1805-88.pdf#page=6","Abrir facsímil")</f>
        <v>Abrir facsímil</v>
      </c>
      <c r="K5758" s="15" t="s">
        <v>22</v>
      </c>
    </row>
    <row r="5759" spans="1:11" ht="42" customHeight="1">
      <c r="A5759" s="4" t="s">
        <v>13207</v>
      </c>
      <c r="B5759" s="5" t="s">
        <v>13208</v>
      </c>
      <c r="C5759" s="5" t="s">
        <v>80</v>
      </c>
      <c r="D5759" s="5" t="s">
        <v>81</v>
      </c>
      <c r="E5759" s="5" t="s">
        <v>864</v>
      </c>
      <c r="F5759" s="9">
        <v>88</v>
      </c>
      <c r="G5759" s="9">
        <v>935</v>
      </c>
      <c r="H5759" s="5" t="s">
        <v>20</v>
      </c>
      <c r="I5759" s="5" t="s">
        <v>13214</v>
      </c>
      <c r="J5759" s="12" t="str">
        <f>HYPERLINK("https://www.boe.es/gazeta/dias/1805/11/01/pdfs/GMD-1805-88.pdf#page=7","Abrir facsímil")</f>
        <v>Abrir facsímil</v>
      </c>
      <c r="K5759" s="15" t="s">
        <v>22</v>
      </c>
    </row>
    <row r="5760" spans="1:11" ht="42" customHeight="1">
      <c r="A5760" s="4" t="s">
        <v>13207</v>
      </c>
      <c r="B5760" s="5" t="s">
        <v>13208</v>
      </c>
      <c r="C5760" s="5" t="s">
        <v>80</v>
      </c>
      <c r="D5760" s="5" t="s">
        <v>81</v>
      </c>
      <c r="E5760" s="5" t="s">
        <v>209</v>
      </c>
      <c r="F5760" s="9">
        <v>89</v>
      </c>
      <c r="G5760" s="9">
        <v>944</v>
      </c>
      <c r="H5760" s="5" t="s">
        <v>20</v>
      </c>
      <c r="I5760" s="5" t="s">
        <v>13215</v>
      </c>
      <c r="J5760" s="12" t="str">
        <f>HYPERLINK("https://www.boe.es/gazeta/dias/1805/11/05/pdfs/GMD-1805-89.pdf#page=4","Abrir facsímil")</f>
        <v>Abrir facsímil</v>
      </c>
      <c r="K5760" s="15" t="s">
        <v>22</v>
      </c>
    </row>
    <row r="5761" spans="1:11" ht="42" customHeight="1">
      <c r="A5761" s="4" t="s">
        <v>13207</v>
      </c>
      <c r="B5761" s="5" t="s">
        <v>13208</v>
      </c>
      <c r="C5761" s="5" t="s">
        <v>80</v>
      </c>
      <c r="D5761" s="5" t="s">
        <v>81</v>
      </c>
      <c r="E5761" s="5" t="s">
        <v>209</v>
      </c>
      <c r="F5761" s="9">
        <v>89</v>
      </c>
      <c r="G5761" s="9">
        <v>945</v>
      </c>
      <c r="H5761" s="5" t="s">
        <v>20</v>
      </c>
      <c r="I5761" s="5" t="s">
        <v>13216</v>
      </c>
      <c r="J5761" s="12" t="str">
        <f>HYPERLINK("https://www.boe.es/gazeta/dias/1805/11/05/pdfs/GMD-1805-89.pdf#page=5","Abrir facsímil")</f>
        <v>Abrir facsímil</v>
      </c>
      <c r="K5761" s="15" t="s">
        <v>22</v>
      </c>
    </row>
    <row r="5762" spans="1:11" ht="42" customHeight="1">
      <c r="A5762" s="4" t="s">
        <v>13207</v>
      </c>
      <c r="B5762" s="5" t="s">
        <v>13208</v>
      </c>
      <c r="C5762" s="5" t="s">
        <v>80</v>
      </c>
      <c r="D5762" s="5" t="s">
        <v>81</v>
      </c>
      <c r="E5762" s="5" t="s">
        <v>209</v>
      </c>
      <c r="F5762" s="9">
        <v>89</v>
      </c>
      <c r="G5762" s="9">
        <v>946</v>
      </c>
      <c r="H5762" s="5" t="s">
        <v>20</v>
      </c>
      <c r="I5762" s="5" t="s">
        <v>13217</v>
      </c>
      <c r="J5762" s="12" t="str">
        <f>HYPERLINK("https://www.boe.es/gazeta/dias/1805/11/05/pdfs/GMD-1805-89.pdf#page=6","Abrir facsímil")</f>
        <v>Abrir facsímil</v>
      </c>
      <c r="K5762" s="15" t="s">
        <v>22</v>
      </c>
    </row>
    <row r="5763" spans="1:11" ht="42" customHeight="1">
      <c r="A5763" s="4" t="s">
        <v>13207</v>
      </c>
      <c r="B5763" s="5" t="s">
        <v>13208</v>
      </c>
      <c r="C5763" s="5" t="s">
        <v>35</v>
      </c>
      <c r="D5763" s="5" t="s">
        <v>36</v>
      </c>
      <c r="E5763" s="5" t="s">
        <v>209</v>
      </c>
      <c r="F5763" s="9">
        <v>89</v>
      </c>
      <c r="G5763" s="9">
        <v>951</v>
      </c>
      <c r="H5763" s="5" t="s">
        <v>20</v>
      </c>
      <c r="I5763" s="5" t="s">
        <v>13218</v>
      </c>
      <c r="J5763" s="12" t="str">
        <f>HYPERLINK("https://www.boe.es/gazeta/dias/1805/11/05/pdfs/GMD-1805-89.pdf#page=11","Abrir facsímil")</f>
        <v>Abrir facsímil</v>
      </c>
      <c r="K5763" s="15" t="s">
        <v>22</v>
      </c>
    </row>
    <row r="5764" spans="1:11" ht="42" customHeight="1">
      <c r="A5764" s="4" t="s">
        <v>13219</v>
      </c>
      <c r="B5764" s="5" t="s">
        <v>13220</v>
      </c>
      <c r="C5764" s="5" t="s">
        <v>17</v>
      </c>
      <c r="D5764" s="5" t="s">
        <v>18</v>
      </c>
      <c r="E5764" s="5" t="s">
        <v>817</v>
      </c>
      <c r="F5764" s="9">
        <v>92</v>
      </c>
      <c r="G5764" s="9">
        <v>987</v>
      </c>
      <c r="H5764" s="5" t="s">
        <v>20</v>
      </c>
      <c r="I5764" s="5" t="s">
        <v>13221</v>
      </c>
      <c r="J5764" s="12" t="str">
        <f>HYPERLINK("https://www.boe.es/gazeta/dias/1805/11/15/pdfs/GMD-1805-92.pdf#page=7","Abrir facsímil")</f>
        <v>Abrir facsímil</v>
      </c>
      <c r="K5764" s="15" t="s">
        <v>22</v>
      </c>
    </row>
    <row r="5765" spans="1:11" ht="42" customHeight="1">
      <c r="A5765" s="4" t="s">
        <v>13207</v>
      </c>
      <c r="B5765" s="5" t="s">
        <v>13208</v>
      </c>
      <c r="C5765" s="5" t="s">
        <v>35</v>
      </c>
      <c r="D5765" s="5" t="s">
        <v>36</v>
      </c>
      <c r="E5765" s="5" t="s">
        <v>886</v>
      </c>
      <c r="F5765" s="9">
        <v>93</v>
      </c>
      <c r="G5765" s="9">
        <v>993</v>
      </c>
      <c r="H5765" s="5" t="s">
        <v>20</v>
      </c>
      <c r="I5765" s="5" t="s">
        <v>13222</v>
      </c>
      <c r="J5765" s="12" t="str">
        <f>HYPERLINK("https://www.boe.es/gazeta/dias/1805/11/19/pdfs/GMD-1805-93.pdf#page=5","Abrir facsímil")</f>
        <v>Abrir facsímil</v>
      </c>
      <c r="K5765" s="15" t="s">
        <v>22</v>
      </c>
    </row>
    <row r="5766" spans="1:11" ht="42" customHeight="1">
      <c r="A5766" s="4" t="s">
        <v>13207</v>
      </c>
      <c r="B5766" s="5" t="s">
        <v>13208</v>
      </c>
      <c r="C5766" s="5" t="s">
        <v>80</v>
      </c>
      <c r="D5766" s="5" t="s">
        <v>81</v>
      </c>
      <c r="E5766" s="5" t="s">
        <v>886</v>
      </c>
      <c r="F5766" s="9">
        <v>93</v>
      </c>
      <c r="G5766" s="9">
        <v>994</v>
      </c>
      <c r="H5766" s="5" t="s">
        <v>20</v>
      </c>
      <c r="I5766" s="5" t="s">
        <v>13223</v>
      </c>
      <c r="J5766" s="12" t="str">
        <f>HYPERLINK("https://www.boe.es/gazeta/dias/1805/11/19/pdfs/GMD-1805-93.pdf#page=6","Abrir facsímil")</f>
        <v>Abrir facsímil</v>
      </c>
      <c r="K5766" s="15" t="s">
        <v>22</v>
      </c>
    </row>
    <row r="5767" spans="1:11" ht="42" customHeight="1">
      <c r="A5767" s="4" t="s">
        <v>13207</v>
      </c>
      <c r="B5767" s="5" t="s">
        <v>13208</v>
      </c>
      <c r="C5767" s="5" t="s">
        <v>80</v>
      </c>
      <c r="D5767" s="5" t="s">
        <v>81</v>
      </c>
      <c r="E5767" s="5" t="s">
        <v>886</v>
      </c>
      <c r="F5767" s="9">
        <v>93</v>
      </c>
      <c r="G5767" s="9">
        <v>995</v>
      </c>
      <c r="H5767" s="5" t="s">
        <v>20</v>
      </c>
      <c r="I5767" s="5" t="s">
        <v>13224</v>
      </c>
      <c r="J5767" s="12" t="str">
        <f>HYPERLINK("https://www.boe.es/gazeta/dias/1805/11/19/pdfs/GMD-1805-93.pdf#page=7","Abrir facsímil")</f>
        <v>Abrir facsímil</v>
      </c>
      <c r="K5767" s="15" t="s">
        <v>22</v>
      </c>
    </row>
    <row r="5768" spans="1:11" ht="42" customHeight="1">
      <c r="A5768" s="4" t="s">
        <v>13207</v>
      </c>
      <c r="B5768" s="5" t="s">
        <v>13208</v>
      </c>
      <c r="C5768" s="5" t="s">
        <v>17</v>
      </c>
      <c r="D5768" s="5" t="s">
        <v>18</v>
      </c>
      <c r="E5768" s="5" t="s">
        <v>787</v>
      </c>
      <c r="F5768" s="9">
        <v>95</v>
      </c>
      <c r="G5768" s="9">
        <v>1018</v>
      </c>
      <c r="H5768" s="5" t="s">
        <v>20</v>
      </c>
      <c r="I5768" s="5" t="s">
        <v>13225</v>
      </c>
      <c r="J5768" s="12" t="str">
        <f>HYPERLINK("https://www.boe.es/gazeta/dias/1805/11/26/pdfs/GMD-1805-95.pdf#page=6","Abrir facsímil")</f>
        <v>Abrir facsímil</v>
      </c>
      <c r="K5768" s="15" t="s">
        <v>22</v>
      </c>
    </row>
    <row r="5769" spans="1:11" ht="42" customHeight="1">
      <c r="A5769" s="4" t="s">
        <v>13207</v>
      </c>
      <c r="B5769" s="5" t="s">
        <v>13208</v>
      </c>
      <c r="C5769" s="5" t="s">
        <v>35</v>
      </c>
      <c r="D5769" s="5" t="s">
        <v>36</v>
      </c>
      <c r="E5769" s="5" t="s">
        <v>67</v>
      </c>
      <c r="F5769" s="9">
        <v>98</v>
      </c>
      <c r="G5769" s="9">
        <v>1053</v>
      </c>
      <c r="H5769" s="5" t="s">
        <v>20</v>
      </c>
      <c r="I5769" s="5" t="s">
        <v>13226</v>
      </c>
      <c r="J5769" s="12" t="str">
        <f>HYPERLINK("https://www.boe.es/gazeta/dias/1805/12/06/pdfs/GMD-1805-98.pdf#page=5","Abrir facsímil")</f>
        <v>Abrir facsímil</v>
      </c>
      <c r="K5769" s="15" t="s">
        <v>22</v>
      </c>
    </row>
    <row r="5770" spans="1:11" ht="42" customHeight="1">
      <c r="A5770" s="4" t="s">
        <v>13207</v>
      </c>
      <c r="B5770" s="5" t="s">
        <v>13208</v>
      </c>
      <c r="C5770" s="5" t="s">
        <v>29</v>
      </c>
      <c r="D5770" s="5" t="s">
        <v>30</v>
      </c>
      <c r="E5770" s="5" t="s">
        <v>54</v>
      </c>
      <c r="F5770" s="9">
        <v>99</v>
      </c>
      <c r="G5770" s="9">
        <v>1064</v>
      </c>
      <c r="H5770" s="5" t="s">
        <v>20</v>
      </c>
      <c r="I5770" s="5" t="s">
        <v>13227</v>
      </c>
      <c r="J5770" s="12" t="str">
        <f>HYPERLINK("https://www.boe.es/gazeta/dias/1805/12/10/pdfs/GMD-1805-99.pdf#page=4","Abrir facsímil")</f>
        <v>Abrir facsímil</v>
      </c>
      <c r="K5770" s="15" t="s">
        <v>22</v>
      </c>
    </row>
    <row r="5771" spans="1:11" ht="42" customHeight="1">
      <c r="A5771" s="4" t="s">
        <v>13207</v>
      </c>
      <c r="B5771" s="5" t="s">
        <v>13208</v>
      </c>
      <c r="C5771" s="5" t="s">
        <v>80</v>
      </c>
      <c r="D5771" s="5" t="s">
        <v>81</v>
      </c>
      <c r="E5771" s="5" t="s">
        <v>512</v>
      </c>
      <c r="F5771" s="9">
        <v>100</v>
      </c>
      <c r="G5771" s="9">
        <v>1077</v>
      </c>
      <c r="H5771" s="5" t="s">
        <v>20</v>
      </c>
      <c r="I5771" s="5" t="s">
        <v>13228</v>
      </c>
      <c r="J5771" s="12" t="str">
        <f>HYPERLINK("https://www.boe.es/gazeta/dias/1805/12/13/pdfs/GMD-1805-100.pdf#page=5","Abrir facsímil")</f>
        <v>Abrir facsímil</v>
      </c>
      <c r="K5771" s="15" t="s">
        <v>22</v>
      </c>
    </row>
    <row r="5772" spans="1:11" ht="42" customHeight="1">
      <c r="A5772" s="4" t="s">
        <v>13207</v>
      </c>
      <c r="B5772" s="5" t="s">
        <v>13208</v>
      </c>
      <c r="C5772" s="5" t="s">
        <v>80</v>
      </c>
      <c r="D5772" s="5" t="s">
        <v>81</v>
      </c>
      <c r="E5772" s="5" t="s">
        <v>512</v>
      </c>
      <c r="F5772" s="9">
        <v>100</v>
      </c>
      <c r="G5772" s="9">
        <v>1079</v>
      </c>
      <c r="H5772" s="5" t="s">
        <v>20</v>
      </c>
      <c r="I5772" s="5" t="s">
        <v>13229</v>
      </c>
      <c r="J5772" s="12" t="str">
        <f>HYPERLINK("https://www.boe.es/gazeta/dias/1805/12/13/pdfs/GMD-1805-100.pdf#page=7","Abrir facsímil")</f>
        <v>Abrir facsímil</v>
      </c>
      <c r="K5772" s="15" t="s">
        <v>22</v>
      </c>
    </row>
    <row r="5773" spans="1:11" ht="42" customHeight="1">
      <c r="A5773" s="4" t="s">
        <v>13207</v>
      </c>
      <c r="B5773" s="5" t="s">
        <v>13208</v>
      </c>
      <c r="C5773" s="5" t="s">
        <v>80</v>
      </c>
      <c r="D5773" s="5" t="s">
        <v>81</v>
      </c>
      <c r="E5773" s="5" t="s">
        <v>789</v>
      </c>
      <c r="F5773" s="9">
        <v>104</v>
      </c>
      <c r="G5773" s="9">
        <v>1120</v>
      </c>
      <c r="H5773" s="5" t="s">
        <v>20</v>
      </c>
      <c r="I5773" s="5" t="s">
        <v>13230</v>
      </c>
      <c r="J5773" s="12" t="str">
        <f>HYPERLINK("https://www.boe.es/gazeta/dias/1805/12/27/pdfs/GMD-1805-104.pdf#page=4","Abrir facsímil")</f>
        <v>Abrir facsímil</v>
      </c>
      <c r="K5773" s="15" t="s">
        <v>22</v>
      </c>
    </row>
    <row r="5774" spans="1:11" ht="42" customHeight="1">
      <c r="A5774" s="4" t="s">
        <v>13207</v>
      </c>
      <c r="B5774" s="5" t="s">
        <v>13208</v>
      </c>
      <c r="C5774" s="5" t="s">
        <v>80</v>
      </c>
      <c r="D5774" s="5" t="s">
        <v>81</v>
      </c>
      <c r="E5774" s="5" t="s">
        <v>789</v>
      </c>
      <c r="F5774" s="9">
        <v>104</v>
      </c>
      <c r="G5774" s="9">
        <v>1121</v>
      </c>
      <c r="H5774" s="5" t="s">
        <v>20</v>
      </c>
      <c r="I5774" s="5" t="s">
        <v>13231</v>
      </c>
      <c r="J5774" s="12" t="str">
        <f>HYPERLINK("https://www.boe.es/gazeta/dias/1805/12/27/pdfs/GMD-1805-104.pdf#page=5","Abrir facsímil")</f>
        <v>Abrir facsímil</v>
      </c>
      <c r="K5774" s="15" t="s">
        <v>22</v>
      </c>
    </row>
    <row r="5775" spans="1:11" ht="42" customHeight="1">
      <c r="A5775" s="4" t="s">
        <v>13232</v>
      </c>
      <c r="B5775" s="5" t="s">
        <v>13232</v>
      </c>
      <c r="C5775" s="5" t="s">
        <v>17</v>
      </c>
      <c r="D5775" s="5" t="s">
        <v>18</v>
      </c>
      <c r="E5775" s="5" t="s">
        <v>854</v>
      </c>
      <c r="F5775" s="9">
        <v>46</v>
      </c>
      <c r="G5775" s="9">
        <v>492</v>
      </c>
      <c r="H5775" s="5" t="s">
        <v>20</v>
      </c>
      <c r="I5775" s="5" t="s">
        <v>13233</v>
      </c>
      <c r="J5775" s="12" t="str">
        <f>HYPERLINK("https://www.boe.es/gazeta/dias/1805/06/07/pdfs/GMD-1805-46.pdf#page=4","Abrir facsímil")</f>
        <v>Abrir facsímil</v>
      </c>
      <c r="K5775" s="15" t="s">
        <v>22</v>
      </c>
    </row>
    <row r="5776" spans="1:11" ht="42" customHeight="1">
      <c r="A5776" s="4" t="s">
        <v>13234</v>
      </c>
      <c r="B5776" s="5" t="s">
        <v>13235</v>
      </c>
      <c r="C5776" s="5" t="s">
        <v>17</v>
      </c>
      <c r="D5776" s="5" t="s">
        <v>18</v>
      </c>
      <c r="E5776" s="5" t="s">
        <v>120</v>
      </c>
      <c r="F5776" s="9">
        <v>24</v>
      </c>
      <c r="G5776" s="9">
        <v>250</v>
      </c>
      <c r="H5776" s="5" t="s">
        <v>20</v>
      </c>
      <c r="I5776" s="5" t="s">
        <v>13236</v>
      </c>
      <c r="J5776" s="12" t="str">
        <f>HYPERLINK("https://www.boe.es/gazeta/dias/1805/03/22/pdfs/GMD-1805-24.pdf#page=2","Abrir facsímil")</f>
        <v>Abrir facsímil</v>
      </c>
      <c r="K5776" s="15" t="s">
        <v>22</v>
      </c>
    </row>
    <row r="5777" spans="1:11" ht="42" customHeight="1">
      <c r="A5777" s="4" t="s">
        <v>13237</v>
      </c>
      <c r="B5777" s="5" t="s">
        <v>13238</v>
      </c>
      <c r="C5777" s="5" t="s">
        <v>29</v>
      </c>
      <c r="D5777" s="5" t="s">
        <v>30</v>
      </c>
      <c r="E5777" s="5" t="s">
        <v>352</v>
      </c>
      <c r="F5777" s="9">
        <v>60</v>
      </c>
      <c r="G5777" s="9">
        <v>643</v>
      </c>
      <c r="H5777" s="5" t="s">
        <v>20</v>
      </c>
      <c r="I5777" s="5" t="s">
        <v>13239</v>
      </c>
      <c r="J5777" s="12" t="str">
        <f>HYPERLINK("https://www.boe.es/gazeta/dias/1805/07/26/pdfs/GMD-1805-60.pdf#page=7","Abrir facsímil")</f>
        <v>Abrir facsímil</v>
      </c>
      <c r="K5777" s="15" t="s">
        <v>22</v>
      </c>
    </row>
    <row r="5778" spans="1:11" ht="42" customHeight="1">
      <c r="A5778" s="4" t="s">
        <v>13240</v>
      </c>
      <c r="B5778" s="5" t="s">
        <v>13241</v>
      </c>
      <c r="C5778" s="5" t="s">
        <v>35</v>
      </c>
      <c r="D5778" s="5" t="s">
        <v>36</v>
      </c>
      <c r="E5778" s="5" t="s">
        <v>831</v>
      </c>
      <c r="F5778" s="9">
        <v>62</v>
      </c>
      <c r="G5778" s="9">
        <v>661</v>
      </c>
      <c r="H5778" s="5" t="s">
        <v>20</v>
      </c>
      <c r="I5778" s="5" t="s">
        <v>13242</v>
      </c>
      <c r="J5778" s="12" t="str">
        <f>HYPERLINK("https://www.boe.es/gazeta/dias/1805/08/02/pdfs/GMD-1805-62.pdf#page=5","Abrir facsímil")</f>
        <v>Abrir facsímil</v>
      </c>
      <c r="K5778" s="15" t="s">
        <v>22</v>
      </c>
    </row>
    <row r="5779" spans="1:11" ht="42" customHeight="1">
      <c r="A5779" s="4" t="s">
        <v>13243</v>
      </c>
      <c r="B5779" s="5" t="s">
        <v>13243</v>
      </c>
      <c r="C5779" s="5" t="s">
        <v>17</v>
      </c>
      <c r="D5779" s="5" t="s">
        <v>18</v>
      </c>
      <c r="E5779" s="5" t="s">
        <v>117</v>
      </c>
      <c r="F5779" s="9">
        <v>20</v>
      </c>
      <c r="G5779" s="9">
        <v>205</v>
      </c>
      <c r="H5779" s="5" t="s">
        <v>20</v>
      </c>
      <c r="I5779" s="5" t="s">
        <v>13244</v>
      </c>
      <c r="J5779" s="12" t="str">
        <f>HYPERLINK("https://www.boe.es/gazeta/dias/1805/03/08/pdfs/GMD-1805-20.pdf#page=5","Abrir facsímil")</f>
        <v>Abrir facsímil</v>
      </c>
      <c r="K5779" s="15" t="s">
        <v>22</v>
      </c>
    </row>
    <row r="5780" spans="1:11" ht="42" customHeight="1">
      <c r="A5780" s="4" t="s">
        <v>13243</v>
      </c>
      <c r="B5780" s="5" t="s">
        <v>13243</v>
      </c>
      <c r="C5780" s="5" t="s">
        <v>17</v>
      </c>
      <c r="D5780" s="5" t="s">
        <v>18</v>
      </c>
      <c r="E5780" s="5" t="s">
        <v>117</v>
      </c>
      <c r="F5780" s="9">
        <v>20</v>
      </c>
      <c r="G5780" s="9">
        <v>206</v>
      </c>
      <c r="H5780" s="5" t="s">
        <v>20</v>
      </c>
      <c r="I5780" s="5" t="s">
        <v>13245</v>
      </c>
      <c r="J5780" s="12" t="str">
        <f>HYPERLINK("https://www.boe.es/gazeta/dias/1805/03/08/pdfs/GMD-1805-20.pdf#page=6","Abrir facsímil")</f>
        <v>Abrir facsímil</v>
      </c>
      <c r="K5780" s="15" t="s">
        <v>22</v>
      </c>
    </row>
    <row r="5781" spans="1:11" ht="42" customHeight="1">
      <c r="A5781" s="4" t="s">
        <v>13246</v>
      </c>
      <c r="B5781" s="5" t="s">
        <v>13247</v>
      </c>
      <c r="C5781" s="5" t="s">
        <v>17</v>
      </c>
      <c r="D5781" s="5" t="s">
        <v>18</v>
      </c>
      <c r="E5781" s="5" t="s">
        <v>352</v>
      </c>
      <c r="F5781" s="9">
        <v>60</v>
      </c>
      <c r="G5781" s="9">
        <v>639</v>
      </c>
      <c r="H5781" s="5" t="s">
        <v>20</v>
      </c>
      <c r="I5781" s="5" t="s">
        <v>13248</v>
      </c>
      <c r="J5781" s="12" t="str">
        <f>HYPERLINK("https://www.boe.es/gazeta/dias/1805/07/26/pdfs/GMD-1805-60.pdf#page=3","Abrir facsímil")</f>
        <v>Abrir facsímil</v>
      </c>
      <c r="K5781" s="15" t="s">
        <v>22</v>
      </c>
    </row>
    <row r="5782" spans="1:11" ht="42" customHeight="1">
      <c r="A5782" s="4" t="s">
        <v>13249</v>
      </c>
      <c r="B5782" s="5" t="s">
        <v>13250</v>
      </c>
      <c r="C5782" s="5" t="s">
        <v>35</v>
      </c>
      <c r="D5782" s="5" t="s">
        <v>36</v>
      </c>
      <c r="E5782" s="5" t="s">
        <v>87</v>
      </c>
      <c r="F5782" s="9">
        <v>14</v>
      </c>
      <c r="G5782" s="9">
        <v>143</v>
      </c>
      <c r="H5782" s="5" t="s">
        <v>20</v>
      </c>
      <c r="I5782" s="5" t="s">
        <v>13251</v>
      </c>
      <c r="J5782" s="12" t="str">
        <f>HYPERLINK("https://www.boe.es/gazeta/dias/1805/02/15/pdfs/GMD-1805-14.pdf#page=3","Abrir facsímil")</f>
        <v>Abrir facsímil</v>
      </c>
      <c r="K5782" s="15" t="s">
        <v>22</v>
      </c>
    </row>
    <row r="5783" spans="1:11" ht="42" customHeight="1">
      <c r="A5783" s="4" t="s">
        <v>13249</v>
      </c>
      <c r="B5783" s="5" t="s">
        <v>13250</v>
      </c>
      <c r="C5783" s="5" t="s">
        <v>184</v>
      </c>
      <c r="D5783" s="5" t="s">
        <v>86</v>
      </c>
      <c r="E5783" s="5" t="s">
        <v>215</v>
      </c>
      <c r="F5783" s="9">
        <v>87</v>
      </c>
      <c r="G5783" s="9">
        <v>925</v>
      </c>
      <c r="H5783" s="5" t="s">
        <v>20</v>
      </c>
      <c r="I5783" s="5" t="s">
        <v>13252</v>
      </c>
      <c r="J5783" s="12" t="str">
        <f>HYPERLINK("https://www.boe.es/gazeta/dias/1805/10/29/pdfs/GMD-1805-87.pdf#page=9","Abrir facsímil")</f>
        <v>Abrir facsímil</v>
      </c>
      <c r="K5783" s="15" t="s">
        <v>22</v>
      </c>
    </row>
    <row r="5784" spans="1:11" ht="42" customHeight="1">
      <c r="A5784" s="4" t="s">
        <v>13253</v>
      </c>
      <c r="B5784" s="5" t="s">
        <v>13254</v>
      </c>
      <c r="C5784" s="5" t="s">
        <v>35</v>
      </c>
      <c r="D5784" s="5" t="s">
        <v>36</v>
      </c>
      <c r="E5784" s="5" t="s">
        <v>63</v>
      </c>
      <c r="F5784" s="9">
        <v>101</v>
      </c>
      <c r="G5784" s="9">
        <v>1090</v>
      </c>
      <c r="H5784" s="5" t="s">
        <v>20</v>
      </c>
      <c r="I5784" s="5" t="s">
        <v>13255</v>
      </c>
      <c r="J5784" s="12" t="str">
        <f>HYPERLINK("https://www.boe.es/gazeta/dias/1805/12/17/pdfs/GMD-1805-101.pdf#page=6","Abrir facsímil")</f>
        <v>Abrir facsímil</v>
      </c>
      <c r="K5784" s="15" t="s">
        <v>22</v>
      </c>
    </row>
    <row r="5785" spans="1:11" ht="42" customHeight="1">
      <c r="A5785" s="4" t="s">
        <v>13256</v>
      </c>
      <c r="B5785" s="5" t="s">
        <v>13257</v>
      </c>
      <c r="C5785" s="5" t="s">
        <v>80</v>
      </c>
      <c r="D5785" s="5" t="s">
        <v>81</v>
      </c>
      <c r="E5785" s="5" t="s">
        <v>135</v>
      </c>
      <c r="F5785" s="9">
        <v>71</v>
      </c>
      <c r="G5785" s="9">
        <v>750</v>
      </c>
      <c r="H5785" s="5" t="s">
        <v>20</v>
      </c>
      <c r="I5785" s="5" t="s">
        <v>13258</v>
      </c>
      <c r="J5785" s="12" t="str">
        <f>HYPERLINK("https://www.boe.es/gazeta/dias/1805/09/03/pdfs/GMD-1805-71.pdf#page=2","Abrir facsímil")</f>
        <v>Abrir facsímil</v>
      </c>
      <c r="K5785" s="15" t="s">
        <v>22</v>
      </c>
    </row>
    <row r="5786" spans="1:11" ht="42" customHeight="1">
      <c r="A5786" s="4" t="s">
        <v>13259</v>
      </c>
      <c r="B5786" s="5" t="s">
        <v>13259</v>
      </c>
      <c r="C5786" s="5" t="s">
        <v>85</v>
      </c>
      <c r="D5786" s="5" t="s">
        <v>86</v>
      </c>
      <c r="E5786" s="5" t="s">
        <v>1221</v>
      </c>
      <c r="F5786" s="9">
        <v>41</v>
      </c>
      <c r="G5786" s="9">
        <v>440</v>
      </c>
      <c r="H5786" s="5" t="s">
        <v>20</v>
      </c>
      <c r="I5786" s="5" t="s">
        <v>13260</v>
      </c>
      <c r="J5786" s="12" t="str">
        <f>HYPERLINK("https://www.boe.es/gazeta/dias/1805/05/21/pdfs/GMD-1805-41.pdf#page=8","Abrir facsímil")</f>
        <v>Abrir facsímil</v>
      </c>
      <c r="K5786" s="15" t="s">
        <v>22</v>
      </c>
    </row>
    <row r="5787" spans="1:11" ht="42" customHeight="1">
      <c r="A5787" s="4" t="s">
        <v>13261</v>
      </c>
      <c r="B5787" s="5" t="s">
        <v>13262</v>
      </c>
      <c r="C5787" s="5" t="s">
        <v>35</v>
      </c>
      <c r="D5787" s="5" t="s">
        <v>36</v>
      </c>
      <c r="E5787" s="5" t="s">
        <v>67</v>
      </c>
      <c r="F5787" s="9">
        <v>98</v>
      </c>
      <c r="G5787" s="9">
        <v>1059</v>
      </c>
      <c r="H5787" s="5" t="s">
        <v>20</v>
      </c>
      <c r="I5787" s="5" t="s">
        <v>13263</v>
      </c>
      <c r="J5787" s="12" t="str">
        <f>HYPERLINK("https://www.boe.es/gazeta/dias/1805/12/06/pdfs/GMD-1805-98.pdf#page=11","Abrir facsímil")</f>
        <v>Abrir facsímil</v>
      </c>
      <c r="K5787" s="15" t="s">
        <v>22</v>
      </c>
    </row>
    <row r="5788" spans="1:11" ht="42" customHeight="1">
      <c r="A5788" s="4" t="s">
        <v>13264</v>
      </c>
      <c r="B5788" s="5" t="s">
        <v>13265</v>
      </c>
      <c r="C5788" s="5" t="s">
        <v>80</v>
      </c>
      <c r="D5788" s="5" t="s">
        <v>81</v>
      </c>
      <c r="E5788" s="5" t="s">
        <v>422</v>
      </c>
      <c r="F5788" s="9">
        <v>74</v>
      </c>
      <c r="G5788" s="9">
        <v>782</v>
      </c>
      <c r="H5788" s="5" t="s">
        <v>20</v>
      </c>
      <c r="I5788" s="5" t="s">
        <v>13266</v>
      </c>
      <c r="J5788" s="12" t="str">
        <f>HYPERLINK("https://www.boe.es/gazeta/dias/1805/09/13/pdfs/GMD-1805-74.pdf#page=6","Abrir facsímil")</f>
        <v>Abrir facsímil</v>
      </c>
      <c r="K5788" s="15" t="s">
        <v>22</v>
      </c>
    </row>
    <row r="5789" spans="1:11" ht="42" customHeight="1">
      <c r="A5789" s="4" t="s">
        <v>13267</v>
      </c>
      <c r="B5789" s="5" t="s">
        <v>13268</v>
      </c>
      <c r="C5789" s="5" t="s">
        <v>80</v>
      </c>
      <c r="D5789" s="5" t="s">
        <v>81</v>
      </c>
      <c r="E5789" s="5" t="s">
        <v>399</v>
      </c>
      <c r="F5789" s="9">
        <v>39</v>
      </c>
      <c r="G5789" s="9">
        <v>416</v>
      </c>
      <c r="H5789" s="5" t="s">
        <v>20</v>
      </c>
      <c r="I5789" s="5" t="s">
        <v>13269</v>
      </c>
      <c r="J5789" s="12" t="str">
        <f>HYPERLINK("https://www.boe.es/gazeta/dias/1805/05/14/pdfs/GMD-1805-39.pdf#page=4","Abrir facsímil")</f>
        <v>Abrir facsímil</v>
      </c>
      <c r="K5789" s="15" t="s">
        <v>22</v>
      </c>
    </row>
    <row r="5790" spans="1:11" ht="42" customHeight="1">
      <c r="A5790" s="4" t="s">
        <v>13270</v>
      </c>
      <c r="B5790" s="5" t="s">
        <v>13270</v>
      </c>
      <c r="C5790" s="5" t="s">
        <v>80</v>
      </c>
      <c r="D5790" s="5" t="s">
        <v>81</v>
      </c>
      <c r="E5790" s="5" t="s">
        <v>1022</v>
      </c>
      <c r="F5790" s="9">
        <v>52</v>
      </c>
      <c r="G5790" s="9">
        <v>554</v>
      </c>
      <c r="H5790" s="5" t="s">
        <v>20</v>
      </c>
      <c r="I5790" s="5" t="s">
        <v>13271</v>
      </c>
      <c r="J5790" s="12" t="str">
        <f>HYPERLINK("https://www.boe.es/gazeta/dias/1805/06/28/pdfs/GMD-1805-52.pdf#page=2","Abrir facsímil")</f>
        <v>Abrir facsímil</v>
      </c>
      <c r="K5790" s="15" t="s">
        <v>22</v>
      </c>
    </row>
    <row r="5791" spans="1:11" ht="42" customHeight="1">
      <c r="A5791" s="4" t="s">
        <v>13272</v>
      </c>
      <c r="B5791" s="5" t="s">
        <v>13273</v>
      </c>
      <c r="C5791" s="5" t="s">
        <v>35</v>
      </c>
      <c r="D5791" s="5" t="s">
        <v>36</v>
      </c>
      <c r="E5791" s="5" t="s">
        <v>854</v>
      </c>
      <c r="F5791" s="9">
        <v>46</v>
      </c>
      <c r="G5791" s="9">
        <v>499</v>
      </c>
      <c r="H5791" s="5" t="s">
        <v>20</v>
      </c>
      <c r="I5791" s="5" t="s">
        <v>13274</v>
      </c>
      <c r="J5791" s="12" t="str">
        <f>HYPERLINK("https://www.boe.es/gazeta/dias/1805/06/07/pdfs/GMD-1805-46.pdf#page=11","Abrir facsímil")</f>
        <v>Abrir facsímil</v>
      </c>
      <c r="K5791" s="15" t="s">
        <v>22</v>
      </c>
    </row>
    <row r="5792" spans="1:11" ht="42" customHeight="1">
      <c r="A5792" s="4" t="s">
        <v>13275</v>
      </c>
      <c r="B5792" s="5" t="s">
        <v>13275</v>
      </c>
      <c r="C5792" s="5" t="s">
        <v>184</v>
      </c>
      <c r="D5792" s="5" t="s">
        <v>86</v>
      </c>
      <c r="E5792" s="5" t="s">
        <v>399</v>
      </c>
      <c r="F5792" s="9">
        <v>39</v>
      </c>
      <c r="G5792" s="9">
        <v>413</v>
      </c>
      <c r="H5792" s="5" t="s">
        <v>20</v>
      </c>
      <c r="I5792" s="5" t="s">
        <v>13276</v>
      </c>
      <c r="J5792" s="12" t="str">
        <f>HYPERLINK("https://www.boe.es/gazeta/dias/1805/05/14/pdfs/GMD-1805-39.pdf#page=1","Abrir facsímil")</f>
        <v>Abrir facsímil</v>
      </c>
      <c r="K5792" s="15" t="s">
        <v>22</v>
      </c>
    </row>
    <row r="5793" spans="1:11" ht="42" customHeight="1">
      <c r="A5793" s="4" t="s">
        <v>13277</v>
      </c>
      <c r="B5793" s="5" t="s">
        <v>13277</v>
      </c>
      <c r="C5793" s="5" t="s">
        <v>80</v>
      </c>
      <c r="D5793" s="5" t="s">
        <v>81</v>
      </c>
      <c r="E5793" s="5" t="s">
        <v>117</v>
      </c>
      <c r="F5793" s="9">
        <v>20</v>
      </c>
      <c r="G5793" s="9">
        <v>203</v>
      </c>
      <c r="H5793" s="5" t="s">
        <v>20</v>
      </c>
      <c r="I5793" s="5" t="s">
        <v>13278</v>
      </c>
      <c r="J5793" s="12" t="str">
        <f>HYPERLINK("https://www.boe.es/gazeta/dias/1805/03/08/pdfs/GMD-1805-20.pdf#page=3","Abrir facsímil")</f>
        <v>Abrir facsímil</v>
      </c>
      <c r="K5793" s="15" t="s">
        <v>22</v>
      </c>
    </row>
    <row r="5794" spans="1:11" ht="42" customHeight="1">
      <c r="A5794" s="4" t="s">
        <v>13279</v>
      </c>
      <c r="B5794" s="5" t="s">
        <v>13280</v>
      </c>
      <c r="C5794" s="5" t="s">
        <v>80</v>
      </c>
      <c r="D5794" s="5" t="s">
        <v>81</v>
      </c>
      <c r="E5794" s="5" t="s">
        <v>207</v>
      </c>
      <c r="F5794" s="9">
        <v>76</v>
      </c>
      <c r="G5794" s="9">
        <v>804</v>
      </c>
      <c r="H5794" s="5" t="s">
        <v>20</v>
      </c>
      <c r="I5794" s="5" t="s">
        <v>13281</v>
      </c>
      <c r="J5794" s="12" t="str">
        <f>HYPERLINK("https://www.boe.es/gazeta/dias/1805/09/20/pdfs/GMD-1805-76.pdf#page=4","Abrir facsímil")</f>
        <v>Abrir facsímil</v>
      </c>
      <c r="K5794" s="15" t="s">
        <v>22</v>
      </c>
    </row>
    <row r="5795" spans="1:11" ht="42" customHeight="1">
      <c r="A5795" s="4" t="s">
        <v>13282</v>
      </c>
      <c r="B5795" s="5" t="s">
        <v>13283</v>
      </c>
      <c r="C5795" s="5" t="s">
        <v>80</v>
      </c>
      <c r="D5795" s="5" t="s">
        <v>81</v>
      </c>
      <c r="E5795" s="5" t="s">
        <v>365</v>
      </c>
      <c r="F5795" s="9">
        <v>3</v>
      </c>
      <c r="G5795" s="9">
        <v>25</v>
      </c>
      <c r="H5795" s="5" t="s">
        <v>20</v>
      </c>
      <c r="I5795" s="5" t="s">
        <v>13284</v>
      </c>
      <c r="J5795" s="12" t="str">
        <f>HYPERLINK("https://www.boe.es/gazeta/dias/1805/01/08/pdfs/GMD-1805-3.pdf#page=1","Abrir facsímil")</f>
        <v>Abrir facsímil</v>
      </c>
      <c r="K5795" s="15" t="s">
        <v>22</v>
      </c>
    </row>
    <row r="5796" spans="1:11" ht="42" customHeight="1">
      <c r="A5796" s="4" t="s">
        <v>13285</v>
      </c>
      <c r="B5796" s="5" t="s">
        <v>13286</v>
      </c>
      <c r="C5796" s="5" t="s">
        <v>35</v>
      </c>
      <c r="D5796" s="5" t="s">
        <v>36</v>
      </c>
      <c r="E5796" s="5" t="s">
        <v>1187</v>
      </c>
      <c r="F5796" s="9">
        <v>40</v>
      </c>
      <c r="G5796" s="9">
        <v>430</v>
      </c>
      <c r="H5796" s="5" t="s">
        <v>20</v>
      </c>
      <c r="I5796" s="5" t="s">
        <v>13287</v>
      </c>
      <c r="J5796" s="12" t="str">
        <f>HYPERLINK("https://www.boe.es/gazeta/dias/1805/05/17/pdfs/GMD-1805-40.pdf#page=6","Abrir facsímil")</f>
        <v>Abrir facsímil</v>
      </c>
      <c r="K5796" s="15" t="s">
        <v>22</v>
      </c>
    </row>
    <row r="5797" spans="1:11" ht="42" customHeight="1">
      <c r="A5797" s="4" t="s">
        <v>13288</v>
      </c>
      <c r="B5797" s="5" t="s">
        <v>13289</v>
      </c>
      <c r="C5797" s="5" t="s">
        <v>17</v>
      </c>
      <c r="D5797" s="5" t="s">
        <v>18</v>
      </c>
      <c r="E5797" s="5" t="s">
        <v>567</v>
      </c>
      <c r="F5797" s="9">
        <v>49</v>
      </c>
      <c r="G5797" s="9">
        <v>531</v>
      </c>
      <c r="H5797" s="5" t="s">
        <v>20</v>
      </c>
      <c r="I5797" s="5" t="s">
        <v>13290</v>
      </c>
      <c r="J5797" s="12" t="str">
        <f>HYPERLINK("https://www.boe.es/gazeta/dias/1805/06/18/pdfs/GMD-1805-49.pdf#page=7","Abrir facsímil")</f>
        <v>Abrir facsímil</v>
      </c>
      <c r="K5797" s="15" t="s">
        <v>22</v>
      </c>
    </row>
    <row r="5798" spans="1:11" ht="42" customHeight="1">
      <c r="A5798" s="4" t="s">
        <v>13291</v>
      </c>
      <c r="B5798" s="5" t="s">
        <v>13292</v>
      </c>
      <c r="C5798" s="5" t="s">
        <v>29</v>
      </c>
      <c r="D5798" s="5" t="s">
        <v>30</v>
      </c>
      <c r="E5798" s="5" t="s">
        <v>567</v>
      </c>
      <c r="F5798" s="9">
        <v>49</v>
      </c>
      <c r="G5798" s="9">
        <v>532</v>
      </c>
      <c r="H5798" s="5" t="s">
        <v>20</v>
      </c>
      <c r="I5798" s="5" t="s">
        <v>13293</v>
      </c>
      <c r="J5798" s="12" t="str">
        <f>HYPERLINK("https://www.boe.es/gazeta/dias/1805/06/18/pdfs/GMD-1805-49.pdf#page=8","Abrir facsímil")</f>
        <v>Abrir facsímil</v>
      </c>
      <c r="K5798" s="15" t="s">
        <v>22</v>
      </c>
    </row>
    <row r="5799" spans="1:11" ht="42" customHeight="1">
      <c r="A5799" s="4" t="s">
        <v>13294</v>
      </c>
      <c r="B5799" s="5" t="s">
        <v>13295</v>
      </c>
      <c r="C5799" s="5" t="s">
        <v>80</v>
      </c>
      <c r="D5799" s="5" t="s">
        <v>81</v>
      </c>
      <c r="E5799" s="5" t="s">
        <v>335</v>
      </c>
      <c r="F5799" s="9">
        <v>79</v>
      </c>
      <c r="G5799" s="9">
        <v>831</v>
      </c>
      <c r="H5799" s="5" t="s">
        <v>20</v>
      </c>
      <c r="I5799" s="5" t="s">
        <v>13296</v>
      </c>
      <c r="J5799" s="12" t="str">
        <f>HYPERLINK("https://www.boe.es/gazeta/dias/1805/10/01/pdfs/GMD-1805-79.pdf#page=3","Abrir facsímil")</f>
        <v>Abrir facsímil</v>
      </c>
      <c r="K5799" s="15" t="s">
        <v>22</v>
      </c>
    </row>
    <row r="5800" spans="1:11" ht="42" customHeight="1">
      <c r="A5800" s="4" t="s">
        <v>13297</v>
      </c>
      <c r="B5800" s="5" t="s">
        <v>13298</v>
      </c>
      <c r="C5800" s="5" t="s">
        <v>35</v>
      </c>
      <c r="D5800" s="5" t="s">
        <v>36</v>
      </c>
      <c r="E5800" s="5" t="s">
        <v>138</v>
      </c>
      <c r="F5800" s="9">
        <v>102</v>
      </c>
      <c r="G5800" s="9">
        <v>1103</v>
      </c>
      <c r="H5800" s="5" t="s">
        <v>20</v>
      </c>
      <c r="I5800" s="5" t="s">
        <v>13299</v>
      </c>
      <c r="J5800" s="12" t="str">
        <f>HYPERLINK("https://www.boe.es/gazeta/dias/1805/12/20/pdfs/GMD-1805-102.pdf#page=7","Abrir facsímil")</f>
        <v>Abrir facsímil</v>
      </c>
      <c r="K5800" s="15" t="s">
        <v>22</v>
      </c>
    </row>
    <row r="5801" spans="1:11" ht="42" customHeight="1">
      <c r="A5801" s="4" t="s">
        <v>13300</v>
      </c>
      <c r="B5801" s="5" t="s">
        <v>13301</v>
      </c>
      <c r="C5801" s="5" t="s">
        <v>80</v>
      </c>
      <c r="D5801" s="5" t="s">
        <v>81</v>
      </c>
      <c r="E5801" s="5" t="s">
        <v>789</v>
      </c>
      <c r="F5801" s="9">
        <v>104</v>
      </c>
      <c r="G5801" s="9">
        <v>1120</v>
      </c>
      <c r="H5801" s="5" t="s">
        <v>20</v>
      </c>
      <c r="I5801" s="5" t="s">
        <v>13302</v>
      </c>
      <c r="J5801" s="12" t="str">
        <f>HYPERLINK("https://www.boe.es/gazeta/dias/1805/12/27/pdfs/GMD-1805-104.pdf#page=4","Abrir facsímil")</f>
        <v>Abrir facsímil</v>
      </c>
      <c r="K5801" s="15" t="s">
        <v>22</v>
      </c>
    </row>
    <row r="5802" spans="1:11" ht="42" customHeight="1">
      <c r="A5802" s="4" t="s">
        <v>13303</v>
      </c>
      <c r="B5802" s="5" t="s">
        <v>13304</v>
      </c>
      <c r="C5802" s="5" t="s">
        <v>17</v>
      </c>
      <c r="D5802" s="5" t="s">
        <v>18</v>
      </c>
      <c r="E5802" s="5" t="s">
        <v>831</v>
      </c>
      <c r="F5802" s="9">
        <v>62</v>
      </c>
      <c r="G5802" s="9">
        <v>663</v>
      </c>
      <c r="H5802" s="5" t="s">
        <v>20</v>
      </c>
      <c r="I5802" s="5" t="s">
        <v>13305</v>
      </c>
      <c r="J5802" s="12" t="str">
        <f>HYPERLINK("https://www.boe.es/gazeta/dias/1805/08/02/pdfs/GMD-1805-62.pdf#page=7","Abrir facsímil")</f>
        <v>Abrir facsímil</v>
      </c>
      <c r="K5802" s="15" t="s">
        <v>22</v>
      </c>
    </row>
    <row r="5803" spans="1:11" ht="42" customHeight="1">
      <c r="A5803" s="4" t="s">
        <v>13306</v>
      </c>
      <c r="B5803" s="5" t="s">
        <v>13307</v>
      </c>
      <c r="C5803" s="5" t="s">
        <v>35</v>
      </c>
      <c r="D5803" s="5" t="s">
        <v>36</v>
      </c>
      <c r="E5803" s="5" t="s">
        <v>506</v>
      </c>
      <c r="F5803" s="9">
        <v>80</v>
      </c>
      <c r="G5803" s="9">
        <v>849</v>
      </c>
      <c r="H5803" s="5" t="s">
        <v>20</v>
      </c>
      <c r="I5803" s="5" t="s">
        <v>13308</v>
      </c>
      <c r="J5803" s="12" t="str">
        <f>HYPERLINK("https://www.boe.es/gazeta/dias/1805/10/04/pdfs/GMD-1805-80.pdf#page=9","Abrir facsímil")</f>
        <v>Abrir facsímil</v>
      </c>
      <c r="K5803" s="15" t="s">
        <v>22</v>
      </c>
    </row>
    <row r="5804" spans="1:11" ht="42" customHeight="1">
      <c r="A5804" s="4" t="s">
        <v>13309</v>
      </c>
      <c r="B5804" s="5" t="s">
        <v>13310</v>
      </c>
      <c r="C5804" s="5" t="s">
        <v>17</v>
      </c>
      <c r="D5804" s="5" t="s">
        <v>18</v>
      </c>
      <c r="E5804" s="5" t="s">
        <v>567</v>
      </c>
      <c r="F5804" s="9">
        <v>49</v>
      </c>
      <c r="G5804" s="9">
        <v>526</v>
      </c>
      <c r="H5804" s="5" t="s">
        <v>20</v>
      </c>
      <c r="I5804" s="5" t="s">
        <v>13311</v>
      </c>
      <c r="J5804" s="12" t="str">
        <f>HYPERLINK("https://www.boe.es/gazeta/dias/1805/06/18/pdfs/GMD-1805-49.pdf#page=2","Abrir facsímil")</f>
        <v>Abrir facsímil</v>
      </c>
      <c r="K5804" s="15" t="s">
        <v>22</v>
      </c>
    </row>
    <row r="5805" spans="1:11" ht="42" customHeight="1">
      <c r="A5805" s="4" t="s">
        <v>13312</v>
      </c>
      <c r="B5805" s="5" t="s">
        <v>13313</v>
      </c>
      <c r="C5805" s="5" t="s">
        <v>184</v>
      </c>
      <c r="D5805" s="5" t="s">
        <v>86</v>
      </c>
      <c r="E5805" s="5" t="s">
        <v>817</v>
      </c>
      <c r="F5805" s="9">
        <v>92</v>
      </c>
      <c r="G5805" s="9">
        <v>981</v>
      </c>
      <c r="H5805" s="5" t="s">
        <v>20</v>
      </c>
      <c r="I5805" s="5" t="s">
        <v>13314</v>
      </c>
      <c r="J5805" s="12" t="str">
        <f>HYPERLINK("https://www.boe.es/gazeta/dias/1805/11/15/pdfs/GMD-1805-92.pdf#page=1","Abrir facsímil")</f>
        <v>Abrir facsímil</v>
      </c>
      <c r="K5805" s="15" t="s">
        <v>22</v>
      </c>
    </row>
    <row r="5806" spans="1:11" ht="42" customHeight="1">
      <c r="A5806" s="4" t="s">
        <v>13315</v>
      </c>
      <c r="B5806" s="5" t="s">
        <v>13316</v>
      </c>
      <c r="C5806" s="5" t="s">
        <v>35</v>
      </c>
      <c r="D5806" s="5" t="s">
        <v>36</v>
      </c>
      <c r="E5806" s="5" t="s">
        <v>335</v>
      </c>
      <c r="F5806" s="9">
        <v>79</v>
      </c>
      <c r="G5806" s="9">
        <v>840</v>
      </c>
      <c r="H5806" s="5" t="s">
        <v>20</v>
      </c>
      <c r="I5806" s="5" t="s">
        <v>13317</v>
      </c>
      <c r="J5806" s="12" t="str">
        <f>HYPERLINK("https://www.boe.es/gazeta/dias/1805/10/01/pdfs/GMD-1805-79.pdf#page=12","Abrir facsímil")</f>
        <v>Abrir facsímil</v>
      </c>
      <c r="K5806" s="15" t="s">
        <v>22</v>
      </c>
    </row>
    <row r="5807" spans="1:11" ht="42" customHeight="1">
      <c r="A5807" s="4" t="s">
        <v>13318</v>
      </c>
      <c r="B5807" s="5" t="s">
        <v>13319</v>
      </c>
      <c r="C5807" s="5" t="s">
        <v>85</v>
      </c>
      <c r="D5807" s="5" t="s">
        <v>86</v>
      </c>
      <c r="E5807" s="5" t="s">
        <v>296</v>
      </c>
      <c r="F5807" s="9">
        <v>26</v>
      </c>
      <c r="G5807" s="9">
        <v>277</v>
      </c>
      <c r="H5807" s="5" t="s">
        <v>20</v>
      </c>
      <c r="I5807" s="5" t="s">
        <v>13320</v>
      </c>
      <c r="J5807" s="12" t="str">
        <f>HYPERLINK("https://www.boe.es/gazeta/dias/1805/03/29/pdfs/GMD-1805-26.pdf#page=9","Abrir facsímil")</f>
        <v>Abrir facsímil</v>
      </c>
      <c r="K5807" s="15" t="s">
        <v>22</v>
      </c>
    </row>
    <row r="5808" spans="1:11" ht="42" customHeight="1">
      <c r="A5808" s="4" t="s">
        <v>13321</v>
      </c>
      <c r="B5808" s="5" t="s">
        <v>13322</v>
      </c>
      <c r="C5808" s="5" t="s">
        <v>35</v>
      </c>
      <c r="D5808" s="5" t="s">
        <v>36</v>
      </c>
      <c r="E5808" s="5" t="s">
        <v>24</v>
      </c>
      <c r="F5808" s="9">
        <v>11</v>
      </c>
      <c r="G5808" s="9">
        <v>120</v>
      </c>
      <c r="H5808" s="5" t="s">
        <v>20</v>
      </c>
      <c r="I5808" s="5" t="s">
        <v>13323</v>
      </c>
      <c r="J5808" s="12" t="str">
        <f>HYPERLINK("https://www.boe.es/gazeta/dias/1805/02/05/pdfs/GMD-1805-11.pdf#page=8","Abrir facsímil")</f>
        <v>Abrir facsímil</v>
      </c>
      <c r="K5808" s="15" t="s">
        <v>22</v>
      </c>
    </row>
    <row r="5809" spans="1:11" ht="42" customHeight="1">
      <c r="A5809" s="4" t="s">
        <v>13324</v>
      </c>
      <c r="B5809" s="5" t="s">
        <v>13325</v>
      </c>
      <c r="C5809" s="5" t="s">
        <v>35</v>
      </c>
      <c r="D5809" s="5" t="s">
        <v>36</v>
      </c>
      <c r="E5809" s="5" t="s">
        <v>495</v>
      </c>
      <c r="F5809" s="9">
        <v>103</v>
      </c>
      <c r="G5809" s="9">
        <v>1114</v>
      </c>
      <c r="H5809" s="5" t="s">
        <v>20</v>
      </c>
      <c r="I5809" s="5" t="s">
        <v>13326</v>
      </c>
      <c r="J5809" s="12" t="str">
        <f>HYPERLINK("https://www.boe.es/gazeta/dias/1805/12/24/pdfs/GMD-1805-103.pdf#page=6","Abrir facsímil")</f>
        <v>Abrir facsímil</v>
      </c>
      <c r="K5809" s="15" t="s">
        <v>22</v>
      </c>
    </row>
    <row r="5810" spans="1:11" ht="42" customHeight="1">
      <c r="A5810" s="4" t="s">
        <v>13327</v>
      </c>
      <c r="B5810" s="5" t="s">
        <v>13327</v>
      </c>
      <c r="C5810" s="5" t="s">
        <v>35</v>
      </c>
      <c r="D5810" s="5" t="s">
        <v>36</v>
      </c>
      <c r="E5810" s="5" t="s">
        <v>128</v>
      </c>
      <c r="F5810" s="9">
        <v>23</v>
      </c>
      <c r="G5810" s="9">
        <v>237</v>
      </c>
      <c r="H5810" s="5" t="s">
        <v>20</v>
      </c>
      <c r="I5810" s="5" t="s">
        <v>13328</v>
      </c>
      <c r="J5810" s="12" t="str">
        <f>HYPERLINK("https://www.boe.es/gazeta/dias/1805/03/19/pdfs/GMD-1805-23.pdf#page=1","Abrir facsímil")</f>
        <v>Abrir facsímil</v>
      </c>
      <c r="K5810" s="15" t="s">
        <v>22</v>
      </c>
    </row>
    <row r="5811" spans="1:11" ht="42" customHeight="1">
      <c r="A5811" s="4" t="s">
        <v>13329</v>
      </c>
      <c r="B5811" s="5" t="s">
        <v>13330</v>
      </c>
      <c r="C5811" s="5" t="s">
        <v>184</v>
      </c>
      <c r="D5811" s="5" t="s">
        <v>86</v>
      </c>
      <c r="E5811" s="5" t="s">
        <v>63</v>
      </c>
      <c r="F5811" s="9">
        <v>101</v>
      </c>
      <c r="G5811" s="9">
        <v>1092</v>
      </c>
      <c r="H5811" s="5" t="s">
        <v>20</v>
      </c>
      <c r="I5811" s="5" t="s">
        <v>13331</v>
      </c>
      <c r="J5811" s="12" t="str">
        <f>HYPERLINK("https://www.boe.es/gazeta/dias/1805/12/17/pdfs/GMD-1805-101.pdf#page=8","Abrir facsímil")</f>
        <v>Abrir facsímil</v>
      </c>
      <c r="K5811" s="15" t="s">
        <v>22</v>
      </c>
    </row>
    <row r="5812" spans="1:11" ht="42" customHeight="1">
      <c r="A5812" s="4" t="s">
        <v>13332</v>
      </c>
      <c r="B5812" s="5" t="s">
        <v>13333</v>
      </c>
      <c r="C5812" s="5" t="s">
        <v>35</v>
      </c>
      <c r="D5812" s="5" t="s">
        <v>36</v>
      </c>
      <c r="E5812" s="5" t="s">
        <v>112</v>
      </c>
      <c r="F5812" s="9">
        <v>16</v>
      </c>
      <c r="G5812" s="9">
        <v>166</v>
      </c>
      <c r="H5812" s="5" t="s">
        <v>20</v>
      </c>
      <c r="I5812" s="5" t="s">
        <v>13334</v>
      </c>
      <c r="J5812" s="12" t="str">
        <f>HYPERLINK("https://www.boe.es/gazeta/dias/1805/02/22/pdfs/GMD-1805-16.pdf#page=6","Abrir facsímil")</f>
        <v>Abrir facsímil</v>
      </c>
      <c r="K5812" s="15" t="s">
        <v>22</v>
      </c>
    </row>
    <row r="5813" spans="1:11" ht="42" customHeight="1">
      <c r="A5813" s="4" t="s">
        <v>13335</v>
      </c>
      <c r="B5813" s="5" t="s">
        <v>13335</v>
      </c>
      <c r="C5813" s="5" t="s">
        <v>35</v>
      </c>
      <c r="D5813" s="5" t="s">
        <v>36</v>
      </c>
      <c r="E5813" s="5" t="s">
        <v>261</v>
      </c>
      <c r="F5813" s="9">
        <v>18</v>
      </c>
      <c r="G5813" s="9">
        <v>185</v>
      </c>
      <c r="H5813" s="5" t="s">
        <v>20</v>
      </c>
      <c r="I5813" s="5" t="s">
        <v>13336</v>
      </c>
      <c r="J5813" s="12" t="str">
        <f>HYPERLINK("https://www.boe.es/gazeta/dias/1805/03/01/pdfs/GMD-1805-18.pdf#page=5","Abrir facsímil")</f>
        <v>Abrir facsímil</v>
      </c>
      <c r="K5813" s="15" t="s">
        <v>22</v>
      </c>
    </row>
    <row r="5814" spans="1:11" ht="42" customHeight="1">
      <c r="A5814" s="4" t="s">
        <v>13335</v>
      </c>
      <c r="B5814" s="5" t="s">
        <v>13335</v>
      </c>
      <c r="C5814" s="5" t="s">
        <v>35</v>
      </c>
      <c r="D5814" s="5" t="s">
        <v>36</v>
      </c>
      <c r="E5814" s="5" t="s">
        <v>673</v>
      </c>
      <c r="F5814" s="9">
        <v>32</v>
      </c>
      <c r="G5814" s="9">
        <v>339</v>
      </c>
      <c r="H5814" s="5" t="s">
        <v>20</v>
      </c>
      <c r="I5814" s="5" t="s">
        <v>13337</v>
      </c>
      <c r="J5814" s="12" t="str">
        <f>HYPERLINK("https://www.boe.es/gazeta/dias/1805/04/19/pdfs/GMD-1805-32.pdf#page=3","Abrir facsímil")</f>
        <v>Abrir facsímil</v>
      </c>
      <c r="K5814" s="15" t="s">
        <v>22</v>
      </c>
    </row>
    <row r="5815" spans="1:11" ht="42" customHeight="1">
      <c r="A5815" s="4" t="s">
        <v>13335</v>
      </c>
      <c r="B5815" s="5" t="s">
        <v>13335</v>
      </c>
      <c r="C5815" s="5" t="s">
        <v>184</v>
      </c>
      <c r="D5815" s="5" t="s">
        <v>86</v>
      </c>
      <c r="E5815" s="5" t="s">
        <v>729</v>
      </c>
      <c r="F5815" s="9">
        <v>61</v>
      </c>
      <c r="G5815" s="9">
        <v>650</v>
      </c>
      <c r="H5815" s="5" t="s">
        <v>20</v>
      </c>
      <c r="I5815" s="5" t="s">
        <v>13338</v>
      </c>
      <c r="J5815" s="12" t="str">
        <f>HYPERLINK("https://www.boe.es/gazeta/dias/1805/07/30/pdfs/GMD-1805-61.pdf#page=2","Abrir facsímil")</f>
        <v>Abrir facsímil</v>
      </c>
      <c r="K5815" s="15" t="s">
        <v>22</v>
      </c>
    </row>
    <row r="5816" spans="1:11" ht="42" customHeight="1">
      <c r="A5816" s="4" t="s">
        <v>13339</v>
      </c>
      <c r="B5816" s="5" t="s">
        <v>13339</v>
      </c>
      <c r="C5816" s="5" t="s">
        <v>85</v>
      </c>
      <c r="D5816" s="5" t="s">
        <v>86</v>
      </c>
      <c r="E5816" s="5" t="s">
        <v>567</v>
      </c>
      <c r="F5816" s="9">
        <v>49</v>
      </c>
      <c r="G5816" s="9">
        <v>528</v>
      </c>
      <c r="H5816" s="5" t="s">
        <v>20</v>
      </c>
      <c r="I5816" s="5" t="s">
        <v>13340</v>
      </c>
      <c r="J5816" s="12" t="str">
        <f>HYPERLINK("https://www.boe.es/gazeta/dias/1805/06/18/pdfs/GMD-1805-49.pdf#page=4","Abrir facsímil")</f>
        <v>Abrir facsímil</v>
      </c>
      <c r="K5816" s="15" t="s">
        <v>22</v>
      </c>
    </row>
    <row r="5817" spans="1:11" ht="42" customHeight="1">
      <c r="A5817" s="4" t="s">
        <v>13341</v>
      </c>
      <c r="B5817" s="5" t="s">
        <v>13342</v>
      </c>
      <c r="C5817" s="5" t="s">
        <v>35</v>
      </c>
      <c r="D5817" s="5" t="s">
        <v>36</v>
      </c>
      <c r="E5817" s="5" t="s">
        <v>539</v>
      </c>
      <c r="F5817" s="9">
        <v>97</v>
      </c>
      <c r="G5817" s="9">
        <v>1045</v>
      </c>
      <c r="H5817" s="5" t="s">
        <v>20</v>
      </c>
      <c r="I5817" s="5" t="s">
        <v>13343</v>
      </c>
      <c r="J5817" s="12" t="str">
        <f>HYPERLINK("https://www.boe.es/gazeta/dias/1805/12/03/pdfs/GMD-1805-97.pdf#page=9","Abrir facsímil")</f>
        <v>Abrir facsímil</v>
      </c>
      <c r="K5817" s="15" t="s">
        <v>22</v>
      </c>
    </row>
    <row r="5818" spans="1:11" ht="42" customHeight="1">
      <c r="A5818" s="4" t="s">
        <v>13344</v>
      </c>
      <c r="B5818" s="5" t="s">
        <v>13345</v>
      </c>
      <c r="C5818" s="5" t="s">
        <v>35</v>
      </c>
      <c r="D5818" s="5" t="s">
        <v>36</v>
      </c>
      <c r="E5818" s="5" t="s">
        <v>864</v>
      </c>
      <c r="F5818" s="9">
        <v>88</v>
      </c>
      <c r="G5818" s="9">
        <v>938</v>
      </c>
      <c r="H5818" s="5" t="s">
        <v>20</v>
      </c>
      <c r="I5818" s="5" t="s">
        <v>13346</v>
      </c>
      <c r="J5818" s="12" t="str">
        <f>HYPERLINK("https://www.boe.es/gazeta/dias/1805/11/01/pdfs/GMD-1805-88.pdf#page=10","Abrir facsímil")</f>
        <v>Abrir facsímil</v>
      </c>
      <c r="K5818" s="15" t="s">
        <v>22</v>
      </c>
    </row>
    <row r="5819" spans="1:11" ht="42" customHeight="1">
      <c r="A5819" s="4" t="s">
        <v>13347</v>
      </c>
      <c r="B5819" s="5" t="s">
        <v>13348</v>
      </c>
      <c r="C5819" s="5" t="s">
        <v>85</v>
      </c>
      <c r="D5819" s="5" t="s">
        <v>86</v>
      </c>
      <c r="E5819" s="5" t="s">
        <v>649</v>
      </c>
      <c r="F5819" s="9">
        <v>7</v>
      </c>
      <c r="G5819" s="9">
        <v>74</v>
      </c>
      <c r="H5819" s="5" t="s">
        <v>20</v>
      </c>
      <c r="I5819" s="5" t="s">
        <v>13349</v>
      </c>
      <c r="J5819" s="12" t="str">
        <f>HYPERLINK("https://www.boe.es/gazeta/dias/1805/01/22/pdfs/GMD-1805-7.pdf#page=6","Abrir facsímil")</f>
        <v>Abrir facsímil</v>
      </c>
      <c r="K5819" s="15" t="s">
        <v>22</v>
      </c>
    </row>
    <row r="5820" spans="1:11" ht="42" customHeight="1">
      <c r="A5820" s="4" t="s">
        <v>13350</v>
      </c>
      <c r="B5820" s="5" t="s">
        <v>13351</v>
      </c>
      <c r="C5820" s="5" t="s">
        <v>17</v>
      </c>
      <c r="D5820" s="5" t="s">
        <v>18</v>
      </c>
      <c r="E5820" s="5" t="s">
        <v>63</v>
      </c>
      <c r="F5820" s="9">
        <v>101</v>
      </c>
      <c r="G5820" s="9">
        <v>1092</v>
      </c>
      <c r="H5820" s="5" t="s">
        <v>20</v>
      </c>
      <c r="I5820" s="5" t="s">
        <v>13352</v>
      </c>
      <c r="J5820" s="12" t="str">
        <f>HYPERLINK("https://www.boe.es/gazeta/dias/1805/12/17/pdfs/GMD-1805-101.pdf#page=8","Abrir facsímil")</f>
        <v>Abrir facsímil</v>
      </c>
      <c r="K5820" s="15" t="s">
        <v>22</v>
      </c>
    </row>
    <row r="5821" spans="1:11" ht="42" customHeight="1">
      <c r="A5821" s="4" t="s">
        <v>13353</v>
      </c>
      <c r="B5821" s="5" t="s">
        <v>13354</v>
      </c>
      <c r="C5821" s="5" t="s">
        <v>85</v>
      </c>
      <c r="D5821" s="5" t="s">
        <v>86</v>
      </c>
      <c r="E5821" s="5" t="s">
        <v>99</v>
      </c>
      <c r="F5821" s="9">
        <v>83</v>
      </c>
      <c r="G5821" s="9">
        <v>882</v>
      </c>
      <c r="H5821" s="5" t="s">
        <v>20</v>
      </c>
      <c r="I5821" s="5" t="s">
        <v>13355</v>
      </c>
      <c r="J5821" s="12" t="str">
        <f>HYPERLINK("https://www.boe.es/gazeta/dias/1805/10/15/pdfs/GMD-1805-83.pdf#page=10","Abrir facsímil")</f>
        <v>Abrir facsímil</v>
      </c>
      <c r="K5821" s="15" t="s">
        <v>22</v>
      </c>
    </row>
    <row r="5822" spans="1:11" ht="42" customHeight="1">
      <c r="A5822" s="4" t="s">
        <v>13356</v>
      </c>
      <c r="B5822" s="5" t="s">
        <v>13357</v>
      </c>
      <c r="C5822" s="5" t="s">
        <v>184</v>
      </c>
      <c r="D5822" s="5" t="s">
        <v>86</v>
      </c>
      <c r="E5822" s="5" t="s">
        <v>293</v>
      </c>
      <c r="F5822" s="9">
        <v>5</v>
      </c>
      <c r="G5822" s="9">
        <v>53</v>
      </c>
      <c r="H5822" s="5" t="s">
        <v>20</v>
      </c>
      <c r="I5822" s="5" t="s">
        <v>13358</v>
      </c>
      <c r="J5822" s="12" t="str">
        <f>HYPERLINK("https://www.boe.es/gazeta/dias/1805/01/15/pdfs/GMD-1805-5.pdf#page=9","Abrir facsímil")</f>
        <v>Abrir facsímil</v>
      </c>
      <c r="K5822" s="15" t="s">
        <v>22</v>
      </c>
    </row>
    <row r="5823" spans="1:11" ht="42" customHeight="1">
      <c r="A5823" s="4" t="s">
        <v>13359</v>
      </c>
      <c r="B5823" s="5" t="s">
        <v>13360</v>
      </c>
      <c r="C5823" s="5" t="s">
        <v>17</v>
      </c>
      <c r="D5823" s="5" t="s">
        <v>18</v>
      </c>
      <c r="E5823" s="5" t="s">
        <v>76</v>
      </c>
      <c r="F5823" s="9">
        <v>66</v>
      </c>
      <c r="G5823" s="9">
        <v>707</v>
      </c>
      <c r="H5823" s="5" t="s">
        <v>20</v>
      </c>
      <c r="I5823" s="5" t="s">
        <v>13361</v>
      </c>
      <c r="J5823" s="12" t="str">
        <f>HYPERLINK("https://www.boe.es/gazeta/dias/1805/08/16/pdfs/GMD-1805-66.pdf#page=7","Abrir facsímil")</f>
        <v>Abrir facsímil</v>
      </c>
      <c r="K5823" s="15" t="s">
        <v>22</v>
      </c>
    </row>
    <row r="5824" spans="1:11" ht="42" customHeight="1">
      <c r="A5824" s="4" t="s">
        <v>13362</v>
      </c>
      <c r="B5824" s="5" t="s">
        <v>13362</v>
      </c>
      <c r="C5824" s="5" t="s">
        <v>17</v>
      </c>
      <c r="D5824" s="5" t="s">
        <v>18</v>
      </c>
      <c r="E5824" s="5" t="s">
        <v>471</v>
      </c>
      <c r="F5824" s="9">
        <v>22</v>
      </c>
      <c r="G5824" s="9">
        <v>234</v>
      </c>
      <c r="H5824" s="5" t="s">
        <v>20</v>
      </c>
      <c r="I5824" s="5" t="s">
        <v>13363</v>
      </c>
      <c r="J5824" s="12" t="str">
        <f>HYPERLINK("https://www.boe.es/gazeta/dias/1805/03/15/pdfs/GMD-1805-22.pdf#page=10","Abrir facsímil")</f>
        <v>Abrir facsímil</v>
      </c>
      <c r="K5824" s="15" t="s">
        <v>22</v>
      </c>
    </row>
    <row r="5825" spans="1:11" ht="42" customHeight="1">
      <c r="A5825" s="4" t="s">
        <v>13364</v>
      </c>
      <c r="B5825" s="5" t="s">
        <v>13364</v>
      </c>
      <c r="C5825" s="5" t="s">
        <v>35</v>
      </c>
      <c r="D5825" s="5" t="s">
        <v>36</v>
      </c>
      <c r="E5825" s="5" t="s">
        <v>276</v>
      </c>
      <c r="F5825" s="9">
        <v>51</v>
      </c>
      <c r="G5825" s="9">
        <v>552</v>
      </c>
      <c r="H5825" s="5" t="s">
        <v>20</v>
      </c>
      <c r="I5825" s="5" t="s">
        <v>13365</v>
      </c>
      <c r="J5825" s="12" t="str">
        <f>HYPERLINK("https://www.boe.es/gazeta/dias/1805/06/25/pdfs/GMD-1805-51.pdf#page=8","Abrir facsímil")</f>
        <v>Abrir facsímil</v>
      </c>
      <c r="K5825" s="15" t="s">
        <v>22</v>
      </c>
    </row>
    <row r="5826" spans="1:11" ht="42" customHeight="1">
      <c r="A5826" s="4" t="s">
        <v>13366</v>
      </c>
      <c r="B5826" s="5" t="s">
        <v>13366</v>
      </c>
      <c r="C5826" s="5" t="s">
        <v>17</v>
      </c>
      <c r="D5826" s="5" t="s">
        <v>18</v>
      </c>
      <c r="E5826" s="5" t="s">
        <v>495</v>
      </c>
      <c r="F5826" s="9">
        <v>103</v>
      </c>
      <c r="G5826" s="9">
        <v>1113</v>
      </c>
      <c r="H5826" s="5" t="s">
        <v>20</v>
      </c>
      <c r="I5826" s="5" t="s">
        <v>13367</v>
      </c>
      <c r="J5826" s="12" t="str">
        <f>HYPERLINK("https://www.boe.es/gazeta/dias/1805/12/24/pdfs/GMD-1805-103.pdf#page=5","Abrir facsímil")</f>
        <v>Abrir facsímil</v>
      </c>
      <c r="K5826" s="15" t="s">
        <v>22</v>
      </c>
    </row>
    <row r="5827" spans="1:11" ht="42" customHeight="1">
      <c r="A5827" s="4" t="s">
        <v>13368</v>
      </c>
      <c r="B5827" s="5" t="s">
        <v>13369</v>
      </c>
      <c r="C5827" s="5" t="s">
        <v>52</v>
      </c>
      <c r="D5827" s="5" t="s">
        <v>53</v>
      </c>
      <c r="E5827" s="5" t="s">
        <v>144</v>
      </c>
      <c r="F5827" s="9">
        <v>85</v>
      </c>
      <c r="G5827" s="9" t="s">
        <v>159</v>
      </c>
      <c r="H5827" s="5" t="s">
        <v>20</v>
      </c>
      <c r="I5827" s="5" t="s">
        <v>13370</v>
      </c>
      <c r="J5827" s="12" t="str">
        <f>HYPERLINK("https://www.boe.es/gazeta/dias/1805/10/22/pdfs/GMD-C-1805-85.pdf#page=3","Abrir facsímil")</f>
        <v>Abrir facsímil</v>
      </c>
      <c r="K5827" s="15" t="s">
        <v>22</v>
      </c>
    </row>
    <row r="5828" spans="1:11" ht="42" customHeight="1">
      <c r="A5828" s="4" t="s">
        <v>13371</v>
      </c>
      <c r="B5828" s="5" t="s">
        <v>13371</v>
      </c>
      <c r="C5828" s="5" t="s">
        <v>17</v>
      </c>
      <c r="D5828" s="5" t="s">
        <v>18</v>
      </c>
      <c r="E5828" s="5" t="s">
        <v>138</v>
      </c>
      <c r="F5828" s="9">
        <v>102</v>
      </c>
      <c r="G5828" s="9">
        <v>1103</v>
      </c>
      <c r="H5828" s="5" t="s">
        <v>20</v>
      </c>
      <c r="I5828" s="5" t="s">
        <v>13372</v>
      </c>
      <c r="J5828" s="12" t="str">
        <f>HYPERLINK("https://www.boe.es/gazeta/dias/1805/12/20/pdfs/GMD-1805-102.pdf#page=7","Abrir facsímil")</f>
        <v>Abrir facsímil</v>
      </c>
      <c r="K5828" s="15" t="s">
        <v>22</v>
      </c>
    </row>
    <row r="5829" spans="1:11" ht="42" customHeight="1">
      <c r="A5829" s="4" t="s">
        <v>13373</v>
      </c>
      <c r="B5829" s="5" t="s">
        <v>13374</v>
      </c>
      <c r="C5829" s="5" t="s">
        <v>35</v>
      </c>
      <c r="D5829" s="5" t="s">
        <v>36</v>
      </c>
      <c r="E5829" s="5" t="s">
        <v>539</v>
      </c>
      <c r="F5829" s="9">
        <v>97</v>
      </c>
      <c r="G5829" s="9">
        <v>1045</v>
      </c>
      <c r="H5829" s="5" t="s">
        <v>20</v>
      </c>
      <c r="I5829" s="5" t="s">
        <v>13375</v>
      </c>
      <c r="J5829" s="12" t="str">
        <f>HYPERLINK("https://www.boe.es/gazeta/dias/1805/12/03/pdfs/GMD-1805-97.pdf#page=9","Abrir facsímil")</f>
        <v>Abrir facsímil</v>
      </c>
      <c r="K5829" s="15" t="s">
        <v>22</v>
      </c>
    </row>
    <row r="5830" spans="1:11" ht="42" customHeight="1">
      <c r="A5830" s="4" t="s">
        <v>13376</v>
      </c>
      <c r="B5830" s="5" t="s">
        <v>13376</v>
      </c>
      <c r="C5830" s="5" t="s">
        <v>35</v>
      </c>
      <c r="D5830" s="5" t="s">
        <v>36</v>
      </c>
      <c r="E5830" s="5" t="s">
        <v>95</v>
      </c>
      <c r="F5830" s="9">
        <v>13</v>
      </c>
      <c r="G5830" s="9">
        <v>139</v>
      </c>
      <c r="H5830" s="5" t="s">
        <v>20</v>
      </c>
      <c r="I5830" s="5" t="s">
        <v>13377</v>
      </c>
      <c r="J5830" s="12" t="str">
        <f>HYPERLINK("https://www.boe.es/gazeta/dias/1805/02/12/pdfs/GMD-1805-13.pdf#page=7","Abrir facsímil")</f>
        <v>Abrir facsímil</v>
      </c>
      <c r="K5830" s="15" t="s">
        <v>22</v>
      </c>
    </row>
    <row r="5831" spans="1:11" ht="42" customHeight="1">
      <c r="A5831" s="4" t="s">
        <v>13378</v>
      </c>
      <c r="B5831" s="5" t="s">
        <v>13379</v>
      </c>
      <c r="C5831" s="5" t="s">
        <v>35</v>
      </c>
      <c r="D5831" s="5" t="s">
        <v>36</v>
      </c>
      <c r="E5831" s="5" t="s">
        <v>215</v>
      </c>
      <c r="F5831" s="9">
        <v>87</v>
      </c>
      <c r="G5831" s="9">
        <v>918</v>
      </c>
      <c r="H5831" s="5" t="s">
        <v>20</v>
      </c>
      <c r="I5831" s="5" t="s">
        <v>13380</v>
      </c>
      <c r="J5831" s="12" t="str">
        <f>HYPERLINK("https://www.boe.es/gazeta/dias/1805/10/29/pdfs/GMD-1805-87.pdf#page=2","Abrir facsímil")</f>
        <v>Abrir facsímil</v>
      </c>
      <c r="K5831" s="15" t="s">
        <v>22</v>
      </c>
    </row>
    <row r="5832" spans="1:11" ht="42" customHeight="1">
      <c r="A5832" s="4" t="s">
        <v>13381</v>
      </c>
      <c r="B5832" s="5" t="s">
        <v>13382</v>
      </c>
      <c r="C5832" s="5" t="s">
        <v>80</v>
      </c>
      <c r="D5832" s="5" t="s">
        <v>81</v>
      </c>
      <c r="E5832" s="5" t="s">
        <v>831</v>
      </c>
      <c r="F5832" s="9">
        <v>62</v>
      </c>
      <c r="G5832" s="9">
        <v>659</v>
      </c>
      <c r="H5832" s="5" t="s">
        <v>20</v>
      </c>
      <c r="I5832" s="5" t="s">
        <v>13383</v>
      </c>
      <c r="J5832" s="12" t="str">
        <f>HYPERLINK("https://www.boe.es/gazeta/dias/1805/08/02/pdfs/GMD-1805-62.pdf#page=3","Abrir facsímil")</f>
        <v>Abrir facsímil</v>
      </c>
      <c r="K5832" s="15" t="s">
        <v>22</v>
      </c>
    </row>
    <row r="5833" spans="1:11" ht="42" customHeight="1">
      <c r="A5833" s="4" t="s">
        <v>13384</v>
      </c>
      <c r="B5833" s="5" t="s">
        <v>13385</v>
      </c>
      <c r="C5833" s="5" t="s">
        <v>35</v>
      </c>
      <c r="D5833" s="5" t="s">
        <v>36</v>
      </c>
      <c r="E5833" s="5" t="s">
        <v>831</v>
      </c>
      <c r="F5833" s="9">
        <v>62</v>
      </c>
      <c r="G5833" s="9">
        <v>659</v>
      </c>
      <c r="H5833" s="5" t="s">
        <v>20</v>
      </c>
      <c r="I5833" s="5" t="s">
        <v>13386</v>
      </c>
      <c r="J5833" s="12" t="str">
        <f>HYPERLINK("https://www.boe.es/gazeta/dias/1805/08/02/pdfs/GMD-1805-62.pdf#page=3","Abrir facsímil")</f>
        <v>Abrir facsímil</v>
      </c>
      <c r="K5833" s="15" t="s">
        <v>22</v>
      </c>
    </row>
    <row r="5834" spans="1:11" ht="42" customHeight="1">
      <c r="A5834" s="4" t="s">
        <v>13387</v>
      </c>
      <c r="B5834" s="5" t="s">
        <v>13388</v>
      </c>
      <c r="C5834" s="5" t="s">
        <v>35</v>
      </c>
      <c r="D5834" s="5" t="s">
        <v>36</v>
      </c>
      <c r="E5834" s="5" t="s">
        <v>132</v>
      </c>
      <c r="F5834" s="9">
        <v>2</v>
      </c>
      <c r="G5834" s="9">
        <v>21</v>
      </c>
      <c r="H5834" s="5" t="s">
        <v>20</v>
      </c>
      <c r="I5834" s="5" t="s">
        <v>13389</v>
      </c>
      <c r="J5834" s="12" t="str">
        <f>HYPERLINK("https://www.boe.es/gazeta/dias/1805/01/04/pdfs/GMD-1805-2.pdf#page=9","Abrir facsímil")</f>
        <v>Abrir facsímil</v>
      </c>
      <c r="K5834" s="15" t="s">
        <v>22</v>
      </c>
    </row>
    <row r="5835" spans="1:11" ht="42" customHeight="1">
      <c r="A5835" s="4" t="s">
        <v>13390</v>
      </c>
      <c r="B5835" s="5" t="s">
        <v>13391</v>
      </c>
      <c r="C5835" s="5" t="s">
        <v>17</v>
      </c>
      <c r="D5835" s="5" t="s">
        <v>18</v>
      </c>
      <c r="E5835" s="5" t="s">
        <v>226</v>
      </c>
      <c r="F5835" s="9">
        <v>73</v>
      </c>
      <c r="G5835" s="9">
        <v>773</v>
      </c>
      <c r="H5835" s="5" t="s">
        <v>20</v>
      </c>
      <c r="I5835" s="5" t="s">
        <v>13392</v>
      </c>
      <c r="J5835" s="12" t="str">
        <f>HYPERLINK("https://www.boe.es/gazeta/dias/1805/09/10/pdfs/GMD-1805-73.pdf#page=5","Abrir facsímil")</f>
        <v>Abrir facsímil</v>
      </c>
      <c r="K5835" s="15" t="s">
        <v>22</v>
      </c>
    </row>
    <row r="5836" spans="1:11" ht="42" customHeight="1">
      <c r="A5836" s="4" t="s">
        <v>13393</v>
      </c>
      <c r="B5836" s="5" t="s">
        <v>13394</v>
      </c>
      <c r="C5836" s="5" t="s">
        <v>35</v>
      </c>
      <c r="D5836" s="5" t="s">
        <v>36</v>
      </c>
      <c r="E5836" s="5" t="s">
        <v>281</v>
      </c>
      <c r="F5836" s="9">
        <v>15</v>
      </c>
      <c r="G5836" s="9">
        <v>154</v>
      </c>
      <c r="H5836" s="5" t="s">
        <v>20</v>
      </c>
      <c r="I5836" s="5" t="s">
        <v>13395</v>
      </c>
      <c r="J5836" s="12" t="str">
        <f>HYPERLINK("https://www.boe.es/gazeta/dias/1805/02/19/pdfs/GMD-1805-15.pdf#page=6","Abrir facsímil")</f>
        <v>Abrir facsímil</v>
      </c>
      <c r="K5836" s="15" t="s">
        <v>22</v>
      </c>
    </row>
    <row r="5837" spans="1:11" ht="42" customHeight="1">
      <c r="A5837" s="4" t="s">
        <v>13396</v>
      </c>
      <c r="B5837" s="5" t="s">
        <v>13397</v>
      </c>
      <c r="C5837" s="5" t="s">
        <v>35</v>
      </c>
      <c r="D5837" s="5" t="s">
        <v>36</v>
      </c>
      <c r="E5837" s="5" t="s">
        <v>864</v>
      </c>
      <c r="F5837" s="9">
        <v>88</v>
      </c>
      <c r="G5837" s="9">
        <v>937</v>
      </c>
      <c r="H5837" s="5" t="s">
        <v>20</v>
      </c>
      <c r="I5837" s="5" t="s">
        <v>13398</v>
      </c>
      <c r="J5837" s="12" t="str">
        <f>HYPERLINK("https://www.boe.es/gazeta/dias/1805/11/01/pdfs/GMD-1805-88.pdf#page=9","Abrir facsímil")</f>
        <v>Abrir facsímil</v>
      </c>
      <c r="K5837" s="15" t="s">
        <v>22</v>
      </c>
    </row>
    <row r="5838" spans="1:11" ht="42" customHeight="1">
      <c r="A5838" s="4" t="s">
        <v>13399</v>
      </c>
      <c r="B5838" s="5" t="s">
        <v>13399</v>
      </c>
      <c r="C5838" s="5" t="s">
        <v>17</v>
      </c>
      <c r="D5838" s="5" t="s">
        <v>18</v>
      </c>
      <c r="E5838" s="5" t="s">
        <v>200</v>
      </c>
      <c r="F5838" s="9">
        <v>91</v>
      </c>
      <c r="G5838" s="9">
        <v>977</v>
      </c>
      <c r="H5838" s="5" t="s">
        <v>20</v>
      </c>
      <c r="I5838" s="5" t="s">
        <v>13400</v>
      </c>
      <c r="J5838" s="12" t="str">
        <f>HYPERLINK("https://www.boe.es/gazeta/dias/1805/11/12/pdfs/GMD-1805-91.pdf#page=9","Abrir facsímil")</f>
        <v>Abrir facsímil</v>
      </c>
      <c r="K5838" s="15" t="s">
        <v>22</v>
      </c>
    </row>
    <row r="5839" spans="1:11" ht="42" customHeight="1">
      <c r="A5839" s="4" t="s">
        <v>13401</v>
      </c>
      <c r="B5839" s="5" t="s">
        <v>13401</v>
      </c>
      <c r="C5839" s="5" t="s">
        <v>29</v>
      </c>
      <c r="D5839" s="5" t="s">
        <v>30</v>
      </c>
      <c r="E5839" s="5" t="s">
        <v>122</v>
      </c>
      <c r="F5839" s="9">
        <v>38</v>
      </c>
      <c r="G5839" s="9">
        <v>412</v>
      </c>
      <c r="H5839" s="5" t="s">
        <v>20</v>
      </c>
      <c r="I5839" s="5" t="s">
        <v>13402</v>
      </c>
      <c r="J5839" s="12" t="str">
        <f>HYPERLINK("https://www.boe.es/gazeta/dias/1805/05/10/pdfs/GMD-1805-38.pdf#page=8","Abrir facsímil")</f>
        <v>Abrir facsímil</v>
      </c>
      <c r="K5839" s="15" t="s">
        <v>22</v>
      </c>
    </row>
    <row r="5840" spans="1:11" ht="42" customHeight="1">
      <c r="A5840" s="4" t="s">
        <v>13403</v>
      </c>
      <c r="B5840" s="5" t="s">
        <v>13404</v>
      </c>
      <c r="C5840" s="5" t="s">
        <v>85</v>
      </c>
      <c r="D5840" s="5" t="s">
        <v>86</v>
      </c>
      <c r="E5840" s="5" t="s">
        <v>567</v>
      </c>
      <c r="F5840" s="9">
        <v>49</v>
      </c>
      <c r="G5840" s="9">
        <v>530</v>
      </c>
      <c r="H5840" s="5" t="s">
        <v>20</v>
      </c>
      <c r="I5840" s="5" t="s">
        <v>13405</v>
      </c>
      <c r="J5840" s="12" t="str">
        <f>HYPERLINK("https://www.boe.es/gazeta/dias/1805/06/18/pdfs/GMD-1805-49.pdf#page=6","Abrir facsímil")</f>
        <v>Abrir facsímil</v>
      </c>
      <c r="K5840" s="15" t="s">
        <v>22</v>
      </c>
    </row>
    <row r="5841" spans="1:11" ht="42" customHeight="1">
      <c r="A5841" s="4" t="s">
        <v>13406</v>
      </c>
      <c r="B5841" s="5" t="s">
        <v>13406</v>
      </c>
      <c r="C5841" s="5" t="s">
        <v>17</v>
      </c>
      <c r="D5841" s="5" t="s">
        <v>18</v>
      </c>
      <c r="E5841" s="5" t="s">
        <v>27</v>
      </c>
      <c r="F5841" s="9">
        <v>37</v>
      </c>
      <c r="G5841" s="9">
        <v>401</v>
      </c>
      <c r="H5841" s="5" t="s">
        <v>20</v>
      </c>
      <c r="I5841" s="5" t="s">
        <v>13407</v>
      </c>
      <c r="J5841" s="12" t="str">
        <f>HYPERLINK("https://www.boe.es/gazeta/dias/1805/05/07/pdfs/GMD-1805-37.pdf#page=9","Abrir facsímil")</f>
        <v>Abrir facsímil</v>
      </c>
      <c r="K5841" s="15" t="s">
        <v>22</v>
      </c>
    </row>
    <row r="5842" spans="1:11" ht="42" customHeight="1">
      <c r="A5842" s="4" t="s">
        <v>13408</v>
      </c>
      <c r="B5842" s="5" t="s">
        <v>13408</v>
      </c>
      <c r="C5842" s="5" t="s">
        <v>17</v>
      </c>
      <c r="D5842" s="5" t="s">
        <v>18</v>
      </c>
      <c r="E5842" s="5" t="s">
        <v>63</v>
      </c>
      <c r="F5842" s="9">
        <v>101</v>
      </c>
      <c r="G5842" s="9">
        <v>1091</v>
      </c>
      <c r="H5842" s="5" t="s">
        <v>20</v>
      </c>
      <c r="I5842" s="5" t="s">
        <v>13409</v>
      </c>
      <c r="J5842" s="12" t="str">
        <f>HYPERLINK("https://www.boe.es/gazeta/dias/1805/12/17/pdfs/GMD-1805-101.pdf#page=7","Abrir facsímil")</f>
        <v>Abrir facsímil</v>
      </c>
      <c r="K5842" s="15" t="s">
        <v>22</v>
      </c>
    </row>
    <row r="5843" spans="1:11" ht="42" customHeight="1">
      <c r="A5843" s="4" t="s">
        <v>13410</v>
      </c>
      <c r="B5843" s="5" t="s">
        <v>13410</v>
      </c>
      <c r="C5843" s="5" t="s">
        <v>17</v>
      </c>
      <c r="D5843" s="5" t="s">
        <v>18</v>
      </c>
      <c r="E5843" s="5" t="s">
        <v>181</v>
      </c>
      <c r="F5843" s="9">
        <v>90</v>
      </c>
      <c r="G5843" s="9">
        <v>967</v>
      </c>
      <c r="H5843" s="5" t="s">
        <v>20</v>
      </c>
      <c r="I5843" s="5" t="s">
        <v>13411</v>
      </c>
      <c r="J5843" s="12" t="str">
        <f>HYPERLINK("https://www.boe.es/gazeta/dias/1805/11/08/pdfs/GMD-1805-90.pdf#page=11","Abrir facsímil")</f>
        <v>Abrir facsímil</v>
      </c>
      <c r="K5843" s="15" t="s">
        <v>22</v>
      </c>
    </row>
    <row r="5844" spans="1:11" ht="42" customHeight="1">
      <c r="A5844" s="4" t="s">
        <v>13410</v>
      </c>
      <c r="B5844" s="5" t="s">
        <v>13410</v>
      </c>
      <c r="C5844" s="5" t="s">
        <v>17</v>
      </c>
      <c r="D5844" s="5" t="s">
        <v>18</v>
      </c>
      <c r="E5844" s="5" t="s">
        <v>138</v>
      </c>
      <c r="F5844" s="9">
        <v>102</v>
      </c>
      <c r="G5844" s="9">
        <v>1107</v>
      </c>
      <c r="H5844" s="5" t="s">
        <v>20</v>
      </c>
      <c r="I5844" s="5" t="s">
        <v>13412</v>
      </c>
      <c r="J5844" s="12" t="str">
        <f>HYPERLINK("https://www.boe.es/gazeta/dias/1805/12/20/pdfs/GMD-1805-102.pdf#page=11","Abrir facsímil")</f>
        <v>Abrir facsímil</v>
      </c>
      <c r="K5844" s="15" t="s">
        <v>22</v>
      </c>
    </row>
    <row r="5845" spans="1:11" ht="42" customHeight="1">
      <c r="A5845" s="4" t="s">
        <v>13413</v>
      </c>
      <c r="B5845" s="5" t="s">
        <v>13413</v>
      </c>
      <c r="C5845" s="5" t="s">
        <v>17</v>
      </c>
      <c r="D5845" s="5" t="s">
        <v>18</v>
      </c>
      <c r="E5845" s="5" t="s">
        <v>44</v>
      </c>
      <c r="F5845" s="9">
        <v>29</v>
      </c>
      <c r="G5845" s="9">
        <v>315</v>
      </c>
      <c r="H5845" s="5" t="s">
        <v>20</v>
      </c>
      <c r="I5845" s="5" t="s">
        <v>13414</v>
      </c>
      <c r="J5845" s="12" t="str">
        <f>HYPERLINK("https://www.boe.es/gazeta/dias/1805/04/09/pdfs/GMD-1805-29.pdf#page=11","Abrir facsímil")</f>
        <v>Abrir facsímil</v>
      </c>
      <c r="K5845" s="15" t="s">
        <v>22</v>
      </c>
    </row>
    <row r="5846" spans="1:11" ht="42" customHeight="1">
      <c r="A5846" s="4" t="s">
        <v>13415</v>
      </c>
      <c r="B5846" s="5" t="s">
        <v>13415</v>
      </c>
      <c r="C5846" s="5" t="s">
        <v>17</v>
      </c>
      <c r="D5846" s="5" t="s">
        <v>18</v>
      </c>
      <c r="E5846" s="5" t="s">
        <v>196</v>
      </c>
      <c r="F5846" s="9">
        <v>67</v>
      </c>
      <c r="G5846" s="9">
        <v>717</v>
      </c>
      <c r="H5846" s="5" t="s">
        <v>20</v>
      </c>
      <c r="I5846" s="5" t="s">
        <v>13416</v>
      </c>
      <c r="J5846" s="12" t="str">
        <f>HYPERLINK("https://www.boe.es/gazeta/dias/1805/08/20/pdfs/GMD-1805-67.pdf#page=5","Abrir facsímil")</f>
        <v>Abrir facsímil</v>
      </c>
      <c r="K5846" s="15" t="s">
        <v>22</v>
      </c>
    </row>
    <row r="5847" spans="1:11" ht="42" customHeight="1">
      <c r="A5847" s="4" t="s">
        <v>13417</v>
      </c>
      <c r="B5847" s="5" t="s">
        <v>13418</v>
      </c>
      <c r="C5847" s="5" t="s">
        <v>184</v>
      </c>
      <c r="D5847" s="5" t="s">
        <v>86</v>
      </c>
      <c r="E5847" s="5" t="s">
        <v>733</v>
      </c>
      <c r="F5847" s="9">
        <v>45</v>
      </c>
      <c r="G5847" s="9">
        <v>487</v>
      </c>
      <c r="H5847" s="5" t="s">
        <v>20</v>
      </c>
      <c r="I5847" s="5" t="s">
        <v>13419</v>
      </c>
      <c r="J5847" s="12" t="str">
        <f>HYPERLINK("https://www.boe.es/gazeta/dias/1805/06/04/pdfs/GMD-1805-45.pdf#page=11","Abrir facsímil")</f>
        <v>Abrir facsímil</v>
      </c>
      <c r="K5847" s="15" t="s">
        <v>22</v>
      </c>
    </row>
    <row r="5848" spans="1:11" ht="42" customHeight="1">
      <c r="A5848" s="4" t="s">
        <v>13420</v>
      </c>
      <c r="B5848" s="5" t="s">
        <v>13421</v>
      </c>
      <c r="C5848" s="5" t="s">
        <v>35</v>
      </c>
      <c r="D5848" s="5" t="s">
        <v>36</v>
      </c>
      <c r="E5848" s="5" t="s">
        <v>1471</v>
      </c>
      <c r="F5848" s="9">
        <v>34</v>
      </c>
      <c r="G5848" s="9">
        <v>361</v>
      </c>
      <c r="H5848" s="5" t="s">
        <v>20</v>
      </c>
      <c r="I5848" s="5" t="s">
        <v>13422</v>
      </c>
      <c r="J5848" s="12" t="str">
        <f>HYPERLINK("https://www.boe.es/gazeta/dias/1805/04/26/pdfs/GMD-1805-34.pdf#page=5","Abrir facsímil")</f>
        <v>Abrir facsímil</v>
      </c>
      <c r="K5848" s="15" t="s">
        <v>22</v>
      </c>
    </row>
    <row r="5849" spans="1:11" ht="42" customHeight="1">
      <c r="A5849" s="4" t="s">
        <v>13423</v>
      </c>
      <c r="B5849" s="5" t="s">
        <v>13424</v>
      </c>
      <c r="C5849" s="5" t="s">
        <v>35</v>
      </c>
      <c r="D5849" s="5" t="s">
        <v>36</v>
      </c>
      <c r="E5849" s="5" t="s">
        <v>207</v>
      </c>
      <c r="F5849" s="9">
        <v>76</v>
      </c>
      <c r="G5849" s="9">
        <v>806</v>
      </c>
      <c r="H5849" s="5" t="s">
        <v>20</v>
      </c>
      <c r="I5849" s="5" t="s">
        <v>13425</v>
      </c>
      <c r="J5849" s="12" t="str">
        <f>HYPERLINK("https://www.boe.es/gazeta/dias/1805/09/20/pdfs/GMD-1805-76.pdf#page=6","Abrir facsímil")</f>
        <v>Abrir facsímil</v>
      </c>
      <c r="K5849" s="15" t="s">
        <v>22</v>
      </c>
    </row>
    <row r="5850" spans="1:11" ht="42" customHeight="1">
      <c r="A5850" s="4" t="s">
        <v>13426</v>
      </c>
      <c r="B5850" s="5" t="s">
        <v>13427</v>
      </c>
      <c r="C5850" s="5" t="s">
        <v>17</v>
      </c>
      <c r="D5850" s="5" t="s">
        <v>18</v>
      </c>
      <c r="E5850" s="5" t="s">
        <v>63</v>
      </c>
      <c r="F5850" s="9">
        <v>101</v>
      </c>
      <c r="G5850" s="9">
        <v>1092</v>
      </c>
      <c r="H5850" s="5" t="s">
        <v>20</v>
      </c>
      <c r="I5850" s="5" t="s">
        <v>13428</v>
      </c>
      <c r="J5850" s="12" t="str">
        <f>HYPERLINK("https://www.boe.es/gazeta/dias/1805/12/17/pdfs/GMD-1805-101.pdf#page=8","Abrir facsímil")</f>
        <v>Abrir facsímil</v>
      </c>
      <c r="K5850" s="15" t="s">
        <v>22</v>
      </c>
    </row>
    <row r="5851" spans="1:11" ht="42" customHeight="1">
      <c r="A5851" s="4" t="s">
        <v>13429</v>
      </c>
      <c r="B5851" s="5" t="s">
        <v>13430</v>
      </c>
      <c r="C5851" s="5" t="s">
        <v>35</v>
      </c>
      <c r="D5851" s="5" t="s">
        <v>36</v>
      </c>
      <c r="E5851" s="5" t="s">
        <v>539</v>
      </c>
      <c r="F5851" s="9">
        <v>97</v>
      </c>
      <c r="G5851" s="9">
        <v>1045</v>
      </c>
      <c r="H5851" s="5" t="s">
        <v>20</v>
      </c>
      <c r="I5851" s="5" t="s">
        <v>13431</v>
      </c>
      <c r="J5851" s="12" t="str">
        <f>HYPERLINK("https://www.boe.es/gazeta/dias/1805/12/03/pdfs/GMD-1805-97.pdf#page=9","Abrir facsímil")</f>
        <v>Abrir facsímil</v>
      </c>
      <c r="K5851" s="15" t="s">
        <v>22</v>
      </c>
    </row>
    <row r="5852" spans="1:11" ht="42" customHeight="1">
      <c r="A5852" s="4" t="s">
        <v>13432</v>
      </c>
      <c r="B5852" s="5" t="s">
        <v>13433</v>
      </c>
      <c r="C5852" s="5" t="s">
        <v>35</v>
      </c>
      <c r="D5852" s="5" t="s">
        <v>36</v>
      </c>
      <c r="E5852" s="5" t="s">
        <v>63</v>
      </c>
      <c r="F5852" s="9">
        <v>101</v>
      </c>
      <c r="G5852" s="9">
        <v>1092</v>
      </c>
      <c r="H5852" s="5" t="s">
        <v>20</v>
      </c>
      <c r="I5852" s="5" t="s">
        <v>13434</v>
      </c>
      <c r="J5852" s="12" t="str">
        <f>HYPERLINK("https://www.boe.es/gazeta/dias/1805/12/17/pdfs/GMD-1805-101.pdf#page=8","Abrir facsímil")</f>
        <v>Abrir facsímil</v>
      </c>
      <c r="K5852" s="15" t="s">
        <v>22</v>
      </c>
    </row>
    <row r="5853" spans="1:11" ht="42" customHeight="1">
      <c r="A5853" s="4" t="s">
        <v>13435</v>
      </c>
      <c r="B5853" s="5" t="s">
        <v>13436</v>
      </c>
      <c r="C5853" s="5" t="s">
        <v>35</v>
      </c>
      <c r="D5853" s="5" t="s">
        <v>36</v>
      </c>
      <c r="E5853" s="5" t="s">
        <v>59</v>
      </c>
      <c r="F5853" s="9">
        <v>21</v>
      </c>
      <c r="G5853" s="9">
        <v>220</v>
      </c>
      <c r="H5853" s="5" t="s">
        <v>20</v>
      </c>
      <c r="I5853" s="5" t="s">
        <v>13437</v>
      </c>
      <c r="J5853" s="12" t="str">
        <f>HYPERLINK("https://www.boe.es/gazeta/dias/1805/03/12/pdfs/GMD-1805-21.pdf#page=8","Abrir facsímil")</f>
        <v>Abrir facsímil</v>
      </c>
      <c r="K5853" s="15" t="s">
        <v>22</v>
      </c>
    </row>
    <row r="5854" spans="1:11" ht="42" customHeight="1">
      <c r="A5854" s="4" t="s">
        <v>13438</v>
      </c>
      <c r="B5854" s="5" t="s">
        <v>13439</v>
      </c>
      <c r="C5854" s="5" t="s">
        <v>35</v>
      </c>
      <c r="D5854" s="5" t="s">
        <v>36</v>
      </c>
      <c r="E5854" s="5" t="s">
        <v>286</v>
      </c>
      <c r="F5854" s="9">
        <v>48</v>
      </c>
      <c r="G5854" s="9">
        <v>521</v>
      </c>
      <c r="H5854" s="5" t="s">
        <v>20</v>
      </c>
      <c r="I5854" s="5" t="s">
        <v>13440</v>
      </c>
      <c r="J5854" s="12" t="str">
        <f>HYPERLINK("https://www.boe.es/gazeta/dias/1805/06/14/pdfs/GMD-1805-48.pdf#page=9","Abrir facsímil")</f>
        <v>Abrir facsímil</v>
      </c>
      <c r="K5854" s="15" t="s">
        <v>22</v>
      </c>
    </row>
    <row r="5855" spans="1:11" ht="42" customHeight="1">
      <c r="A5855" s="4" t="s">
        <v>13441</v>
      </c>
      <c r="B5855" s="5" t="s">
        <v>13442</v>
      </c>
      <c r="C5855" s="5" t="s">
        <v>35</v>
      </c>
      <c r="D5855" s="5" t="s">
        <v>36</v>
      </c>
      <c r="E5855" s="5" t="s">
        <v>103</v>
      </c>
      <c r="F5855" s="9">
        <v>30</v>
      </c>
      <c r="G5855" s="9">
        <v>323</v>
      </c>
      <c r="H5855" s="5" t="s">
        <v>20</v>
      </c>
      <c r="I5855" s="5" t="s">
        <v>13443</v>
      </c>
      <c r="J5855" s="12" t="str">
        <f>HYPERLINK("https://www.boe.es/gazeta/dias/1805/04/12/pdfs/GMD-1805-30.pdf#page=7","Abrir facsímil")</f>
        <v>Abrir facsímil</v>
      </c>
      <c r="K5855" s="15" t="s">
        <v>22</v>
      </c>
    </row>
    <row r="5856" spans="1:11" ht="42" customHeight="1">
      <c r="A5856" s="4" t="s">
        <v>13444</v>
      </c>
      <c r="B5856" s="5" t="s">
        <v>13445</v>
      </c>
      <c r="C5856" s="5" t="s">
        <v>35</v>
      </c>
      <c r="D5856" s="5" t="s">
        <v>36</v>
      </c>
      <c r="E5856" s="5" t="s">
        <v>850</v>
      </c>
      <c r="F5856" s="9">
        <v>42</v>
      </c>
      <c r="G5856" s="9">
        <v>453</v>
      </c>
      <c r="H5856" s="5" t="s">
        <v>20</v>
      </c>
      <c r="I5856" s="5" t="s">
        <v>13446</v>
      </c>
      <c r="J5856" s="12" t="str">
        <f>HYPERLINK("https://www.boe.es/gazeta/dias/1805/05/24/pdfs/GMD-1805-42.pdf#page=9","Abrir facsímil")</f>
        <v>Abrir facsímil</v>
      </c>
      <c r="K5856" s="15" t="s">
        <v>22</v>
      </c>
    </row>
    <row r="5857" spans="1:11" ht="42" customHeight="1">
      <c r="A5857" s="4" t="s">
        <v>13447</v>
      </c>
      <c r="B5857" s="5" t="s">
        <v>13448</v>
      </c>
      <c r="C5857" s="5" t="s">
        <v>17</v>
      </c>
      <c r="D5857" s="5" t="s">
        <v>18</v>
      </c>
      <c r="E5857" s="5" t="s">
        <v>132</v>
      </c>
      <c r="F5857" s="9">
        <v>2</v>
      </c>
      <c r="G5857" s="9">
        <v>21</v>
      </c>
      <c r="H5857" s="5" t="s">
        <v>20</v>
      </c>
      <c r="I5857" s="5" t="s">
        <v>13449</v>
      </c>
      <c r="J5857" s="12" t="str">
        <f>HYPERLINK("https://www.boe.es/gazeta/dias/1805/01/04/pdfs/GMD-1805-2.pdf#page=9","Abrir facsímil")</f>
        <v>Abrir facsímil</v>
      </c>
      <c r="K5857" s="15" t="s">
        <v>22</v>
      </c>
    </row>
    <row r="5858" spans="1:11" ht="42" customHeight="1">
      <c r="A5858" s="4" t="s">
        <v>13450</v>
      </c>
      <c r="B5858" s="5" t="s">
        <v>13450</v>
      </c>
      <c r="C5858" s="5" t="s">
        <v>35</v>
      </c>
      <c r="D5858" s="5" t="s">
        <v>36</v>
      </c>
      <c r="E5858" s="5" t="s">
        <v>44</v>
      </c>
      <c r="F5858" s="9">
        <v>29</v>
      </c>
      <c r="G5858" s="9">
        <v>314</v>
      </c>
      <c r="H5858" s="5" t="s">
        <v>20</v>
      </c>
      <c r="I5858" s="5" t="s">
        <v>13451</v>
      </c>
      <c r="J5858" s="12" t="str">
        <f>HYPERLINK("https://www.boe.es/gazeta/dias/1805/04/09/pdfs/GMD-1805-29.pdf#page=10","Abrir facsímil")</f>
        <v>Abrir facsímil</v>
      </c>
      <c r="K5858" s="15" t="s">
        <v>22</v>
      </c>
    </row>
    <row r="5859" spans="1:11" ht="42" customHeight="1">
      <c r="A5859" s="4" t="s">
        <v>13452</v>
      </c>
      <c r="B5859" s="5" t="s">
        <v>13452</v>
      </c>
      <c r="C5859" s="5" t="s">
        <v>17</v>
      </c>
      <c r="D5859" s="5" t="s">
        <v>18</v>
      </c>
      <c r="E5859" s="5" t="s">
        <v>148</v>
      </c>
      <c r="F5859" s="9">
        <v>50</v>
      </c>
      <c r="G5859" s="9">
        <v>543</v>
      </c>
      <c r="H5859" s="5" t="s">
        <v>20</v>
      </c>
      <c r="I5859" s="5" t="s">
        <v>13453</v>
      </c>
      <c r="J5859" s="12" t="str">
        <f>HYPERLINK("https://www.boe.es/gazeta/dias/1805/06/21/pdfs/GMD-1805-50.pdf#page=11","Abrir facsímil")</f>
        <v>Abrir facsímil</v>
      </c>
      <c r="K5859" s="15" t="s">
        <v>22</v>
      </c>
    </row>
    <row r="5860" spans="1:11" ht="42" customHeight="1">
      <c r="A5860" s="4" t="s">
        <v>13454</v>
      </c>
      <c r="B5860" s="5" t="s">
        <v>13454</v>
      </c>
      <c r="C5860" s="5" t="s">
        <v>85</v>
      </c>
      <c r="D5860" s="5" t="s">
        <v>86</v>
      </c>
      <c r="E5860" s="5" t="s">
        <v>192</v>
      </c>
      <c r="F5860" s="9">
        <v>105</v>
      </c>
      <c r="G5860" s="9">
        <v>1138</v>
      </c>
      <c r="H5860" s="5" t="s">
        <v>20</v>
      </c>
      <c r="I5860" s="5" t="s">
        <v>13455</v>
      </c>
      <c r="J5860" s="12" t="str">
        <f>HYPERLINK("https://www.boe.es/gazeta/dias/1805/12/31/pdfs/GMD-1805-105.pdf#page=10","Abrir facsímil")</f>
        <v>Abrir facsímil</v>
      </c>
      <c r="K5860" s="15" t="s">
        <v>22</v>
      </c>
    </row>
    <row r="5861" spans="1:11" ht="42" customHeight="1">
      <c r="A5861" s="4" t="s">
        <v>13456</v>
      </c>
      <c r="B5861" s="5" t="s">
        <v>13456</v>
      </c>
      <c r="C5861" s="5" t="s">
        <v>35</v>
      </c>
      <c r="D5861" s="5" t="s">
        <v>36</v>
      </c>
      <c r="E5861" s="5" t="s">
        <v>95</v>
      </c>
      <c r="F5861" s="9">
        <v>13</v>
      </c>
      <c r="G5861" s="9">
        <v>139</v>
      </c>
      <c r="H5861" s="5" t="s">
        <v>20</v>
      </c>
      <c r="I5861" s="5" t="s">
        <v>13457</v>
      </c>
      <c r="J5861" s="12" t="str">
        <f>HYPERLINK("https://www.boe.es/gazeta/dias/1805/02/12/pdfs/GMD-1805-13.pdf#page=7","Abrir facsímil")</f>
        <v>Abrir facsímil</v>
      </c>
      <c r="K5861" s="15" t="s">
        <v>22</v>
      </c>
    </row>
    <row r="5862" spans="1:11" ht="42" customHeight="1">
      <c r="A5862" s="4" t="s">
        <v>13458</v>
      </c>
      <c r="B5862" s="5" t="s">
        <v>13458</v>
      </c>
      <c r="C5862" s="5" t="s">
        <v>184</v>
      </c>
      <c r="D5862" s="5" t="s">
        <v>86</v>
      </c>
      <c r="E5862" s="5" t="s">
        <v>181</v>
      </c>
      <c r="F5862" s="9">
        <v>90</v>
      </c>
      <c r="G5862" s="9">
        <v>965</v>
      </c>
      <c r="H5862" s="5" t="s">
        <v>20</v>
      </c>
      <c r="I5862" s="5" t="s">
        <v>13459</v>
      </c>
      <c r="J5862" s="12" t="str">
        <f>HYPERLINK("https://www.boe.es/gazeta/dias/1805/11/08/pdfs/GMD-1805-90.pdf#page=9","Abrir facsímil")</f>
        <v>Abrir facsímil</v>
      </c>
      <c r="K5862" s="15" t="s">
        <v>22</v>
      </c>
    </row>
    <row r="5863" spans="1:11" ht="42" customHeight="1">
      <c r="A5863" s="4" t="s">
        <v>13460</v>
      </c>
      <c r="B5863" s="5" t="s">
        <v>13460</v>
      </c>
      <c r="C5863" s="5" t="s">
        <v>17</v>
      </c>
      <c r="D5863" s="5" t="s">
        <v>18</v>
      </c>
      <c r="E5863" s="5" t="s">
        <v>729</v>
      </c>
      <c r="F5863" s="9">
        <v>61</v>
      </c>
      <c r="G5863" s="9">
        <v>655</v>
      </c>
      <c r="H5863" s="5" t="s">
        <v>20</v>
      </c>
      <c r="I5863" s="5" t="s">
        <v>13461</v>
      </c>
      <c r="J5863" s="12" t="str">
        <f>HYPERLINK("https://www.boe.es/gazeta/dias/1805/07/30/pdfs/GMD-1805-61.pdf#page=7","Abrir facsímil")</f>
        <v>Abrir facsímil</v>
      </c>
      <c r="K5863" s="15" t="s">
        <v>22</v>
      </c>
    </row>
    <row r="5864" spans="1:11" ht="42" customHeight="1">
      <c r="A5864" s="4" t="s">
        <v>13462</v>
      </c>
      <c r="B5864" s="5" t="s">
        <v>13462</v>
      </c>
      <c r="C5864" s="5" t="s">
        <v>29</v>
      </c>
      <c r="D5864" s="5" t="s">
        <v>30</v>
      </c>
      <c r="E5864" s="5" t="s">
        <v>567</v>
      </c>
      <c r="F5864" s="9">
        <v>49</v>
      </c>
      <c r="G5864" s="9">
        <v>526</v>
      </c>
      <c r="H5864" s="5" t="s">
        <v>20</v>
      </c>
      <c r="I5864" s="5" t="s">
        <v>13463</v>
      </c>
      <c r="J5864" s="12" t="str">
        <f>HYPERLINK("https://www.boe.es/gazeta/dias/1805/06/18/pdfs/GMD-1805-49.pdf#page=2","Abrir facsímil")</f>
        <v>Abrir facsímil</v>
      </c>
      <c r="K5864" s="15" t="s">
        <v>22</v>
      </c>
    </row>
    <row r="5865" spans="1:11" ht="42" customHeight="1">
      <c r="A5865" s="4" t="s">
        <v>13464</v>
      </c>
      <c r="B5865" s="5" t="s">
        <v>13464</v>
      </c>
      <c r="C5865" s="5" t="s">
        <v>35</v>
      </c>
      <c r="D5865" s="5" t="s">
        <v>36</v>
      </c>
      <c r="E5865" s="5" t="s">
        <v>170</v>
      </c>
      <c r="F5865" s="9">
        <v>9</v>
      </c>
      <c r="G5865" s="9">
        <v>103</v>
      </c>
      <c r="H5865" s="5" t="s">
        <v>20</v>
      </c>
      <c r="I5865" s="5" t="s">
        <v>13465</v>
      </c>
      <c r="J5865" s="12" t="str">
        <f>HYPERLINK("https://www.boe.es/gazeta/dias/1805/01/29/pdfs/GMD-1805-9.pdf#page=11","Abrir facsímil")</f>
        <v>Abrir facsímil</v>
      </c>
      <c r="K5865" s="15" t="s">
        <v>22</v>
      </c>
    </row>
    <row r="5866" spans="1:11" ht="42" customHeight="1">
      <c r="A5866" s="4" t="s">
        <v>13466</v>
      </c>
      <c r="B5866" s="5" t="s">
        <v>13466</v>
      </c>
      <c r="C5866" s="5" t="s">
        <v>17</v>
      </c>
      <c r="D5866" s="5" t="s">
        <v>18</v>
      </c>
      <c r="E5866" s="5" t="s">
        <v>495</v>
      </c>
      <c r="F5866" s="9">
        <v>103</v>
      </c>
      <c r="G5866" s="9">
        <v>1115</v>
      </c>
      <c r="H5866" s="5" t="s">
        <v>20</v>
      </c>
      <c r="I5866" s="5" t="s">
        <v>13467</v>
      </c>
      <c r="J5866" s="12" t="str">
        <f>HYPERLINK("https://www.boe.es/gazeta/dias/1805/12/24/pdfs/GMD-1805-103.pdf#page=7","Abrir facsímil")</f>
        <v>Abrir facsímil</v>
      </c>
      <c r="K5866" s="15" t="s">
        <v>22</v>
      </c>
    </row>
    <row r="5867" spans="1:11" ht="42" customHeight="1">
      <c r="A5867" s="4" t="s">
        <v>13468</v>
      </c>
      <c r="B5867" s="5" t="s">
        <v>13468</v>
      </c>
      <c r="C5867" s="5" t="s">
        <v>17</v>
      </c>
      <c r="D5867" s="5" t="s">
        <v>18</v>
      </c>
      <c r="E5867" s="5" t="s">
        <v>63</v>
      </c>
      <c r="F5867" s="9">
        <v>101</v>
      </c>
      <c r="G5867" s="9">
        <v>1091</v>
      </c>
      <c r="H5867" s="5" t="s">
        <v>20</v>
      </c>
      <c r="I5867" s="5" t="s">
        <v>13469</v>
      </c>
      <c r="J5867" s="12" t="str">
        <f>HYPERLINK("https://www.boe.es/gazeta/dias/1805/12/17/pdfs/GMD-1805-101.pdf#page=7","Abrir facsímil")</f>
        <v>Abrir facsímil</v>
      </c>
      <c r="K5867" s="15" t="s">
        <v>22</v>
      </c>
    </row>
    <row r="5868" spans="1:11" ht="42" customHeight="1">
      <c r="A5868" s="4" t="s">
        <v>13468</v>
      </c>
      <c r="B5868" s="5" t="s">
        <v>13468</v>
      </c>
      <c r="C5868" s="5" t="s">
        <v>17</v>
      </c>
      <c r="D5868" s="5" t="s">
        <v>18</v>
      </c>
      <c r="E5868" s="5" t="s">
        <v>495</v>
      </c>
      <c r="F5868" s="9">
        <v>103</v>
      </c>
      <c r="G5868" s="9">
        <v>1115</v>
      </c>
      <c r="H5868" s="5" t="s">
        <v>20</v>
      </c>
      <c r="I5868" s="5" t="s">
        <v>13470</v>
      </c>
      <c r="J5868" s="12" t="str">
        <f>HYPERLINK("https://www.boe.es/gazeta/dias/1805/12/24/pdfs/GMD-1805-103.pdf#page=7","Abrir facsímil")</f>
        <v>Abrir facsímil</v>
      </c>
      <c r="K5868" s="15" t="s">
        <v>22</v>
      </c>
    </row>
    <row r="5869" spans="1:11" ht="42" customHeight="1">
      <c r="A5869" s="4" t="s">
        <v>13471</v>
      </c>
      <c r="B5869" s="5" t="s">
        <v>13472</v>
      </c>
      <c r="C5869" s="5" t="s">
        <v>85</v>
      </c>
      <c r="D5869" s="5" t="s">
        <v>86</v>
      </c>
      <c r="E5869" s="5" t="s">
        <v>63</v>
      </c>
      <c r="F5869" s="9">
        <v>101</v>
      </c>
      <c r="G5869" s="9">
        <v>1091</v>
      </c>
      <c r="H5869" s="5" t="s">
        <v>20</v>
      </c>
      <c r="I5869" s="5" t="s">
        <v>13473</v>
      </c>
      <c r="J5869" s="12" t="str">
        <f>HYPERLINK("https://www.boe.es/gazeta/dias/1805/12/17/pdfs/GMD-1805-101.pdf#page=7","Abrir facsímil")</f>
        <v>Abrir facsímil</v>
      </c>
      <c r="K5869" s="15" t="s">
        <v>22</v>
      </c>
    </row>
    <row r="5870" spans="1:11" ht="42" customHeight="1">
      <c r="A5870" s="4" t="s">
        <v>13474</v>
      </c>
      <c r="B5870" s="5" t="s">
        <v>13475</v>
      </c>
      <c r="C5870" s="5" t="s">
        <v>85</v>
      </c>
      <c r="D5870" s="5" t="s">
        <v>86</v>
      </c>
      <c r="E5870" s="5" t="s">
        <v>512</v>
      </c>
      <c r="F5870" s="9">
        <v>100</v>
      </c>
      <c r="G5870" s="9">
        <v>1081</v>
      </c>
      <c r="H5870" s="5" t="s">
        <v>20</v>
      </c>
      <c r="I5870" s="5" t="s">
        <v>13476</v>
      </c>
      <c r="J5870" s="12" t="str">
        <f>HYPERLINK("https://www.boe.es/gazeta/dias/1805/12/13/pdfs/GMD-1805-100.pdf#page=9","Abrir facsímil")</f>
        <v>Abrir facsímil</v>
      </c>
      <c r="K5870" s="15" t="s">
        <v>22</v>
      </c>
    </row>
    <row r="5871" spans="1:11" ht="42" customHeight="1">
      <c r="A5871" s="4" t="s">
        <v>13474</v>
      </c>
      <c r="B5871" s="5" t="s">
        <v>13475</v>
      </c>
      <c r="C5871" s="5" t="s">
        <v>85</v>
      </c>
      <c r="D5871" s="5" t="s">
        <v>86</v>
      </c>
      <c r="E5871" s="5" t="s">
        <v>495</v>
      </c>
      <c r="F5871" s="9">
        <v>103</v>
      </c>
      <c r="G5871" s="9">
        <v>1113</v>
      </c>
      <c r="H5871" s="5" t="s">
        <v>20</v>
      </c>
      <c r="I5871" s="5" t="s">
        <v>13477</v>
      </c>
      <c r="J5871" s="12" t="str">
        <f>HYPERLINK("https://www.boe.es/gazeta/dias/1805/12/24/pdfs/GMD-1805-103.pdf#page=5","Abrir facsímil")</f>
        <v>Abrir facsímil</v>
      </c>
      <c r="K5871" s="15" t="s">
        <v>22</v>
      </c>
    </row>
    <row r="5872" spans="1:11" ht="42" customHeight="1">
      <c r="A5872" s="4" t="s">
        <v>13478</v>
      </c>
      <c r="B5872" s="5" t="s">
        <v>13478</v>
      </c>
      <c r="C5872" s="5" t="s">
        <v>35</v>
      </c>
      <c r="D5872" s="5" t="s">
        <v>36</v>
      </c>
      <c r="E5872" s="5" t="s">
        <v>24</v>
      </c>
      <c r="F5872" s="9">
        <v>11</v>
      </c>
      <c r="G5872" s="9">
        <v>121</v>
      </c>
      <c r="H5872" s="5" t="s">
        <v>20</v>
      </c>
      <c r="I5872" s="5" t="s">
        <v>13479</v>
      </c>
      <c r="J5872" s="12" t="str">
        <f>HYPERLINK("https://www.boe.es/gazeta/dias/1805/02/05/pdfs/GMD-1805-11.pdf#page=9","Abrir facsímil")</f>
        <v>Abrir facsímil</v>
      </c>
      <c r="K5872" s="15" t="s">
        <v>22</v>
      </c>
    </row>
    <row r="5873" spans="1:11" ht="42" customHeight="1">
      <c r="A5873" s="4" t="s">
        <v>13478</v>
      </c>
      <c r="B5873" s="5" t="s">
        <v>13478</v>
      </c>
      <c r="C5873" s="5" t="s">
        <v>35</v>
      </c>
      <c r="D5873" s="5" t="s">
        <v>36</v>
      </c>
      <c r="E5873" s="5" t="s">
        <v>107</v>
      </c>
      <c r="F5873" s="9">
        <v>19</v>
      </c>
      <c r="G5873" s="9">
        <v>198</v>
      </c>
      <c r="H5873" s="5" t="s">
        <v>20</v>
      </c>
      <c r="I5873" s="5" t="s">
        <v>13480</v>
      </c>
      <c r="J5873" s="12" t="str">
        <f>HYPERLINK("https://www.boe.es/gazeta/dias/1805/03/05/pdfs/GMD-1805-19.pdf#page=10","Abrir facsímil")</f>
        <v>Abrir facsímil</v>
      </c>
      <c r="K5873" s="15" t="s">
        <v>22</v>
      </c>
    </row>
    <row r="5874" spans="1:11" ht="42" customHeight="1">
      <c r="A5874" s="4" t="s">
        <v>13481</v>
      </c>
      <c r="B5874" s="5" t="s">
        <v>13482</v>
      </c>
      <c r="C5874" s="5" t="s">
        <v>35</v>
      </c>
      <c r="D5874" s="5" t="s">
        <v>36</v>
      </c>
      <c r="E5874" s="5" t="s">
        <v>138</v>
      </c>
      <c r="F5874" s="9">
        <v>102</v>
      </c>
      <c r="G5874" s="9">
        <v>1103</v>
      </c>
      <c r="H5874" s="5" t="s">
        <v>20</v>
      </c>
      <c r="I5874" s="5" t="s">
        <v>13483</v>
      </c>
      <c r="J5874" s="12" t="str">
        <f>HYPERLINK("https://www.boe.es/gazeta/dias/1805/12/20/pdfs/GMD-1805-102.pdf#page=7","Abrir facsímil")</f>
        <v>Abrir facsímil</v>
      </c>
      <c r="K5874" s="15" t="s">
        <v>22</v>
      </c>
    </row>
    <row r="5875" spans="1:11" ht="42" customHeight="1">
      <c r="A5875" s="4" t="s">
        <v>13484</v>
      </c>
      <c r="B5875" s="5" t="s">
        <v>13485</v>
      </c>
      <c r="C5875" s="5" t="s">
        <v>35</v>
      </c>
      <c r="D5875" s="5" t="s">
        <v>36</v>
      </c>
      <c r="E5875" s="5" t="s">
        <v>456</v>
      </c>
      <c r="F5875" s="9">
        <v>70</v>
      </c>
      <c r="G5875" s="9">
        <v>747</v>
      </c>
      <c r="H5875" s="5" t="s">
        <v>20</v>
      </c>
      <c r="I5875" s="5" t="s">
        <v>13486</v>
      </c>
      <c r="J5875" s="12" t="str">
        <f>HYPERLINK("https://www.boe.es/gazeta/dias/1805/08/30/pdfs/GMD-1805-70.pdf#page=7","Abrir facsímil")</f>
        <v>Abrir facsímil</v>
      </c>
      <c r="K5875" s="15" t="s">
        <v>22</v>
      </c>
    </row>
    <row r="5876" spans="1:11" ht="42" customHeight="1">
      <c r="A5876" s="4" t="s">
        <v>13487</v>
      </c>
      <c r="B5876" s="5" t="s">
        <v>13488</v>
      </c>
      <c r="C5876" s="5" t="s">
        <v>35</v>
      </c>
      <c r="D5876" s="5" t="s">
        <v>36</v>
      </c>
      <c r="E5876" s="5" t="s">
        <v>141</v>
      </c>
      <c r="F5876" s="9">
        <v>82</v>
      </c>
      <c r="G5876" s="9">
        <v>862</v>
      </c>
      <c r="H5876" s="5" t="s">
        <v>20</v>
      </c>
      <c r="I5876" s="5" t="s">
        <v>13489</v>
      </c>
      <c r="J5876" s="12" t="str">
        <f>HYPERLINK("https://www.boe.es/gazeta/dias/1805/10/11/pdfs/GMD-1805-82.pdf#page=2","Abrir facsímil")</f>
        <v>Abrir facsímil</v>
      </c>
      <c r="K5876" s="15" t="s">
        <v>22</v>
      </c>
    </row>
    <row r="5877" spans="1:11" ht="42" customHeight="1">
      <c r="A5877" s="4" t="s">
        <v>13490</v>
      </c>
      <c r="B5877" s="5" t="s">
        <v>13491</v>
      </c>
      <c r="C5877" s="5" t="s">
        <v>35</v>
      </c>
      <c r="D5877" s="5" t="s">
        <v>36</v>
      </c>
      <c r="E5877" s="5" t="s">
        <v>226</v>
      </c>
      <c r="F5877" s="9">
        <v>73</v>
      </c>
      <c r="G5877" s="9">
        <v>773</v>
      </c>
      <c r="H5877" s="5" t="s">
        <v>20</v>
      </c>
      <c r="I5877" s="5" t="s">
        <v>13492</v>
      </c>
      <c r="J5877" s="12" t="str">
        <f>HYPERLINK("https://www.boe.es/gazeta/dias/1805/09/10/pdfs/GMD-1805-73.pdf#page=5","Abrir facsímil")</f>
        <v>Abrir facsímil</v>
      </c>
      <c r="K5877" s="15" t="s">
        <v>22</v>
      </c>
    </row>
    <row r="5878" spans="1:11" ht="42" customHeight="1">
      <c r="A5878" s="4" t="s">
        <v>13493</v>
      </c>
      <c r="B5878" s="5" t="s">
        <v>13494</v>
      </c>
      <c r="C5878" s="5" t="s">
        <v>80</v>
      </c>
      <c r="D5878" s="5" t="s">
        <v>81</v>
      </c>
      <c r="E5878" s="5" t="s">
        <v>99</v>
      </c>
      <c r="F5878" s="9">
        <v>83</v>
      </c>
      <c r="G5878" s="9">
        <v>875</v>
      </c>
      <c r="H5878" s="5" t="s">
        <v>20</v>
      </c>
      <c r="I5878" s="5" t="s">
        <v>13495</v>
      </c>
      <c r="J5878" s="12" t="str">
        <f>HYPERLINK("https://www.boe.es/gazeta/dias/1805/10/15/pdfs/GMD-1805-83.pdf#page=3","Abrir facsímil")</f>
        <v>Abrir facsímil</v>
      </c>
      <c r="K5878" s="15" t="s">
        <v>22</v>
      </c>
    </row>
    <row r="5879" spans="1:11" ht="42" customHeight="1">
      <c r="A5879" s="4" t="s">
        <v>13496</v>
      </c>
      <c r="B5879" s="5" t="s">
        <v>13496</v>
      </c>
      <c r="C5879" s="5" t="s">
        <v>17</v>
      </c>
      <c r="D5879" s="5" t="s">
        <v>18</v>
      </c>
      <c r="E5879" s="5" t="s">
        <v>192</v>
      </c>
      <c r="F5879" s="9">
        <v>105</v>
      </c>
      <c r="G5879" s="9">
        <v>1138</v>
      </c>
      <c r="H5879" s="5" t="s">
        <v>20</v>
      </c>
      <c r="I5879" s="5" t="s">
        <v>13497</v>
      </c>
      <c r="J5879" s="12" t="str">
        <f>HYPERLINK("https://www.boe.es/gazeta/dias/1805/12/31/pdfs/GMD-1805-105.pdf#page=10","Abrir facsímil")</f>
        <v>Abrir facsímil</v>
      </c>
      <c r="K5879" s="15" t="s">
        <v>22</v>
      </c>
    </row>
    <row r="5880" spans="1:11" ht="42" customHeight="1">
      <c r="A5880" s="4" t="s">
        <v>13498</v>
      </c>
      <c r="B5880" s="5" t="s">
        <v>13498</v>
      </c>
      <c r="C5880" s="5" t="s">
        <v>17</v>
      </c>
      <c r="D5880" s="5" t="s">
        <v>18</v>
      </c>
      <c r="E5880" s="5" t="s">
        <v>393</v>
      </c>
      <c r="F5880" s="9">
        <v>44</v>
      </c>
      <c r="G5880" s="9">
        <v>475</v>
      </c>
      <c r="H5880" s="5" t="s">
        <v>20</v>
      </c>
      <c r="I5880" s="5" t="s">
        <v>13499</v>
      </c>
      <c r="J5880" s="12" t="str">
        <f>HYPERLINK("https://www.boe.es/gazeta/dias/1805/05/31/pdfs/GMD-1805-44.pdf#page=11","Abrir facsímil")</f>
        <v>Abrir facsímil</v>
      </c>
      <c r="K5880" s="15" t="s">
        <v>22</v>
      </c>
    </row>
    <row r="5881" spans="1:11" ht="42" customHeight="1">
      <c r="A5881" s="4" t="s">
        <v>13500</v>
      </c>
      <c r="B5881" s="5" t="s">
        <v>13500</v>
      </c>
      <c r="C5881" s="5" t="s">
        <v>17</v>
      </c>
      <c r="D5881" s="5" t="s">
        <v>18</v>
      </c>
      <c r="E5881" s="5" t="s">
        <v>393</v>
      </c>
      <c r="F5881" s="9">
        <v>44</v>
      </c>
      <c r="G5881" s="9">
        <v>475</v>
      </c>
      <c r="H5881" s="5" t="s">
        <v>20</v>
      </c>
      <c r="I5881" s="5" t="s">
        <v>13501</v>
      </c>
      <c r="J5881" s="12" t="str">
        <f>HYPERLINK("https://www.boe.es/gazeta/dias/1805/05/31/pdfs/GMD-1805-44.pdf#page=11","Abrir facsímil")</f>
        <v>Abrir facsímil</v>
      </c>
      <c r="K5881" s="15" t="s">
        <v>22</v>
      </c>
    </row>
    <row r="5882" spans="1:11" ht="42" customHeight="1">
      <c r="A5882" s="4" t="s">
        <v>13502</v>
      </c>
      <c r="B5882" s="5" t="s">
        <v>13502</v>
      </c>
      <c r="C5882" s="5" t="s">
        <v>29</v>
      </c>
      <c r="D5882" s="5" t="s">
        <v>30</v>
      </c>
      <c r="E5882" s="5" t="s">
        <v>649</v>
      </c>
      <c r="F5882" s="9">
        <v>7</v>
      </c>
      <c r="G5882" s="9">
        <v>75</v>
      </c>
      <c r="H5882" s="5" t="s">
        <v>20</v>
      </c>
      <c r="I5882" s="5" t="s">
        <v>13503</v>
      </c>
      <c r="J5882" s="12" t="str">
        <f>HYPERLINK("https://www.boe.es/gazeta/dias/1805/01/22/pdfs/GMD-1805-7.pdf#page=7","Abrir facsímil")</f>
        <v>Abrir facsímil</v>
      </c>
      <c r="K5882" s="15" t="s">
        <v>22</v>
      </c>
    </row>
    <row r="5883" spans="1:11" ht="42" customHeight="1">
      <c r="A5883" s="4" t="s">
        <v>13504</v>
      </c>
      <c r="B5883" s="5" t="s">
        <v>13505</v>
      </c>
      <c r="C5883" s="5" t="s">
        <v>35</v>
      </c>
      <c r="D5883" s="5" t="s">
        <v>36</v>
      </c>
      <c r="E5883" s="5" t="s">
        <v>539</v>
      </c>
      <c r="F5883" s="9">
        <v>97</v>
      </c>
      <c r="G5883" s="9">
        <v>1045</v>
      </c>
      <c r="H5883" s="5" t="s">
        <v>20</v>
      </c>
      <c r="I5883" s="5" t="s">
        <v>13506</v>
      </c>
      <c r="J5883" s="12" t="str">
        <f>HYPERLINK("https://www.boe.es/gazeta/dias/1805/12/03/pdfs/GMD-1805-97.pdf#page=9","Abrir facsímil")</f>
        <v>Abrir facsímil</v>
      </c>
      <c r="K5883" s="15" t="s">
        <v>22</v>
      </c>
    </row>
    <row r="5884" spans="1:11" ht="42" customHeight="1">
      <c r="A5884" s="4" t="s">
        <v>13507</v>
      </c>
      <c r="B5884" s="5" t="s">
        <v>13508</v>
      </c>
      <c r="C5884" s="5" t="s">
        <v>35</v>
      </c>
      <c r="D5884" s="5" t="s">
        <v>36</v>
      </c>
      <c r="E5884" s="5" t="s">
        <v>365</v>
      </c>
      <c r="F5884" s="9">
        <v>3</v>
      </c>
      <c r="G5884" s="9">
        <v>29</v>
      </c>
      <c r="H5884" s="5" t="s">
        <v>20</v>
      </c>
      <c r="I5884" s="5" t="s">
        <v>13509</v>
      </c>
      <c r="J5884" s="12" t="str">
        <f>HYPERLINK("https://www.boe.es/gazeta/dias/1805/01/08/pdfs/GMD-1805-3.pdf#page=5","Abrir facsímil")</f>
        <v>Abrir facsímil</v>
      </c>
      <c r="K5884" s="15" t="s">
        <v>22</v>
      </c>
    </row>
    <row r="5885" spans="1:11" ht="42" customHeight="1">
      <c r="A5885" s="4" t="s">
        <v>13510</v>
      </c>
      <c r="B5885" s="5" t="s">
        <v>13510</v>
      </c>
      <c r="C5885" s="5" t="s">
        <v>17</v>
      </c>
      <c r="D5885" s="5" t="s">
        <v>18</v>
      </c>
      <c r="E5885" s="5" t="s">
        <v>44</v>
      </c>
      <c r="F5885" s="9">
        <v>29</v>
      </c>
      <c r="G5885" s="9">
        <v>313</v>
      </c>
      <c r="H5885" s="5" t="s">
        <v>20</v>
      </c>
      <c r="I5885" s="5" t="s">
        <v>13511</v>
      </c>
      <c r="J5885" s="12" t="str">
        <f>HYPERLINK("https://www.boe.es/gazeta/dias/1805/04/09/pdfs/GMD-1805-29.pdf#page=9","Abrir facsímil")</f>
        <v>Abrir facsímil</v>
      </c>
      <c r="K5885" s="15" t="s">
        <v>22</v>
      </c>
    </row>
    <row r="5886" spans="1:11" ht="42" customHeight="1">
      <c r="A5886" s="4" t="s">
        <v>13512</v>
      </c>
      <c r="B5886" s="5" t="s">
        <v>13512</v>
      </c>
      <c r="C5886" s="5" t="s">
        <v>35</v>
      </c>
      <c r="D5886" s="5" t="s">
        <v>36</v>
      </c>
      <c r="E5886" s="5" t="s">
        <v>539</v>
      </c>
      <c r="F5886" s="9">
        <v>97</v>
      </c>
      <c r="G5886" s="9">
        <v>1045</v>
      </c>
      <c r="H5886" s="5" t="s">
        <v>20</v>
      </c>
      <c r="I5886" s="5" t="s">
        <v>13513</v>
      </c>
      <c r="J5886" s="12" t="str">
        <f>HYPERLINK("https://www.boe.es/gazeta/dias/1805/12/03/pdfs/GMD-1805-97.pdf#page=9","Abrir facsímil")</f>
        <v>Abrir facsímil</v>
      </c>
      <c r="K5886" s="15" t="s">
        <v>22</v>
      </c>
    </row>
    <row r="5887" spans="1:11" ht="42" customHeight="1">
      <c r="A5887" s="4" t="s">
        <v>13514</v>
      </c>
      <c r="B5887" s="5" t="s">
        <v>13514</v>
      </c>
      <c r="C5887" s="5" t="s">
        <v>35</v>
      </c>
      <c r="D5887" s="5" t="s">
        <v>36</v>
      </c>
      <c r="E5887" s="5" t="s">
        <v>117</v>
      </c>
      <c r="F5887" s="9">
        <v>20</v>
      </c>
      <c r="G5887" s="9">
        <v>209</v>
      </c>
      <c r="H5887" s="5" t="s">
        <v>20</v>
      </c>
      <c r="I5887" s="5" t="s">
        <v>13515</v>
      </c>
      <c r="J5887" s="12" t="str">
        <f>HYPERLINK("https://www.boe.es/gazeta/dias/1805/03/08/pdfs/GMD-1805-20.pdf#page=9","Abrir facsímil")</f>
        <v>Abrir facsímil</v>
      </c>
      <c r="K5887" s="15" t="s">
        <v>22</v>
      </c>
    </row>
    <row r="5888" spans="1:11" ht="42" customHeight="1">
      <c r="A5888" s="4" t="s">
        <v>13516</v>
      </c>
      <c r="B5888" s="5" t="s">
        <v>13516</v>
      </c>
      <c r="C5888" s="5" t="s">
        <v>85</v>
      </c>
      <c r="D5888" s="5" t="s">
        <v>86</v>
      </c>
      <c r="E5888" s="5" t="s">
        <v>286</v>
      </c>
      <c r="F5888" s="9">
        <v>48</v>
      </c>
      <c r="G5888" s="9">
        <v>522</v>
      </c>
      <c r="H5888" s="5" t="s">
        <v>20</v>
      </c>
      <c r="I5888" s="5" t="s">
        <v>13517</v>
      </c>
      <c r="J5888" s="12" t="str">
        <f>HYPERLINK("https://www.boe.es/gazeta/dias/1805/06/14/pdfs/GMD-1805-48.pdf#page=10","Abrir facsímil")</f>
        <v>Abrir facsímil</v>
      </c>
      <c r="K5888" s="15" t="s">
        <v>22</v>
      </c>
    </row>
    <row r="5889" spans="1:11" ht="42" customHeight="1">
      <c r="A5889" s="4" t="s">
        <v>13518</v>
      </c>
      <c r="B5889" s="5" t="s">
        <v>13518</v>
      </c>
      <c r="C5889" s="5" t="s">
        <v>17</v>
      </c>
      <c r="D5889" s="5" t="s">
        <v>18</v>
      </c>
      <c r="E5889" s="5" t="s">
        <v>426</v>
      </c>
      <c r="F5889" s="9">
        <v>75</v>
      </c>
      <c r="G5889" s="9">
        <v>799</v>
      </c>
      <c r="H5889" s="5" t="s">
        <v>20</v>
      </c>
      <c r="I5889" s="5" t="s">
        <v>13519</v>
      </c>
      <c r="J5889" s="12" t="str">
        <f>HYPERLINK("https://www.boe.es/gazeta/dias/1805/09/17/pdfs/GMD-1805-75.pdf#page=11","Abrir facsímil")</f>
        <v>Abrir facsímil</v>
      </c>
      <c r="K5889" s="15" t="s">
        <v>22</v>
      </c>
    </row>
    <row r="5890" spans="1:11" ht="42" customHeight="1">
      <c r="A5890" s="4" t="s">
        <v>13520</v>
      </c>
      <c r="B5890" s="5" t="s">
        <v>13520</v>
      </c>
      <c r="C5890" s="5" t="s">
        <v>85</v>
      </c>
      <c r="D5890" s="5" t="s">
        <v>86</v>
      </c>
      <c r="E5890" s="5" t="s">
        <v>71</v>
      </c>
      <c r="F5890" s="9">
        <v>33</v>
      </c>
      <c r="G5890" s="9">
        <v>354</v>
      </c>
      <c r="H5890" s="5" t="s">
        <v>20</v>
      </c>
      <c r="I5890" s="5" t="s">
        <v>13521</v>
      </c>
      <c r="J5890" s="12" t="str">
        <f>HYPERLINK("https://www.boe.es/gazeta/dias/1805/04/23/pdfs/GMD-1805-33.pdf#page=10","Abrir facsímil")</f>
        <v>Abrir facsímil</v>
      </c>
      <c r="K5890" s="15" t="s">
        <v>22</v>
      </c>
    </row>
    <row r="5891" spans="1:11" ht="42" customHeight="1">
      <c r="A5891" s="4" t="s">
        <v>13522</v>
      </c>
      <c r="B5891" s="5" t="s">
        <v>13522</v>
      </c>
      <c r="C5891" s="5" t="s">
        <v>35</v>
      </c>
      <c r="D5891" s="5" t="s">
        <v>36</v>
      </c>
      <c r="E5891" s="5" t="s">
        <v>296</v>
      </c>
      <c r="F5891" s="9">
        <v>26</v>
      </c>
      <c r="G5891" s="9">
        <v>278</v>
      </c>
      <c r="H5891" s="5" t="s">
        <v>20</v>
      </c>
      <c r="I5891" s="5" t="s">
        <v>13523</v>
      </c>
      <c r="J5891" s="12" t="str">
        <f>HYPERLINK("https://www.boe.es/gazeta/dias/1805/03/29/pdfs/GMD-1805-26.pdf#page=10","Abrir facsímil")</f>
        <v>Abrir facsímil</v>
      </c>
      <c r="K5891" s="15" t="s">
        <v>22</v>
      </c>
    </row>
    <row r="5892" spans="1:11" ht="42" customHeight="1">
      <c r="A5892" s="4" t="s">
        <v>13524</v>
      </c>
      <c r="B5892" s="5" t="s">
        <v>13524</v>
      </c>
      <c r="C5892" s="5" t="s">
        <v>35</v>
      </c>
      <c r="D5892" s="5" t="s">
        <v>36</v>
      </c>
      <c r="E5892" s="5" t="s">
        <v>512</v>
      </c>
      <c r="F5892" s="9">
        <v>100</v>
      </c>
      <c r="G5892" s="9">
        <v>1082</v>
      </c>
      <c r="H5892" s="5" t="s">
        <v>20</v>
      </c>
      <c r="I5892" s="5" t="s">
        <v>13525</v>
      </c>
      <c r="J5892" s="12" t="str">
        <f>HYPERLINK("https://www.boe.es/gazeta/dias/1805/12/13/pdfs/GMD-1805-100.pdf#page=10","Abrir facsímil")</f>
        <v>Abrir facsímil</v>
      </c>
      <c r="K5892" s="15" t="s">
        <v>22</v>
      </c>
    </row>
    <row r="5893" spans="1:11" ht="42" customHeight="1">
      <c r="A5893" s="4" t="s">
        <v>13526</v>
      </c>
      <c r="B5893" s="5" t="s">
        <v>13526</v>
      </c>
      <c r="C5893" s="5" t="s">
        <v>35</v>
      </c>
      <c r="D5893" s="5" t="s">
        <v>36</v>
      </c>
      <c r="E5893" s="5" t="s">
        <v>850</v>
      </c>
      <c r="F5893" s="9">
        <v>42</v>
      </c>
      <c r="G5893" s="9">
        <v>453</v>
      </c>
      <c r="H5893" s="5" t="s">
        <v>20</v>
      </c>
      <c r="I5893" s="5" t="s">
        <v>13527</v>
      </c>
      <c r="J5893" s="12" t="str">
        <f>HYPERLINK("https://www.boe.es/gazeta/dias/1805/05/24/pdfs/GMD-1805-42.pdf#page=9","Abrir facsímil")</f>
        <v>Abrir facsímil</v>
      </c>
      <c r="K5893" s="15" t="s">
        <v>22</v>
      </c>
    </row>
    <row r="5894" spans="1:11" ht="42" customHeight="1">
      <c r="A5894" s="4" t="s">
        <v>13528</v>
      </c>
      <c r="B5894" s="5" t="s">
        <v>13528</v>
      </c>
      <c r="C5894" s="5" t="s">
        <v>35</v>
      </c>
      <c r="D5894" s="5" t="s">
        <v>36</v>
      </c>
      <c r="E5894" s="5" t="s">
        <v>170</v>
      </c>
      <c r="F5894" s="9">
        <v>9</v>
      </c>
      <c r="G5894" s="9">
        <v>102</v>
      </c>
      <c r="H5894" s="5" t="s">
        <v>20</v>
      </c>
      <c r="I5894" s="5" t="s">
        <v>13529</v>
      </c>
      <c r="J5894" s="12" t="str">
        <f>HYPERLINK("https://www.boe.es/gazeta/dias/1805/01/29/pdfs/GMD-1805-9.pdf#page=10","Abrir facsímil")</f>
        <v>Abrir facsímil</v>
      </c>
      <c r="K5894" s="15" t="s">
        <v>22</v>
      </c>
    </row>
    <row r="5895" spans="1:11" ht="42" customHeight="1">
      <c r="A5895" s="4" t="s">
        <v>13528</v>
      </c>
      <c r="B5895" s="5" t="s">
        <v>13528</v>
      </c>
      <c r="C5895" s="5" t="s">
        <v>35</v>
      </c>
      <c r="D5895" s="5" t="s">
        <v>36</v>
      </c>
      <c r="E5895" s="5" t="s">
        <v>170</v>
      </c>
      <c r="F5895" s="9">
        <v>9</v>
      </c>
      <c r="G5895" s="9">
        <v>103</v>
      </c>
      <c r="H5895" s="5" t="s">
        <v>20</v>
      </c>
      <c r="I5895" s="5" t="s">
        <v>13530</v>
      </c>
      <c r="J5895" s="12" t="str">
        <f>HYPERLINK("https://www.boe.es/gazeta/dias/1805/01/29/pdfs/GMD-1805-9.pdf#page=11","Abrir facsímil")</f>
        <v>Abrir facsímil</v>
      </c>
      <c r="K5895" s="15" t="s">
        <v>22</v>
      </c>
    </row>
    <row r="5896" spans="1:11" ht="42" customHeight="1">
      <c r="A5896" s="4" t="s">
        <v>13528</v>
      </c>
      <c r="B5896" s="5" t="s">
        <v>13528</v>
      </c>
      <c r="C5896" s="5" t="s">
        <v>85</v>
      </c>
      <c r="D5896" s="5" t="s">
        <v>86</v>
      </c>
      <c r="E5896" s="5" t="s">
        <v>327</v>
      </c>
      <c r="F5896" s="9">
        <v>10</v>
      </c>
      <c r="G5896" s="9">
        <v>110</v>
      </c>
      <c r="H5896" s="5" t="s">
        <v>20</v>
      </c>
      <c r="I5896" s="5" t="s">
        <v>13531</v>
      </c>
      <c r="J5896" s="12" t="str">
        <f>HYPERLINK("https://www.boe.es/gazeta/dias/1805/02/01/pdfs/GMD-1805-10.pdf#page=6","Abrir facsímil")</f>
        <v>Abrir facsímil</v>
      </c>
      <c r="K5896" s="15" t="s">
        <v>22</v>
      </c>
    </row>
    <row r="5897" spans="1:11" ht="42" customHeight="1">
      <c r="A5897" s="4" t="s">
        <v>13528</v>
      </c>
      <c r="B5897" s="5" t="s">
        <v>13528</v>
      </c>
      <c r="C5897" s="5" t="s">
        <v>85</v>
      </c>
      <c r="D5897" s="5" t="s">
        <v>86</v>
      </c>
      <c r="E5897" s="5" t="s">
        <v>356</v>
      </c>
      <c r="F5897" s="9">
        <v>12</v>
      </c>
      <c r="G5897" s="9">
        <v>132</v>
      </c>
      <c r="H5897" s="5" t="s">
        <v>20</v>
      </c>
      <c r="I5897" s="5" t="s">
        <v>13532</v>
      </c>
      <c r="J5897" s="12" t="str">
        <f>HYPERLINK("https://www.boe.es/gazeta/dias/1805/02/08/pdfs/GMD-1805-12.pdf#page=8","Abrir facsímil")</f>
        <v>Abrir facsímil</v>
      </c>
      <c r="K5897" s="15" t="s">
        <v>22</v>
      </c>
    </row>
    <row r="5898" spans="1:11" ht="42" customHeight="1">
      <c r="A5898" s="4" t="s">
        <v>13528</v>
      </c>
      <c r="B5898" s="5" t="s">
        <v>13528</v>
      </c>
      <c r="C5898" s="5" t="s">
        <v>35</v>
      </c>
      <c r="D5898" s="5" t="s">
        <v>36</v>
      </c>
      <c r="E5898" s="5" t="s">
        <v>87</v>
      </c>
      <c r="F5898" s="9">
        <v>14</v>
      </c>
      <c r="G5898" s="9">
        <v>147</v>
      </c>
      <c r="H5898" s="5" t="s">
        <v>20</v>
      </c>
      <c r="I5898" s="5" t="s">
        <v>13533</v>
      </c>
      <c r="J5898" s="12" t="str">
        <f>HYPERLINK("https://www.boe.es/gazeta/dias/1805/02/15/pdfs/GMD-1805-14.pdf#page=7","Abrir facsímil")</f>
        <v>Abrir facsímil</v>
      </c>
      <c r="K5898" s="15" t="s">
        <v>22</v>
      </c>
    </row>
    <row r="5899" spans="1:11" ht="42" customHeight="1">
      <c r="A5899" s="4" t="s">
        <v>13528</v>
      </c>
      <c r="B5899" s="5" t="s">
        <v>13528</v>
      </c>
      <c r="C5899" s="5" t="s">
        <v>35</v>
      </c>
      <c r="D5899" s="5" t="s">
        <v>36</v>
      </c>
      <c r="E5899" s="5" t="s">
        <v>281</v>
      </c>
      <c r="F5899" s="9">
        <v>15</v>
      </c>
      <c r="G5899" s="9">
        <v>157</v>
      </c>
      <c r="H5899" s="5" t="s">
        <v>20</v>
      </c>
      <c r="I5899" s="5" t="s">
        <v>13534</v>
      </c>
      <c r="J5899" s="12" t="str">
        <f>HYPERLINK("https://www.boe.es/gazeta/dias/1805/02/19/pdfs/GMD-1805-15.pdf#page=9","Abrir facsímil")</f>
        <v>Abrir facsímil</v>
      </c>
      <c r="K5899" s="15" t="s">
        <v>22</v>
      </c>
    </row>
    <row r="5900" spans="1:11" ht="42" customHeight="1">
      <c r="A5900" s="4" t="s">
        <v>13528</v>
      </c>
      <c r="B5900" s="5" t="s">
        <v>13528</v>
      </c>
      <c r="C5900" s="5" t="s">
        <v>35</v>
      </c>
      <c r="D5900" s="5" t="s">
        <v>36</v>
      </c>
      <c r="E5900" s="5" t="s">
        <v>471</v>
      </c>
      <c r="F5900" s="9">
        <v>22</v>
      </c>
      <c r="G5900" s="9">
        <v>234</v>
      </c>
      <c r="H5900" s="5" t="s">
        <v>20</v>
      </c>
      <c r="I5900" s="5" t="s">
        <v>13535</v>
      </c>
      <c r="J5900" s="12" t="str">
        <f>HYPERLINK("https://www.boe.es/gazeta/dias/1805/03/15/pdfs/GMD-1805-22.pdf#page=10","Abrir facsímil")</f>
        <v>Abrir facsímil</v>
      </c>
      <c r="K5900" s="15" t="s">
        <v>22</v>
      </c>
    </row>
    <row r="5901" spans="1:11" ht="42" customHeight="1">
      <c r="A5901" s="4" t="s">
        <v>13528</v>
      </c>
      <c r="B5901" s="5" t="s">
        <v>13528</v>
      </c>
      <c r="C5901" s="5" t="s">
        <v>35</v>
      </c>
      <c r="D5901" s="5" t="s">
        <v>36</v>
      </c>
      <c r="E5901" s="5" t="s">
        <v>91</v>
      </c>
      <c r="F5901" s="9">
        <v>28</v>
      </c>
      <c r="G5901" s="9">
        <v>303</v>
      </c>
      <c r="H5901" s="5" t="s">
        <v>20</v>
      </c>
      <c r="I5901" s="5" t="s">
        <v>13536</v>
      </c>
      <c r="J5901" s="12" t="str">
        <f>HYPERLINK("https://www.boe.es/gazeta/dias/1805/04/05/pdfs/GMD-1805-28.pdf#page=11","Abrir facsímil")</f>
        <v>Abrir facsímil</v>
      </c>
      <c r="K5901" s="15" t="s">
        <v>22</v>
      </c>
    </row>
    <row r="5902" spans="1:11" ht="42" customHeight="1">
      <c r="A5902" s="4" t="s">
        <v>13528</v>
      </c>
      <c r="B5902" s="5" t="s">
        <v>13528</v>
      </c>
      <c r="C5902" s="5" t="s">
        <v>35</v>
      </c>
      <c r="D5902" s="5" t="s">
        <v>36</v>
      </c>
      <c r="E5902" s="5" t="s">
        <v>71</v>
      </c>
      <c r="F5902" s="9">
        <v>33</v>
      </c>
      <c r="G5902" s="9">
        <v>354</v>
      </c>
      <c r="H5902" s="5" t="s">
        <v>20</v>
      </c>
      <c r="I5902" s="5" t="s">
        <v>13537</v>
      </c>
      <c r="J5902" s="12" t="str">
        <f>HYPERLINK("https://www.boe.es/gazeta/dias/1805/04/23/pdfs/GMD-1805-33.pdf#page=10","Abrir facsímil")</f>
        <v>Abrir facsímil</v>
      </c>
      <c r="K5902" s="15" t="s">
        <v>22</v>
      </c>
    </row>
    <row r="5903" spans="1:11" ht="42" customHeight="1">
      <c r="A5903" s="4" t="s">
        <v>13528</v>
      </c>
      <c r="B5903" s="5" t="s">
        <v>13528</v>
      </c>
      <c r="C5903" s="5" t="s">
        <v>85</v>
      </c>
      <c r="D5903" s="5" t="s">
        <v>86</v>
      </c>
      <c r="E5903" s="5" t="s">
        <v>1471</v>
      </c>
      <c r="F5903" s="9">
        <v>34</v>
      </c>
      <c r="G5903" s="9">
        <v>362</v>
      </c>
      <c r="H5903" s="5" t="s">
        <v>20</v>
      </c>
      <c r="I5903" s="5" t="s">
        <v>13538</v>
      </c>
      <c r="J5903" s="12" t="str">
        <f>HYPERLINK("https://www.boe.es/gazeta/dias/1805/04/26/pdfs/GMD-1805-34.pdf#page=6","Abrir facsímil")</f>
        <v>Abrir facsímil</v>
      </c>
      <c r="K5903" s="15" t="s">
        <v>22</v>
      </c>
    </row>
    <row r="5904" spans="1:11" ht="42" customHeight="1">
      <c r="A5904" s="4" t="s">
        <v>13528</v>
      </c>
      <c r="B5904" s="5" t="s">
        <v>13528</v>
      </c>
      <c r="C5904" s="5" t="s">
        <v>35</v>
      </c>
      <c r="D5904" s="5" t="s">
        <v>36</v>
      </c>
      <c r="E5904" s="5" t="s">
        <v>122</v>
      </c>
      <c r="F5904" s="9">
        <v>38</v>
      </c>
      <c r="G5904" s="9">
        <v>412</v>
      </c>
      <c r="H5904" s="5" t="s">
        <v>20</v>
      </c>
      <c r="I5904" s="5" t="s">
        <v>13539</v>
      </c>
      <c r="J5904" s="12" t="str">
        <f>HYPERLINK("https://www.boe.es/gazeta/dias/1805/05/10/pdfs/GMD-1805-38.pdf#page=8","Abrir facsímil")</f>
        <v>Abrir facsímil</v>
      </c>
      <c r="K5904" s="15" t="s">
        <v>22</v>
      </c>
    </row>
    <row r="5905" spans="1:11" ht="42" customHeight="1">
      <c r="A5905" s="4" t="s">
        <v>13528</v>
      </c>
      <c r="B5905" s="5" t="s">
        <v>13528</v>
      </c>
      <c r="C5905" s="5" t="s">
        <v>35</v>
      </c>
      <c r="D5905" s="5" t="s">
        <v>36</v>
      </c>
      <c r="E5905" s="5" t="s">
        <v>399</v>
      </c>
      <c r="F5905" s="9">
        <v>39</v>
      </c>
      <c r="G5905" s="9">
        <v>424</v>
      </c>
      <c r="H5905" s="5" t="s">
        <v>20</v>
      </c>
      <c r="I5905" s="5" t="s">
        <v>13540</v>
      </c>
      <c r="J5905" s="12" t="str">
        <f>HYPERLINK("https://www.boe.es/gazeta/dias/1805/05/14/pdfs/GMD-1805-39.pdf#page=12","Abrir facsímil")</f>
        <v>Abrir facsímil</v>
      </c>
      <c r="K5905" s="15" t="s">
        <v>22</v>
      </c>
    </row>
    <row r="5906" spans="1:11" ht="42" customHeight="1">
      <c r="A5906" s="4" t="s">
        <v>13528</v>
      </c>
      <c r="B5906" s="5" t="s">
        <v>13528</v>
      </c>
      <c r="C5906" s="5" t="s">
        <v>35</v>
      </c>
      <c r="D5906" s="5" t="s">
        <v>36</v>
      </c>
      <c r="E5906" s="5" t="s">
        <v>148</v>
      </c>
      <c r="F5906" s="9">
        <v>50</v>
      </c>
      <c r="G5906" s="9">
        <v>542</v>
      </c>
      <c r="H5906" s="5" t="s">
        <v>20</v>
      </c>
      <c r="I5906" s="5" t="s">
        <v>13541</v>
      </c>
      <c r="J5906" s="12" t="str">
        <f>HYPERLINK("https://www.boe.es/gazeta/dias/1805/06/21/pdfs/GMD-1805-50.pdf#page=10","Abrir facsímil")</f>
        <v>Abrir facsímil</v>
      </c>
      <c r="K5906" s="15" t="s">
        <v>22</v>
      </c>
    </row>
    <row r="5907" spans="1:11" ht="42" customHeight="1">
      <c r="A5907" s="4" t="s">
        <v>13528</v>
      </c>
      <c r="B5907" s="5" t="s">
        <v>13528</v>
      </c>
      <c r="C5907" s="5" t="s">
        <v>35</v>
      </c>
      <c r="D5907" s="5" t="s">
        <v>36</v>
      </c>
      <c r="E5907" s="5" t="s">
        <v>276</v>
      </c>
      <c r="F5907" s="9">
        <v>51</v>
      </c>
      <c r="G5907" s="9">
        <v>552</v>
      </c>
      <c r="H5907" s="5" t="s">
        <v>20</v>
      </c>
      <c r="I5907" s="5" t="s">
        <v>13542</v>
      </c>
      <c r="J5907" s="12" t="str">
        <f>HYPERLINK("https://www.boe.es/gazeta/dias/1805/06/25/pdfs/GMD-1805-51.pdf#page=8","Abrir facsímil")</f>
        <v>Abrir facsímil</v>
      </c>
      <c r="K5907" s="15" t="s">
        <v>22</v>
      </c>
    </row>
    <row r="5908" spans="1:11" ht="42" customHeight="1">
      <c r="A5908" s="4" t="s">
        <v>13528</v>
      </c>
      <c r="B5908" s="5" t="s">
        <v>13528</v>
      </c>
      <c r="C5908" s="5" t="s">
        <v>35</v>
      </c>
      <c r="D5908" s="5" t="s">
        <v>36</v>
      </c>
      <c r="E5908" s="5" t="s">
        <v>1022</v>
      </c>
      <c r="F5908" s="9">
        <v>52</v>
      </c>
      <c r="G5908" s="9">
        <v>563</v>
      </c>
      <c r="H5908" s="5" t="s">
        <v>20</v>
      </c>
      <c r="I5908" s="5" t="s">
        <v>13543</v>
      </c>
      <c r="J5908" s="12" t="str">
        <f>HYPERLINK("https://www.boe.es/gazeta/dias/1805/06/28/pdfs/GMD-1805-52.pdf#page=11","Abrir facsímil")</f>
        <v>Abrir facsímil</v>
      </c>
      <c r="K5908" s="15" t="s">
        <v>22</v>
      </c>
    </row>
    <row r="5909" spans="1:11" ht="42" customHeight="1">
      <c r="A5909" s="4" t="s">
        <v>13528</v>
      </c>
      <c r="B5909" s="5" t="s">
        <v>13528</v>
      </c>
      <c r="C5909" s="5" t="s">
        <v>35</v>
      </c>
      <c r="D5909" s="5" t="s">
        <v>36</v>
      </c>
      <c r="E5909" s="5" t="s">
        <v>213</v>
      </c>
      <c r="F5909" s="9">
        <v>56</v>
      </c>
      <c r="G5909" s="9">
        <v>604</v>
      </c>
      <c r="H5909" s="5" t="s">
        <v>20</v>
      </c>
      <c r="I5909" s="5" t="s">
        <v>13544</v>
      </c>
      <c r="J5909" s="12" t="str">
        <f>HYPERLINK("https://www.boe.es/gazeta/dias/1805/07/12/pdfs/GMD-1805-56.pdf#page=12","Abrir facsímil")</f>
        <v>Abrir facsímil</v>
      </c>
      <c r="K5909" s="15" t="s">
        <v>22</v>
      </c>
    </row>
    <row r="5910" spans="1:11" ht="42" customHeight="1">
      <c r="A5910" s="4" t="s">
        <v>13528</v>
      </c>
      <c r="B5910" s="5" t="s">
        <v>13528</v>
      </c>
      <c r="C5910" s="5" t="s">
        <v>35</v>
      </c>
      <c r="D5910" s="5" t="s">
        <v>36</v>
      </c>
      <c r="E5910" s="5" t="s">
        <v>958</v>
      </c>
      <c r="F5910" s="9">
        <v>58</v>
      </c>
      <c r="G5910" s="9">
        <v>622</v>
      </c>
      <c r="H5910" s="5" t="s">
        <v>20</v>
      </c>
      <c r="I5910" s="5" t="s">
        <v>13545</v>
      </c>
      <c r="J5910" s="12" t="str">
        <f>HYPERLINK("https://www.boe.es/gazeta/dias/1805/07/19/pdfs/GMD-1805-58.pdf#page=6","Abrir facsímil")</f>
        <v>Abrir facsímil</v>
      </c>
      <c r="K5910" s="15" t="s">
        <v>22</v>
      </c>
    </row>
    <row r="5911" spans="1:11" ht="42" customHeight="1">
      <c r="A5911" s="4" t="s">
        <v>13528</v>
      </c>
      <c r="B5911" s="5" t="s">
        <v>13528</v>
      </c>
      <c r="C5911" s="5" t="s">
        <v>35</v>
      </c>
      <c r="D5911" s="5" t="s">
        <v>36</v>
      </c>
      <c r="E5911" s="5" t="s">
        <v>40</v>
      </c>
      <c r="F5911" s="9">
        <v>59</v>
      </c>
      <c r="G5911" s="9">
        <v>634</v>
      </c>
      <c r="H5911" s="5" t="s">
        <v>20</v>
      </c>
      <c r="I5911" s="5" t="s">
        <v>13546</v>
      </c>
      <c r="J5911" s="12" t="str">
        <f>HYPERLINK("https://www.boe.es/gazeta/dias/1805/07/23/pdfs/GMD-1805-59.pdf#page=10","Abrir facsímil")</f>
        <v>Abrir facsímil</v>
      </c>
      <c r="K5911" s="15" t="s">
        <v>22</v>
      </c>
    </row>
    <row r="5912" spans="1:11" ht="42" customHeight="1">
      <c r="A5912" s="4" t="s">
        <v>13528</v>
      </c>
      <c r="B5912" s="5" t="s">
        <v>13528</v>
      </c>
      <c r="C5912" s="5" t="s">
        <v>35</v>
      </c>
      <c r="D5912" s="5" t="s">
        <v>36</v>
      </c>
      <c r="E5912" s="5" t="s">
        <v>31</v>
      </c>
      <c r="F5912" s="9">
        <v>65</v>
      </c>
      <c r="G5912" s="9">
        <v>697</v>
      </c>
      <c r="H5912" s="5" t="s">
        <v>20</v>
      </c>
      <c r="I5912" s="5" t="s">
        <v>13547</v>
      </c>
      <c r="J5912" s="12" t="str">
        <f>HYPERLINK("https://www.boe.es/gazeta/dias/1805/08/13/pdfs/GMD-1805-65.pdf#page=9","Abrir facsímil")</f>
        <v>Abrir facsímil</v>
      </c>
      <c r="K5912" s="15" t="s">
        <v>22</v>
      </c>
    </row>
    <row r="5913" spans="1:11" ht="42" customHeight="1">
      <c r="A5913" s="4" t="s">
        <v>13528</v>
      </c>
      <c r="B5913" s="5" t="s">
        <v>13528</v>
      </c>
      <c r="C5913" s="5" t="s">
        <v>35</v>
      </c>
      <c r="D5913" s="5" t="s">
        <v>36</v>
      </c>
      <c r="E5913" s="5" t="s">
        <v>76</v>
      </c>
      <c r="F5913" s="9">
        <v>66</v>
      </c>
      <c r="G5913" s="9">
        <v>711</v>
      </c>
      <c r="H5913" s="5" t="s">
        <v>20</v>
      </c>
      <c r="I5913" s="5" t="s">
        <v>13548</v>
      </c>
      <c r="J5913" s="12" t="str">
        <f>HYPERLINK("https://www.boe.es/gazeta/dias/1805/08/16/pdfs/GMD-1805-66.pdf#page=11","Abrir facsímil")</f>
        <v>Abrir facsímil</v>
      </c>
      <c r="K5913" s="15" t="s">
        <v>22</v>
      </c>
    </row>
    <row r="5914" spans="1:11" ht="42" customHeight="1">
      <c r="A5914" s="4" t="s">
        <v>13528</v>
      </c>
      <c r="B5914" s="5" t="s">
        <v>13528</v>
      </c>
      <c r="C5914" s="5" t="s">
        <v>35</v>
      </c>
      <c r="D5914" s="5" t="s">
        <v>36</v>
      </c>
      <c r="E5914" s="5" t="s">
        <v>188</v>
      </c>
      <c r="F5914" s="9">
        <v>68</v>
      </c>
      <c r="G5914" s="9">
        <v>730</v>
      </c>
      <c r="H5914" s="5" t="s">
        <v>20</v>
      </c>
      <c r="I5914" s="5" t="s">
        <v>13549</v>
      </c>
      <c r="J5914" s="12" t="str">
        <f>HYPERLINK("https://www.boe.es/gazeta/dias/1805/08/23/pdfs/GMD-1805-68.pdf#page=10","Abrir facsímil")</f>
        <v>Abrir facsímil</v>
      </c>
      <c r="K5914" s="15" t="s">
        <v>22</v>
      </c>
    </row>
    <row r="5915" spans="1:11" ht="42" customHeight="1">
      <c r="A5915" s="4" t="s">
        <v>13528</v>
      </c>
      <c r="B5915" s="5" t="s">
        <v>13528</v>
      </c>
      <c r="C5915" s="5" t="s">
        <v>35</v>
      </c>
      <c r="D5915" s="5" t="s">
        <v>36</v>
      </c>
      <c r="E5915" s="5" t="s">
        <v>226</v>
      </c>
      <c r="F5915" s="9">
        <v>73</v>
      </c>
      <c r="G5915" s="9">
        <v>775</v>
      </c>
      <c r="H5915" s="5" t="s">
        <v>20</v>
      </c>
      <c r="I5915" s="5" t="s">
        <v>13550</v>
      </c>
      <c r="J5915" s="12" t="str">
        <f>HYPERLINK("https://www.boe.es/gazeta/dias/1805/09/10/pdfs/GMD-1805-73.pdf#page=7","Abrir facsímil")</f>
        <v>Abrir facsímil</v>
      </c>
      <c r="K5915" s="15" t="s">
        <v>22</v>
      </c>
    </row>
    <row r="5916" spans="1:11" ht="42" customHeight="1">
      <c r="A5916" s="4" t="s">
        <v>13528</v>
      </c>
      <c r="B5916" s="5" t="s">
        <v>13528</v>
      </c>
      <c r="C5916" s="5" t="s">
        <v>35</v>
      </c>
      <c r="D5916" s="5" t="s">
        <v>36</v>
      </c>
      <c r="E5916" s="5" t="s">
        <v>163</v>
      </c>
      <c r="F5916" s="9">
        <v>77</v>
      </c>
      <c r="G5916" s="9">
        <v>818</v>
      </c>
      <c r="H5916" s="5" t="s">
        <v>20</v>
      </c>
      <c r="I5916" s="5" t="s">
        <v>13551</v>
      </c>
      <c r="J5916" s="12" t="str">
        <f>HYPERLINK("https://www.boe.es/gazeta/dias/1805/09/24/pdfs/GMD-1805-77.pdf#page=10","Abrir facsímil")</f>
        <v>Abrir facsímil</v>
      </c>
      <c r="K5916" s="15" t="s">
        <v>22</v>
      </c>
    </row>
    <row r="5917" spans="1:11" ht="42" customHeight="1">
      <c r="A5917" s="4" t="s">
        <v>13528</v>
      </c>
      <c r="B5917" s="5" t="s">
        <v>13528</v>
      </c>
      <c r="C5917" s="5" t="s">
        <v>35</v>
      </c>
      <c r="D5917" s="5" t="s">
        <v>36</v>
      </c>
      <c r="E5917" s="5" t="s">
        <v>335</v>
      </c>
      <c r="F5917" s="9">
        <v>79</v>
      </c>
      <c r="G5917" s="9">
        <v>839</v>
      </c>
      <c r="H5917" s="5" t="s">
        <v>20</v>
      </c>
      <c r="I5917" s="5" t="s">
        <v>13552</v>
      </c>
      <c r="J5917" s="12" t="str">
        <f>HYPERLINK("https://www.boe.es/gazeta/dias/1805/10/01/pdfs/GMD-1805-79.pdf#page=11","Abrir facsímil")</f>
        <v>Abrir facsímil</v>
      </c>
      <c r="K5917" s="15" t="s">
        <v>22</v>
      </c>
    </row>
    <row r="5918" spans="1:11" ht="42" customHeight="1">
      <c r="A5918" s="4" t="s">
        <v>13528</v>
      </c>
      <c r="B5918" s="5" t="s">
        <v>13528</v>
      </c>
      <c r="C5918" s="5" t="s">
        <v>35</v>
      </c>
      <c r="D5918" s="5" t="s">
        <v>36</v>
      </c>
      <c r="E5918" s="5" t="s">
        <v>99</v>
      </c>
      <c r="F5918" s="9">
        <v>83</v>
      </c>
      <c r="G5918" s="9">
        <v>883</v>
      </c>
      <c r="H5918" s="5" t="s">
        <v>20</v>
      </c>
      <c r="I5918" s="5" t="s">
        <v>13553</v>
      </c>
      <c r="J5918" s="12" t="str">
        <f>HYPERLINK("https://www.boe.es/gazeta/dias/1805/10/15/pdfs/GMD-1805-83.pdf#page=11","Abrir facsímil")</f>
        <v>Abrir facsímil</v>
      </c>
      <c r="K5918" s="15" t="s">
        <v>22</v>
      </c>
    </row>
    <row r="5919" spans="1:11" ht="42" customHeight="1">
      <c r="A5919" s="4" t="s">
        <v>13528</v>
      </c>
      <c r="B5919" s="5" t="s">
        <v>13528</v>
      </c>
      <c r="C5919" s="5" t="s">
        <v>35</v>
      </c>
      <c r="D5919" s="5" t="s">
        <v>36</v>
      </c>
      <c r="E5919" s="5" t="s">
        <v>144</v>
      </c>
      <c r="F5919" s="9">
        <v>85</v>
      </c>
      <c r="G5919" s="9">
        <v>902</v>
      </c>
      <c r="H5919" s="5" t="s">
        <v>20</v>
      </c>
      <c r="I5919" s="5" t="s">
        <v>13554</v>
      </c>
      <c r="J5919" s="12" t="str">
        <f>HYPERLINK("https://www.boe.es/gazeta/dias/1805/10/22/pdfs/GMD-1805-85.pdf#page=10","Abrir facsímil")</f>
        <v>Abrir facsímil</v>
      </c>
      <c r="K5919" s="15" t="s">
        <v>22</v>
      </c>
    </row>
    <row r="5920" spans="1:11" ht="42" customHeight="1">
      <c r="A5920" s="4" t="s">
        <v>13528</v>
      </c>
      <c r="B5920" s="5" t="s">
        <v>13528</v>
      </c>
      <c r="C5920" s="5" t="s">
        <v>35</v>
      </c>
      <c r="D5920" s="5" t="s">
        <v>36</v>
      </c>
      <c r="E5920" s="5" t="s">
        <v>19</v>
      </c>
      <c r="F5920" s="9">
        <v>86</v>
      </c>
      <c r="G5920" s="9">
        <v>915</v>
      </c>
      <c r="H5920" s="5" t="s">
        <v>20</v>
      </c>
      <c r="I5920" s="5" t="s">
        <v>13555</v>
      </c>
      <c r="J5920" s="12" t="str">
        <f>HYPERLINK("https://www.boe.es/gazeta/dias/1805/10/25/pdfs/GMD-1805-86.pdf#page=11","Abrir facsímil")</f>
        <v>Abrir facsímil</v>
      </c>
      <c r="K5920" s="15" t="s">
        <v>22</v>
      </c>
    </row>
    <row r="5921" spans="1:11" ht="42" customHeight="1">
      <c r="A5921" s="4" t="s">
        <v>13528</v>
      </c>
      <c r="B5921" s="5" t="s">
        <v>13528</v>
      </c>
      <c r="C5921" s="5" t="s">
        <v>35</v>
      </c>
      <c r="D5921" s="5" t="s">
        <v>36</v>
      </c>
      <c r="E5921" s="5" t="s">
        <v>215</v>
      </c>
      <c r="F5921" s="9">
        <v>87</v>
      </c>
      <c r="G5921" s="9">
        <v>928</v>
      </c>
      <c r="H5921" s="5" t="s">
        <v>20</v>
      </c>
      <c r="I5921" s="5" t="s">
        <v>13556</v>
      </c>
      <c r="J5921" s="12" t="str">
        <f>HYPERLINK("https://www.boe.es/gazeta/dias/1805/10/29/pdfs/GMD-1805-87.pdf#page=12","Abrir facsímil")</f>
        <v>Abrir facsímil</v>
      </c>
      <c r="K5921" s="15" t="s">
        <v>22</v>
      </c>
    </row>
    <row r="5922" spans="1:11" ht="42" customHeight="1">
      <c r="A5922" s="4" t="s">
        <v>13528</v>
      </c>
      <c r="B5922" s="5" t="s">
        <v>13528</v>
      </c>
      <c r="C5922" s="5" t="s">
        <v>35</v>
      </c>
      <c r="D5922" s="5" t="s">
        <v>36</v>
      </c>
      <c r="E5922" s="5" t="s">
        <v>181</v>
      </c>
      <c r="F5922" s="9">
        <v>90</v>
      </c>
      <c r="G5922" s="9">
        <v>966</v>
      </c>
      <c r="H5922" s="5" t="s">
        <v>20</v>
      </c>
      <c r="I5922" s="5" t="s">
        <v>13557</v>
      </c>
      <c r="J5922" s="12" t="str">
        <f>HYPERLINK("https://www.boe.es/gazeta/dias/1805/11/08/pdfs/GMD-1805-90.pdf#page=10","Abrir facsímil")</f>
        <v>Abrir facsímil</v>
      </c>
      <c r="K5922" s="15" t="s">
        <v>22</v>
      </c>
    </row>
    <row r="5923" spans="1:11" ht="42" customHeight="1">
      <c r="A5923" s="4" t="s">
        <v>13528</v>
      </c>
      <c r="B5923" s="5" t="s">
        <v>13528</v>
      </c>
      <c r="C5923" s="5" t="s">
        <v>35</v>
      </c>
      <c r="D5923" s="5" t="s">
        <v>36</v>
      </c>
      <c r="E5923" s="5" t="s">
        <v>552</v>
      </c>
      <c r="F5923" s="9">
        <v>94</v>
      </c>
      <c r="G5923" s="9">
        <v>1010</v>
      </c>
      <c r="H5923" s="5" t="s">
        <v>20</v>
      </c>
      <c r="I5923" s="5" t="s">
        <v>13558</v>
      </c>
      <c r="J5923" s="12" t="str">
        <f>HYPERLINK("https://www.boe.es/gazeta/dias/1805/11/22/pdfs/GMD-1805-94.pdf#page=10","Abrir facsímil")</f>
        <v>Abrir facsímil</v>
      </c>
      <c r="K5923" s="15" t="s">
        <v>22</v>
      </c>
    </row>
    <row r="5924" spans="1:11" ht="42" customHeight="1">
      <c r="A5924" s="4" t="s">
        <v>13528</v>
      </c>
      <c r="B5924" s="5" t="s">
        <v>13528</v>
      </c>
      <c r="C5924" s="5" t="s">
        <v>35</v>
      </c>
      <c r="D5924" s="5" t="s">
        <v>36</v>
      </c>
      <c r="E5924" s="5" t="s">
        <v>552</v>
      </c>
      <c r="F5924" s="9">
        <v>94</v>
      </c>
      <c r="G5924" s="9">
        <v>1011</v>
      </c>
      <c r="H5924" s="5" t="s">
        <v>20</v>
      </c>
      <c r="I5924" s="5" t="s">
        <v>13559</v>
      </c>
      <c r="J5924" s="12" t="str">
        <f>HYPERLINK("https://www.boe.es/gazeta/dias/1805/11/22/pdfs/GMD-1805-94.pdf#page=11","Abrir facsímil")</f>
        <v>Abrir facsímil</v>
      </c>
      <c r="K5924" s="15" t="s">
        <v>22</v>
      </c>
    </row>
    <row r="5925" spans="1:11" ht="42" customHeight="1">
      <c r="A5925" s="4" t="s">
        <v>13528</v>
      </c>
      <c r="B5925" s="5" t="s">
        <v>13528</v>
      </c>
      <c r="C5925" s="5" t="s">
        <v>35</v>
      </c>
      <c r="D5925" s="5" t="s">
        <v>36</v>
      </c>
      <c r="E5925" s="5" t="s">
        <v>217</v>
      </c>
      <c r="F5925" s="9">
        <v>96</v>
      </c>
      <c r="G5925" s="9">
        <v>1031</v>
      </c>
      <c r="H5925" s="5" t="s">
        <v>20</v>
      </c>
      <c r="I5925" s="5" t="s">
        <v>13560</v>
      </c>
      <c r="J5925" s="12" t="str">
        <f>HYPERLINK("https://www.boe.es/gazeta/dias/1805/11/29/pdfs/GMD-1805-96.pdf#page=7","Abrir facsímil")</f>
        <v>Abrir facsímil</v>
      </c>
      <c r="K5925" s="15" t="s">
        <v>22</v>
      </c>
    </row>
    <row r="5926" spans="1:11" ht="42" customHeight="1">
      <c r="A5926" s="4" t="s">
        <v>13528</v>
      </c>
      <c r="B5926" s="5" t="s">
        <v>13528</v>
      </c>
      <c r="C5926" s="5" t="s">
        <v>35</v>
      </c>
      <c r="D5926" s="5" t="s">
        <v>36</v>
      </c>
      <c r="E5926" s="5" t="s">
        <v>539</v>
      </c>
      <c r="F5926" s="9">
        <v>97</v>
      </c>
      <c r="G5926" s="9">
        <v>1047</v>
      </c>
      <c r="H5926" s="5" t="s">
        <v>20</v>
      </c>
      <c r="I5926" s="5" t="s">
        <v>13561</v>
      </c>
      <c r="J5926" s="12" t="str">
        <f>HYPERLINK("https://www.boe.es/gazeta/dias/1805/12/03/pdfs/GMD-1805-97.pdf#page=11","Abrir facsímil")</f>
        <v>Abrir facsímil</v>
      </c>
      <c r="K5926" s="15" t="s">
        <v>22</v>
      </c>
    </row>
    <row r="5927" spans="1:11" ht="42" customHeight="1">
      <c r="A5927" s="4" t="s">
        <v>13528</v>
      </c>
      <c r="B5927" s="5" t="s">
        <v>13528</v>
      </c>
      <c r="C5927" s="5" t="s">
        <v>35</v>
      </c>
      <c r="D5927" s="5" t="s">
        <v>36</v>
      </c>
      <c r="E5927" s="5" t="s">
        <v>54</v>
      </c>
      <c r="F5927" s="9">
        <v>99</v>
      </c>
      <c r="G5927" s="9">
        <v>1069</v>
      </c>
      <c r="H5927" s="5" t="s">
        <v>20</v>
      </c>
      <c r="I5927" s="5" t="s">
        <v>13562</v>
      </c>
      <c r="J5927" s="12" t="str">
        <f>HYPERLINK("https://www.boe.es/gazeta/dias/1805/12/10/pdfs/GMD-1805-99.pdf#page=9","Abrir facsímil")</f>
        <v>Abrir facsímil</v>
      </c>
      <c r="K5927" s="15" t="s">
        <v>22</v>
      </c>
    </row>
    <row r="5928" spans="1:11" ht="42" customHeight="1">
      <c r="A5928" s="4" t="s">
        <v>13528</v>
      </c>
      <c r="B5928" s="5" t="s">
        <v>13528</v>
      </c>
      <c r="C5928" s="5" t="s">
        <v>35</v>
      </c>
      <c r="D5928" s="5" t="s">
        <v>36</v>
      </c>
      <c r="E5928" s="5" t="s">
        <v>512</v>
      </c>
      <c r="F5928" s="9">
        <v>100</v>
      </c>
      <c r="G5928" s="9">
        <v>1081</v>
      </c>
      <c r="H5928" s="5" t="s">
        <v>20</v>
      </c>
      <c r="I5928" s="5" t="s">
        <v>13563</v>
      </c>
      <c r="J5928" s="12" t="str">
        <f>HYPERLINK("https://www.boe.es/gazeta/dias/1805/12/13/pdfs/GMD-1805-100.pdf#page=9","Abrir facsímil")</f>
        <v>Abrir facsímil</v>
      </c>
      <c r="K5928" s="15" t="s">
        <v>22</v>
      </c>
    </row>
    <row r="5929" spans="1:11" ht="42" customHeight="1">
      <c r="A5929" s="4" t="s">
        <v>13528</v>
      </c>
      <c r="B5929" s="5" t="s">
        <v>13528</v>
      </c>
      <c r="C5929" s="5" t="s">
        <v>35</v>
      </c>
      <c r="D5929" s="5" t="s">
        <v>36</v>
      </c>
      <c r="E5929" s="5" t="s">
        <v>63</v>
      </c>
      <c r="F5929" s="9">
        <v>101</v>
      </c>
      <c r="G5929" s="9">
        <v>1093</v>
      </c>
      <c r="H5929" s="5" t="s">
        <v>20</v>
      </c>
      <c r="I5929" s="5" t="s">
        <v>13564</v>
      </c>
      <c r="J5929" s="12" t="str">
        <f>HYPERLINK("https://www.boe.es/gazeta/dias/1805/12/17/pdfs/GMD-1805-101.pdf#page=9","Abrir facsímil")</f>
        <v>Abrir facsímil</v>
      </c>
      <c r="K5929" s="15" t="s">
        <v>22</v>
      </c>
    </row>
    <row r="5930" spans="1:11" ht="42" customHeight="1">
      <c r="A5930" s="4" t="s">
        <v>13528</v>
      </c>
      <c r="B5930" s="5" t="s">
        <v>13528</v>
      </c>
      <c r="C5930" s="5" t="s">
        <v>184</v>
      </c>
      <c r="D5930" s="5" t="s">
        <v>86</v>
      </c>
      <c r="E5930" s="5" t="s">
        <v>138</v>
      </c>
      <c r="F5930" s="9">
        <v>102</v>
      </c>
      <c r="G5930" s="9">
        <v>1105</v>
      </c>
      <c r="H5930" s="5" t="s">
        <v>20</v>
      </c>
      <c r="I5930" s="5" t="s">
        <v>13565</v>
      </c>
      <c r="J5930" s="12" t="str">
        <f>HYPERLINK("https://www.boe.es/gazeta/dias/1805/12/20/pdfs/GMD-1805-102.pdf#page=9","Abrir facsímil")</f>
        <v>Abrir facsímil</v>
      </c>
      <c r="K5930" s="15" t="s">
        <v>22</v>
      </c>
    </row>
    <row r="5931" spans="1:11" ht="42" customHeight="1">
      <c r="A5931" s="4" t="s">
        <v>13566</v>
      </c>
      <c r="B5931" s="5" t="s">
        <v>13566</v>
      </c>
      <c r="C5931" s="5" t="s">
        <v>35</v>
      </c>
      <c r="D5931" s="5" t="s">
        <v>36</v>
      </c>
      <c r="E5931" s="5" t="s">
        <v>138</v>
      </c>
      <c r="F5931" s="9">
        <v>102</v>
      </c>
      <c r="G5931" s="9">
        <v>1103</v>
      </c>
      <c r="H5931" s="5" t="s">
        <v>20</v>
      </c>
      <c r="I5931" s="5" t="s">
        <v>13567</v>
      </c>
      <c r="J5931" s="12" t="str">
        <f>HYPERLINK("https://www.boe.es/gazeta/dias/1805/12/20/pdfs/GMD-1805-102.pdf#page=7","Abrir facsímil")</f>
        <v>Abrir facsímil</v>
      </c>
      <c r="K5931" s="15" t="s">
        <v>22</v>
      </c>
    </row>
    <row r="5932" spans="1:11" ht="42" customHeight="1">
      <c r="A5932" s="4" t="s">
        <v>13568</v>
      </c>
      <c r="B5932" s="5" t="s">
        <v>13568</v>
      </c>
      <c r="C5932" s="5" t="s">
        <v>52</v>
      </c>
      <c r="D5932" s="5" t="s">
        <v>53</v>
      </c>
      <c r="E5932" s="5" t="s">
        <v>144</v>
      </c>
      <c r="F5932" s="9">
        <v>85</v>
      </c>
      <c r="G5932" s="9" t="s">
        <v>475</v>
      </c>
      <c r="H5932" s="5" t="s">
        <v>20</v>
      </c>
      <c r="I5932" s="5" t="s">
        <v>13569</v>
      </c>
      <c r="J5932" s="12" t="str">
        <f>HYPERLINK("https://www.boe.es/gazeta/dias/1805/10/22/pdfs/GMD-C-1805-85.pdf#page=5","Abrir facsímil")</f>
        <v>Abrir facsímil</v>
      </c>
      <c r="K5932" s="15" t="s">
        <v>22</v>
      </c>
    </row>
    <row r="5933" spans="1:11" ht="42" customHeight="1">
      <c r="A5933" s="4" t="s">
        <v>13570</v>
      </c>
      <c r="B5933" s="5" t="s">
        <v>13570</v>
      </c>
      <c r="C5933" s="5" t="s">
        <v>29</v>
      </c>
      <c r="D5933" s="5" t="s">
        <v>30</v>
      </c>
      <c r="E5933" s="5" t="s">
        <v>363</v>
      </c>
      <c r="F5933" s="9">
        <v>1</v>
      </c>
      <c r="G5933" s="9">
        <v>10</v>
      </c>
      <c r="H5933" s="5" t="s">
        <v>20</v>
      </c>
      <c r="I5933" s="5" t="s">
        <v>13571</v>
      </c>
      <c r="J5933" s="12" t="str">
        <f>HYPERLINK("https://www.boe.es/gazeta/dias/1805/01/01/pdfs/GMD-1805-1.pdf#page=10","Abrir facsímil")</f>
        <v>Abrir facsímil</v>
      </c>
      <c r="K5933" s="15" t="s">
        <v>22</v>
      </c>
    </row>
    <row r="5934" spans="1:11" ht="42" customHeight="1">
      <c r="A5934" s="4" t="s">
        <v>13572</v>
      </c>
      <c r="B5934" s="5" t="s">
        <v>13572</v>
      </c>
      <c r="C5934" s="5" t="s">
        <v>35</v>
      </c>
      <c r="D5934" s="5" t="s">
        <v>36</v>
      </c>
      <c r="E5934" s="5" t="s">
        <v>512</v>
      </c>
      <c r="F5934" s="9">
        <v>100</v>
      </c>
      <c r="G5934" s="9">
        <v>1082</v>
      </c>
      <c r="H5934" s="5" t="s">
        <v>20</v>
      </c>
      <c r="I5934" s="5" t="s">
        <v>13573</v>
      </c>
      <c r="J5934" s="12" t="str">
        <f>HYPERLINK("https://www.boe.es/gazeta/dias/1805/12/13/pdfs/GMD-1805-100.pdf#page=10","Abrir facsímil")</f>
        <v>Abrir facsímil</v>
      </c>
      <c r="K5934" s="15" t="s">
        <v>22</v>
      </c>
    </row>
    <row r="5935" spans="1:11" ht="42" customHeight="1">
      <c r="A5935" s="4" t="s">
        <v>13574</v>
      </c>
      <c r="B5935" s="5" t="s">
        <v>13574</v>
      </c>
      <c r="C5935" s="5" t="s">
        <v>85</v>
      </c>
      <c r="D5935" s="5" t="s">
        <v>86</v>
      </c>
      <c r="E5935" s="5" t="s">
        <v>27</v>
      </c>
      <c r="F5935" s="9">
        <v>37</v>
      </c>
      <c r="G5935" s="9">
        <v>402</v>
      </c>
      <c r="H5935" s="5" t="s">
        <v>20</v>
      </c>
      <c r="I5935" s="5" t="s">
        <v>13575</v>
      </c>
      <c r="J5935" s="12" t="str">
        <f>HYPERLINK("https://www.boe.es/gazeta/dias/1805/05/07/pdfs/GMD-1805-37.pdf#page=10","Abrir facsímil")</f>
        <v>Abrir facsímil</v>
      </c>
      <c r="K5935" s="15" t="s">
        <v>22</v>
      </c>
    </row>
    <row r="5936" spans="1:11" ht="42" customHeight="1">
      <c r="A5936" s="4" t="s">
        <v>13576</v>
      </c>
      <c r="B5936" s="5" t="s">
        <v>13577</v>
      </c>
      <c r="C5936" s="5" t="s">
        <v>35</v>
      </c>
      <c r="D5936" s="5" t="s">
        <v>36</v>
      </c>
      <c r="E5936" s="5" t="s">
        <v>196</v>
      </c>
      <c r="F5936" s="9">
        <v>67</v>
      </c>
      <c r="G5936" s="9">
        <v>717</v>
      </c>
      <c r="H5936" s="5" t="s">
        <v>20</v>
      </c>
      <c r="I5936" s="5" t="s">
        <v>13578</v>
      </c>
      <c r="J5936" s="12" t="str">
        <f>HYPERLINK("https://www.boe.es/gazeta/dias/1805/08/20/pdfs/GMD-1805-67.pdf#page=5","Abrir facsímil")</f>
        <v>Abrir facsímil</v>
      </c>
      <c r="K5936" s="15" t="s">
        <v>22</v>
      </c>
    </row>
    <row r="5937" spans="1:11" ht="42" customHeight="1">
      <c r="A5937" s="4" t="s">
        <v>13579</v>
      </c>
      <c r="B5937" s="5" t="s">
        <v>13580</v>
      </c>
      <c r="C5937" s="5" t="s">
        <v>17</v>
      </c>
      <c r="D5937" s="5" t="s">
        <v>18</v>
      </c>
      <c r="E5937" s="5" t="s">
        <v>122</v>
      </c>
      <c r="F5937" s="9">
        <v>38</v>
      </c>
      <c r="G5937" s="9">
        <v>411</v>
      </c>
      <c r="H5937" s="5" t="s">
        <v>20</v>
      </c>
      <c r="I5937" s="5" t="s">
        <v>13581</v>
      </c>
      <c r="J5937" s="12" t="str">
        <f>HYPERLINK("https://www.boe.es/gazeta/dias/1805/05/10/pdfs/GMD-1805-38.pdf#page=7","Abrir facsímil")</f>
        <v>Abrir facsímil</v>
      </c>
      <c r="K5937" s="15" t="s">
        <v>22</v>
      </c>
    </row>
    <row r="5938" spans="1:11" ht="42" customHeight="1">
      <c r="A5938" s="4" t="s">
        <v>13582</v>
      </c>
      <c r="B5938" s="5" t="s">
        <v>13583</v>
      </c>
      <c r="C5938" s="5" t="s">
        <v>35</v>
      </c>
      <c r="D5938" s="5" t="s">
        <v>36</v>
      </c>
      <c r="E5938" s="5" t="s">
        <v>170</v>
      </c>
      <c r="F5938" s="9">
        <v>9</v>
      </c>
      <c r="G5938" s="9">
        <v>104</v>
      </c>
      <c r="H5938" s="5" t="s">
        <v>20</v>
      </c>
      <c r="I5938" s="5" t="s">
        <v>13584</v>
      </c>
      <c r="J5938" s="12" t="str">
        <f>HYPERLINK("https://www.boe.es/gazeta/dias/1805/01/29/pdfs/GMD-1805-9.pdf#page=12","Abrir facsímil")</f>
        <v>Abrir facsímil</v>
      </c>
      <c r="K5938" s="15" t="s">
        <v>22</v>
      </c>
    </row>
    <row r="5939" spans="1:11" ht="42" customHeight="1">
      <c r="A5939" s="4" t="s">
        <v>13585</v>
      </c>
      <c r="B5939" s="5" t="s">
        <v>13586</v>
      </c>
      <c r="C5939" s="5" t="s">
        <v>35</v>
      </c>
      <c r="D5939" s="5" t="s">
        <v>36</v>
      </c>
      <c r="E5939" s="5" t="s">
        <v>135</v>
      </c>
      <c r="F5939" s="9">
        <v>71</v>
      </c>
      <c r="G5939" s="9">
        <v>757</v>
      </c>
      <c r="H5939" s="5" t="s">
        <v>20</v>
      </c>
      <c r="I5939" s="5" t="s">
        <v>13587</v>
      </c>
      <c r="J5939" s="12" t="str">
        <f>HYPERLINK("https://www.boe.es/gazeta/dias/1805/09/03/pdfs/GMD-1805-71.pdf#page=9","Abrir facsímil")</f>
        <v>Abrir facsímil</v>
      </c>
      <c r="K5939" s="15" t="s">
        <v>22</v>
      </c>
    </row>
    <row r="5940" spans="1:11" ht="42" customHeight="1">
      <c r="A5940" s="4" t="s">
        <v>13588</v>
      </c>
      <c r="B5940" s="5" t="s">
        <v>13588</v>
      </c>
      <c r="C5940" s="5" t="s">
        <v>35</v>
      </c>
      <c r="D5940" s="5" t="s">
        <v>36</v>
      </c>
      <c r="E5940" s="5" t="s">
        <v>273</v>
      </c>
      <c r="F5940" s="9">
        <v>8</v>
      </c>
      <c r="G5940" s="9">
        <v>90</v>
      </c>
      <c r="H5940" s="5" t="s">
        <v>20</v>
      </c>
      <c r="I5940" s="5" t="s">
        <v>13589</v>
      </c>
      <c r="J5940" s="12" t="str">
        <f>HYPERLINK("https://www.boe.es/gazeta/dias/1805/01/25/pdfs/GMD-1805-8.pdf#page=10","Abrir facsímil")</f>
        <v>Abrir facsímil</v>
      </c>
      <c r="K5940" s="15" t="s">
        <v>22</v>
      </c>
    </row>
    <row r="5941" spans="1:11" ht="42" customHeight="1">
      <c r="A5941" s="4" t="s">
        <v>13590</v>
      </c>
      <c r="B5941" s="5" t="s">
        <v>13591</v>
      </c>
      <c r="C5941" s="5" t="s">
        <v>85</v>
      </c>
      <c r="D5941" s="5" t="s">
        <v>86</v>
      </c>
      <c r="E5941" s="5" t="s">
        <v>276</v>
      </c>
      <c r="F5941" s="9">
        <v>51</v>
      </c>
      <c r="G5941" s="9">
        <v>550</v>
      </c>
      <c r="H5941" s="5" t="s">
        <v>20</v>
      </c>
      <c r="I5941" s="5" t="s">
        <v>13592</v>
      </c>
      <c r="J5941" s="12" t="str">
        <f>HYPERLINK("https://www.boe.es/gazeta/dias/1805/06/25/pdfs/GMD-1805-51.pdf#page=6","Abrir facsímil")</f>
        <v>Abrir facsímil</v>
      </c>
      <c r="K5941" s="15" t="s">
        <v>22</v>
      </c>
    </row>
    <row r="5942" spans="1:11" ht="42" customHeight="1">
      <c r="A5942" s="4" t="s">
        <v>13593</v>
      </c>
      <c r="B5942" s="5" t="s">
        <v>13594</v>
      </c>
      <c r="C5942" s="5" t="s">
        <v>35</v>
      </c>
      <c r="D5942" s="5" t="s">
        <v>36</v>
      </c>
      <c r="E5942" s="5" t="s">
        <v>207</v>
      </c>
      <c r="F5942" s="9">
        <v>76</v>
      </c>
      <c r="G5942" s="9">
        <v>807</v>
      </c>
      <c r="H5942" s="5" t="s">
        <v>20</v>
      </c>
      <c r="I5942" s="5" t="s">
        <v>13595</v>
      </c>
      <c r="J5942" s="12" t="str">
        <f>HYPERLINK("https://www.boe.es/gazeta/dias/1805/09/20/pdfs/GMD-1805-76.pdf#page=7","Abrir facsímil")</f>
        <v>Abrir facsímil</v>
      </c>
      <c r="K5942" s="15" t="s">
        <v>22</v>
      </c>
    </row>
    <row r="5943" spans="1:11" ht="42" customHeight="1">
      <c r="A5943" s="4" t="s">
        <v>13593</v>
      </c>
      <c r="B5943" s="5" t="s">
        <v>13594</v>
      </c>
      <c r="C5943" s="5" t="s">
        <v>35</v>
      </c>
      <c r="D5943" s="5" t="s">
        <v>36</v>
      </c>
      <c r="E5943" s="5" t="s">
        <v>138</v>
      </c>
      <c r="F5943" s="9">
        <v>102</v>
      </c>
      <c r="G5943" s="9">
        <v>1105</v>
      </c>
      <c r="H5943" s="5" t="s">
        <v>20</v>
      </c>
      <c r="I5943" s="5" t="s">
        <v>13596</v>
      </c>
      <c r="J5943" s="12" t="str">
        <f>HYPERLINK("https://www.boe.es/gazeta/dias/1805/12/20/pdfs/GMD-1805-102.pdf#page=9","Abrir facsímil")</f>
        <v>Abrir facsímil</v>
      </c>
      <c r="K5943" s="15" t="s">
        <v>22</v>
      </c>
    </row>
    <row r="5944" spans="1:11" ht="42" customHeight="1">
      <c r="A5944" s="4" t="s">
        <v>13597</v>
      </c>
      <c r="B5944" s="5" t="s">
        <v>13598</v>
      </c>
      <c r="C5944" s="5" t="s">
        <v>35</v>
      </c>
      <c r="D5944" s="5" t="s">
        <v>36</v>
      </c>
      <c r="E5944" s="5" t="s">
        <v>363</v>
      </c>
      <c r="F5944" s="9">
        <v>1</v>
      </c>
      <c r="G5944" s="9">
        <v>10</v>
      </c>
      <c r="H5944" s="5" t="s">
        <v>20</v>
      </c>
      <c r="I5944" s="5" t="s">
        <v>13599</v>
      </c>
      <c r="J5944" s="12" t="str">
        <f>HYPERLINK("https://www.boe.es/gazeta/dias/1805/01/01/pdfs/GMD-1805-1.pdf#page=10","Abrir facsímil")</f>
        <v>Abrir facsímil</v>
      </c>
      <c r="K5944" s="15" t="s">
        <v>22</v>
      </c>
    </row>
    <row r="5945" spans="1:11" ht="42" customHeight="1">
      <c r="A5945" s="4" t="s">
        <v>13600</v>
      </c>
      <c r="B5945" s="5" t="s">
        <v>13601</v>
      </c>
      <c r="C5945" s="5" t="s">
        <v>85</v>
      </c>
      <c r="D5945" s="5" t="s">
        <v>86</v>
      </c>
      <c r="E5945" s="5" t="s">
        <v>303</v>
      </c>
      <c r="F5945" s="9">
        <v>57</v>
      </c>
      <c r="G5945" s="9">
        <v>610</v>
      </c>
      <c r="H5945" s="5" t="s">
        <v>20</v>
      </c>
      <c r="I5945" s="5" t="s">
        <v>13602</v>
      </c>
      <c r="J5945" s="12" t="str">
        <f>HYPERLINK("https://www.boe.es/gazeta/dias/1805/07/16/pdfs/GMD-1805-57.pdf#page=6","Abrir facsímil")</f>
        <v>Abrir facsímil</v>
      </c>
      <c r="K5945" s="15" t="s">
        <v>22</v>
      </c>
    </row>
    <row r="5946" spans="1:11" ht="42" customHeight="1">
      <c r="A5946" s="4" t="s">
        <v>13603</v>
      </c>
      <c r="B5946" s="5" t="s">
        <v>13604</v>
      </c>
      <c r="C5946" s="5" t="s">
        <v>17</v>
      </c>
      <c r="D5946" s="5" t="s">
        <v>18</v>
      </c>
      <c r="E5946" s="5" t="s">
        <v>196</v>
      </c>
      <c r="F5946" s="9">
        <v>67</v>
      </c>
      <c r="G5946" s="9">
        <v>717</v>
      </c>
      <c r="H5946" s="5" t="s">
        <v>20</v>
      </c>
      <c r="I5946" s="5" t="s">
        <v>13605</v>
      </c>
      <c r="J5946" s="12" t="str">
        <f>HYPERLINK("https://www.boe.es/gazeta/dias/1805/08/20/pdfs/GMD-1805-67.pdf#page=5","Abrir facsímil")</f>
        <v>Abrir facsímil</v>
      </c>
      <c r="K5946" s="15" t="s">
        <v>22</v>
      </c>
    </row>
    <row r="5947" spans="1:11" ht="42" customHeight="1">
      <c r="A5947" s="4" t="s">
        <v>13606</v>
      </c>
      <c r="B5947" s="5" t="s">
        <v>13607</v>
      </c>
      <c r="C5947" s="5" t="s">
        <v>35</v>
      </c>
      <c r="D5947" s="5" t="s">
        <v>36</v>
      </c>
      <c r="E5947" s="5" t="s">
        <v>290</v>
      </c>
      <c r="F5947" s="9">
        <v>36</v>
      </c>
      <c r="G5947" s="9">
        <v>389</v>
      </c>
      <c r="H5947" s="5" t="s">
        <v>20</v>
      </c>
      <c r="I5947" s="5" t="s">
        <v>13608</v>
      </c>
      <c r="J5947" s="12" t="str">
        <f>HYPERLINK("https://www.boe.es/gazeta/dias/1805/05/03/pdfs/GMD-1805-36.pdf#page=9","Abrir facsímil")</f>
        <v>Abrir facsímil</v>
      </c>
      <c r="K5947" s="15" t="s">
        <v>22</v>
      </c>
    </row>
    <row r="5948" spans="1:11" ht="42" customHeight="1">
      <c r="A5948" s="4" t="s">
        <v>13609</v>
      </c>
      <c r="B5948" s="5" t="s">
        <v>13609</v>
      </c>
      <c r="C5948" s="5" t="s">
        <v>17</v>
      </c>
      <c r="D5948" s="5" t="s">
        <v>18</v>
      </c>
      <c r="E5948" s="5" t="s">
        <v>135</v>
      </c>
      <c r="F5948" s="9">
        <v>71</v>
      </c>
      <c r="G5948" s="9">
        <v>757</v>
      </c>
      <c r="H5948" s="5" t="s">
        <v>20</v>
      </c>
      <c r="I5948" s="5" t="s">
        <v>13610</v>
      </c>
      <c r="J5948" s="12" t="str">
        <f>HYPERLINK("https://www.boe.es/gazeta/dias/1805/09/03/pdfs/GMD-1805-71.pdf#page=9","Abrir facsímil")</f>
        <v>Abrir facsímil</v>
      </c>
      <c r="K5948" s="15" t="s">
        <v>22</v>
      </c>
    </row>
    <row r="5949" spans="1:11" ht="42" customHeight="1">
      <c r="A5949" s="4" t="s">
        <v>13611</v>
      </c>
      <c r="B5949" s="5" t="s">
        <v>13612</v>
      </c>
      <c r="C5949" s="5" t="s">
        <v>35</v>
      </c>
      <c r="D5949" s="5" t="s">
        <v>36</v>
      </c>
      <c r="E5949" s="5" t="s">
        <v>864</v>
      </c>
      <c r="F5949" s="9">
        <v>88</v>
      </c>
      <c r="G5949" s="9">
        <v>938</v>
      </c>
      <c r="H5949" s="5" t="s">
        <v>20</v>
      </c>
      <c r="I5949" s="5" t="s">
        <v>13613</v>
      </c>
      <c r="J5949" s="12" t="str">
        <f>HYPERLINK("https://www.boe.es/gazeta/dias/1805/11/01/pdfs/GMD-1805-88.pdf#page=10","Abrir facsímil")</f>
        <v>Abrir facsímil</v>
      </c>
      <c r="K5949" s="15" t="s">
        <v>22</v>
      </c>
    </row>
    <row r="5950" spans="1:11" ht="42" customHeight="1">
      <c r="A5950" s="4" t="s">
        <v>13614</v>
      </c>
      <c r="B5950" s="5" t="s">
        <v>13615</v>
      </c>
      <c r="C5950" s="5" t="s">
        <v>52</v>
      </c>
      <c r="D5950" s="5" t="s">
        <v>53</v>
      </c>
      <c r="E5950" s="5" t="s">
        <v>82</v>
      </c>
      <c r="F5950" s="9">
        <v>25</v>
      </c>
      <c r="G5950" s="9" t="s">
        <v>222</v>
      </c>
      <c r="H5950" s="5" t="s">
        <v>20</v>
      </c>
      <c r="I5950" s="5" t="s">
        <v>13616</v>
      </c>
      <c r="J5950" s="12" t="str">
        <f>HYPERLINK("https://www.boe.es/gazeta/dias/1805/03/26/pdfs/GMD-C-1805-25.pdf#page=1","Abrir facsímil")</f>
        <v>Abrir facsímil</v>
      </c>
      <c r="K5950" s="15" t="s">
        <v>22</v>
      </c>
    </row>
    <row r="5951" spans="1:11" ht="42" customHeight="1">
      <c r="A5951" s="4" t="s">
        <v>13617</v>
      </c>
      <c r="B5951" s="5" t="s">
        <v>13618</v>
      </c>
      <c r="C5951" s="5" t="s">
        <v>17</v>
      </c>
      <c r="D5951" s="5" t="s">
        <v>18</v>
      </c>
      <c r="E5951" s="5" t="s">
        <v>132</v>
      </c>
      <c r="F5951" s="9">
        <v>2</v>
      </c>
      <c r="G5951" s="9">
        <v>21</v>
      </c>
      <c r="H5951" s="5" t="s">
        <v>20</v>
      </c>
      <c r="I5951" s="5" t="s">
        <v>13619</v>
      </c>
      <c r="J5951" s="12" t="str">
        <f>HYPERLINK("https://www.boe.es/gazeta/dias/1805/01/04/pdfs/GMD-1805-2.pdf#page=9","Abrir facsímil")</f>
        <v>Abrir facsímil</v>
      </c>
      <c r="K5951" s="15" t="s">
        <v>22</v>
      </c>
    </row>
    <row r="5952" spans="1:11" ht="42" customHeight="1">
      <c r="A5952" s="4" t="s">
        <v>13620</v>
      </c>
      <c r="B5952" s="5" t="s">
        <v>13621</v>
      </c>
      <c r="C5952" s="5" t="s">
        <v>35</v>
      </c>
      <c r="D5952" s="5" t="s">
        <v>36</v>
      </c>
      <c r="E5952" s="5" t="s">
        <v>273</v>
      </c>
      <c r="F5952" s="9">
        <v>8</v>
      </c>
      <c r="G5952" s="9">
        <v>91</v>
      </c>
      <c r="H5952" s="5" t="s">
        <v>20</v>
      </c>
      <c r="I5952" s="5" t="s">
        <v>13622</v>
      </c>
      <c r="J5952" s="12" t="str">
        <f>HYPERLINK("https://www.boe.es/gazeta/dias/1805/01/25/pdfs/GMD-1805-8.pdf#page=11","Abrir facsímil")</f>
        <v>Abrir facsímil</v>
      </c>
      <c r="K5952" s="15" t="s">
        <v>22</v>
      </c>
    </row>
    <row r="5953" spans="1:11" ht="42" customHeight="1">
      <c r="A5953" s="4" t="s">
        <v>13623</v>
      </c>
      <c r="B5953" s="5" t="s">
        <v>13624</v>
      </c>
      <c r="C5953" s="5" t="s">
        <v>35</v>
      </c>
      <c r="D5953" s="5" t="s">
        <v>36</v>
      </c>
      <c r="E5953" s="5" t="s">
        <v>352</v>
      </c>
      <c r="F5953" s="9">
        <v>60</v>
      </c>
      <c r="G5953" s="9">
        <v>647</v>
      </c>
      <c r="H5953" s="5" t="s">
        <v>20</v>
      </c>
      <c r="I5953" s="5" t="s">
        <v>13625</v>
      </c>
      <c r="J5953" s="12" t="str">
        <f>HYPERLINK("https://www.boe.es/gazeta/dias/1805/07/26/pdfs/GMD-1805-60.pdf#page=11","Abrir facsímil")</f>
        <v>Abrir facsímil</v>
      </c>
      <c r="K5953" s="15" t="s">
        <v>22</v>
      </c>
    </row>
    <row r="5954" spans="1:11" ht="42" customHeight="1">
      <c r="A5954" s="4" t="s">
        <v>13626</v>
      </c>
      <c r="B5954" s="5" t="s">
        <v>13627</v>
      </c>
      <c r="C5954" s="5" t="s">
        <v>184</v>
      </c>
      <c r="D5954" s="5" t="s">
        <v>86</v>
      </c>
      <c r="E5954" s="5" t="s">
        <v>673</v>
      </c>
      <c r="F5954" s="9">
        <v>32</v>
      </c>
      <c r="G5954" s="9">
        <v>343</v>
      </c>
      <c r="H5954" s="5" t="s">
        <v>20</v>
      </c>
      <c r="I5954" s="5" t="s">
        <v>13628</v>
      </c>
      <c r="J5954" s="12" t="str">
        <f>HYPERLINK("https://www.boe.es/gazeta/dias/1805/04/19/pdfs/GMD-1805-32.pdf#page=7","Abrir facsímil")</f>
        <v>Abrir facsímil</v>
      </c>
      <c r="K5954" s="15" t="s">
        <v>22</v>
      </c>
    </row>
    <row r="5955" spans="1:11" ht="42" customHeight="1">
      <c r="A5955" s="4" t="s">
        <v>13629</v>
      </c>
      <c r="B5955" s="5" t="s">
        <v>13630</v>
      </c>
      <c r="C5955" s="5" t="s">
        <v>85</v>
      </c>
      <c r="D5955" s="5" t="s">
        <v>86</v>
      </c>
      <c r="E5955" s="5" t="s">
        <v>44</v>
      </c>
      <c r="F5955" s="9">
        <v>29</v>
      </c>
      <c r="G5955" s="9">
        <v>311</v>
      </c>
      <c r="H5955" s="5" t="s">
        <v>20</v>
      </c>
      <c r="I5955" s="5" t="s">
        <v>13631</v>
      </c>
      <c r="J5955" s="12" t="str">
        <f>HYPERLINK("https://www.boe.es/gazeta/dias/1805/04/09/pdfs/GMD-1805-29.pdf#page=7","Abrir facsímil")</f>
        <v>Abrir facsímil</v>
      </c>
      <c r="K5955" s="15" t="s">
        <v>22</v>
      </c>
    </row>
    <row r="5956" spans="1:11" ht="42" customHeight="1">
      <c r="A5956" s="4" t="s">
        <v>13629</v>
      </c>
      <c r="B5956" s="5" t="s">
        <v>13630</v>
      </c>
      <c r="C5956" s="5" t="s">
        <v>35</v>
      </c>
      <c r="D5956" s="5" t="s">
        <v>36</v>
      </c>
      <c r="E5956" s="5" t="s">
        <v>290</v>
      </c>
      <c r="F5956" s="9">
        <v>36</v>
      </c>
      <c r="G5956" s="9">
        <v>388</v>
      </c>
      <c r="H5956" s="5" t="s">
        <v>20</v>
      </c>
      <c r="I5956" s="5" t="s">
        <v>13632</v>
      </c>
      <c r="J5956" s="12" t="str">
        <f>HYPERLINK("https://www.boe.es/gazeta/dias/1805/05/03/pdfs/GMD-1805-36.pdf#page=8","Abrir facsímil")</f>
        <v>Abrir facsímil</v>
      </c>
      <c r="K5956" s="15" t="s">
        <v>22</v>
      </c>
    </row>
    <row r="5957" spans="1:11" ht="42" customHeight="1">
      <c r="A5957" s="4" t="s">
        <v>13633</v>
      </c>
      <c r="B5957" s="5" t="s">
        <v>13634</v>
      </c>
      <c r="C5957" s="5" t="s">
        <v>17</v>
      </c>
      <c r="D5957" s="5" t="s">
        <v>18</v>
      </c>
      <c r="E5957" s="5" t="s">
        <v>91</v>
      </c>
      <c r="F5957" s="9">
        <v>28</v>
      </c>
      <c r="G5957" s="9">
        <v>301</v>
      </c>
      <c r="H5957" s="5" t="s">
        <v>20</v>
      </c>
      <c r="I5957" s="5" t="s">
        <v>13635</v>
      </c>
      <c r="J5957" s="12" t="str">
        <f>HYPERLINK("https://www.boe.es/gazeta/dias/1805/04/05/pdfs/GMD-1805-28.pdf#page=9","Abrir facsímil")</f>
        <v>Abrir facsímil</v>
      </c>
      <c r="K5957" s="15" t="s">
        <v>22</v>
      </c>
    </row>
    <row r="5958" spans="1:11" ht="42" customHeight="1">
      <c r="A5958" s="4" t="s">
        <v>13636</v>
      </c>
      <c r="B5958" s="5" t="s">
        <v>13637</v>
      </c>
      <c r="C5958" s="5" t="s">
        <v>35</v>
      </c>
      <c r="D5958" s="5" t="s">
        <v>36</v>
      </c>
      <c r="E5958" s="5" t="s">
        <v>37</v>
      </c>
      <c r="F5958" s="9">
        <v>54</v>
      </c>
      <c r="G5958" s="9">
        <v>579</v>
      </c>
      <c r="H5958" s="5" t="s">
        <v>20</v>
      </c>
      <c r="I5958" s="5" t="s">
        <v>13638</v>
      </c>
      <c r="J5958" s="12" t="str">
        <f>HYPERLINK("https://www.boe.es/gazeta/dias/1805/07/05/pdfs/GMD-1805-54.pdf#page=7","Abrir facsímil")</f>
        <v>Abrir facsímil</v>
      </c>
      <c r="K5958" s="15" t="s">
        <v>22</v>
      </c>
    </row>
    <row r="5959" spans="1:11" ht="42" customHeight="1">
      <c r="A5959" s="4" t="s">
        <v>13639</v>
      </c>
      <c r="B5959" s="5" t="s">
        <v>13640</v>
      </c>
      <c r="C5959" s="5" t="s">
        <v>35</v>
      </c>
      <c r="D5959" s="5" t="s">
        <v>36</v>
      </c>
      <c r="E5959" s="5" t="s">
        <v>59</v>
      </c>
      <c r="F5959" s="9">
        <v>21</v>
      </c>
      <c r="G5959" s="9">
        <v>223</v>
      </c>
      <c r="H5959" s="5" t="s">
        <v>20</v>
      </c>
      <c r="I5959" s="5" t="s">
        <v>13641</v>
      </c>
      <c r="J5959" s="12" t="str">
        <f>HYPERLINK("https://www.boe.es/gazeta/dias/1805/03/12/pdfs/GMD-1805-21.pdf#page=11","Abrir facsímil")</f>
        <v>Abrir facsímil</v>
      </c>
      <c r="K5959" s="15" t="s">
        <v>22</v>
      </c>
    </row>
    <row r="5960" spans="1:11" ht="42" customHeight="1">
      <c r="A5960" s="4" t="s">
        <v>13642</v>
      </c>
      <c r="B5960" s="5" t="s">
        <v>13643</v>
      </c>
      <c r="C5960" s="5" t="s">
        <v>85</v>
      </c>
      <c r="D5960" s="5" t="s">
        <v>86</v>
      </c>
      <c r="E5960" s="5" t="s">
        <v>1221</v>
      </c>
      <c r="F5960" s="9">
        <v>41</v>
      </c>
      <c r="G5960" s="9">
        <v>442</v>
      </c>
      <c r="H5960" s="5" t="s">
        <v>20</v>
      </c>
      <c r="I5960" s="5" t="s">
        <v>13644</v>
      </c>
      <c r="J5960" s="12" t="str">
        <f>HYPERLINK("https://www.boe.es/gazeta/dias/1805/05/21/pdfs/GMD-1805-41.pdf#page=10","Abrir facsímil")</f>
        <v>Abrir facsímil</v>
      </c>
      <c r="K5960" s="15" t="s">
        <v>22</v>
      </c>
    </row>
    <row r="5961" spans="1:11" ht="42" customHeight="1">
      <c r="A5961" s="4" t="s">
        <v>13645</v>
      </c>
      <c r="B5961" s="5" t="s">
        <v>13646</v>
      </c>
      <c r="C5961" s="5" t="s">
        <v>85</v>
      </c>
      <c r="D5961" s="5" t="s">
        <v>86</v>
      </c>
      <c r="E5961" s="5" t="s">
        <v>276</v>
      </c>
      <c r="F5961" s="9">
        <v>51</v>
      </c>
      <c r="G5961" s="9">
        <v>550</v>
      </c>
      <c r="H5961" s="5" t="s">
        <v>20</v>
      </c>
      <c r="I5961" s="5" t="s">
        <v>13647</v>
      </c>
      <c r="J5961" s="12" t="str">
        <f>HYPERLINK("https://www.boe.es/gazeta/dias/1805/06/25/pdfs/GMD-1805-51.pdf#page=6","Abrir facsímil")</f>
        <v>Abrir facsímil</v>
      </c>
      <c r="K5961" s="15" t="s">
        <v>22</v>
      </c>
    </row>
    <row r="5962" spans="1:11" ht="42" customHeight="1">
      <c r="A5962" s="4" t="s">
        <v>13648</v>
      </c>
      <c r="B5962" s="5" t="s">
        <v>13649</v>
      </c>
      <c r="C5962" s="5" t="s">
        <v>35</v>
      </c>
      <c r="D5962" s="5" t="s">
        <v>36</v>
      </c>
      <c r="E5962" s="5" t="s">
        <v>273</v>
      </c>
      <c r="F5962" s="9">
        <v>8</v>
      </c>
      <c r="G5962" s="9">
        <v>89</v>
      </c>
      <c r="H5962" s="5" t="s">
        <v>20</v>
      </c>
      <c r="I5962" s="5" t="s">
        <v>13650</v>
      </c>
      <c r="J5962" s="12" t="str">
        <f>HYPERLINK("https://www.boe.es/gazeta/dias/1805/01/25/pdfs/GMD-1805-8.pdf#page=9","Abrir facsímil")</f>
        <v>Abrir facsímil</v>
      </c>
      <c r="K5962" s="15" t="s">
        <v>22</v>
      </c>
    </row>
    <row r="5963" spans="1:11" ht="42" customHeight="1">
      <c r="A5963" s="4" t="s">
        <v>13651</v>
      </c>
      <c r="B5963" s="5" t="s">
        <v>13652</v>
      </c>
      <c r="C5963" s="5" t="s">
        <v>35</v>
      </c>
      <c r="D5963" s="5" t="s">
        <v>36</v>
      </c>
      <c r="E5963" s="5" t="s">
        <v>91</v>
      </c>
      <c r="F5963" s="9">
        <v>28</v>
      </c>
      <c r="G5963" s="9">
        <v>300</v>
      </c>
      <c r="H5963" s="5" t="s">
        <v>20</v>
      </c>
      <c r="I5963" s="5" t="s">
        <v>13653</v>
      </c>
      <c r="J5963" s="12" t="str">
        <f>HYPERLINK("https://www.boe.es/gazeta/dias/1805/04/05/pdfs/GMD-1805-28.pdf#page=8","Abrir facsímil")</f>
        <v>Abrir facsímil</v>
      </c>
      <c r="K5963" s="15" t="s">
        <v>22</v>
      </c>
    </row>
    <row r="5964" spans="1:11" ht="42" customHeight="1">
      <c r="A5964" s="4" t="s">
        <v>13654</v>
      </c>
      <c r="B5964" s="5" t="s">
        <v>13654</v>
      </c>
      <c r="C5964" s="5" t="s">
        <v>80</v>
      </c>
      <c r="D5964" s="5" t="s">
        <v>81</v>
      </c>
      <c r="E5964" s="5" t="s">
        <v>48</v>
      </c>
      <c r="F5964" s="9">
        <v>35</v>
      </c>
      <c r="G5964" s="9">
        <v>373</v>
      </c>
      <c r="H5964" s="5" t="s">
        <v>20</v>
      </c>
      <c r="I5964" s="5" t="s">
        <v>13655</v>
      </c>
      <c r="J5964" s="12" t="str">
        <f>HYPERLINK("https://www.boe.es/gazeta/dias/1805/04/30/pdfs/GMD-1805-35.pdf#page=5","Abrir facsímil")</f>
        <v>Abrir facsímil</v>
      </c>
      <c r="K5964" s="15" t="s">
        <v>22</v>
      </c>
    </row>
    <row r="5965" spans="1:11" ht="42" customHeight="1">
      <c r="A5965" s="4" t="s">
        <v>13654</v>
      </c>
      <c r="B5965" s="5" t="s">
        <v>13654</v>
      </c>
      <c r="C5965" s="5" t="s">
        <v>35</v>
      </c>
      <c r="D5965" s="5" t="s">
        <v>36</v>
      </c>
      <c r="E5965" s="5" t="s">
        <v>850</v>
      </c>
      <c r="F5965" s="9">
        <v>42</v>
      </c>
      <c r="G5965" s="9">
        <v>449</v>
      </c>
      <c r="H5965" s="5" t="s">
        <v>20</v>
      </c>
      <c r="I5965" s="5" t="s">
        <v>13656</v>
      </c>
      <c r="J5965" s="12" t="str">
        <f>HYPERLINK("https://www.boe.es/gazeta/dias/1805/05/24/pdfs/GMD-1805-42.pdf#page=5","Abrir facsímil")</f>
        <v>Abrir facsímil</v>
      </c>
      <c r="K5965" s="15" t="s">
        <v>22</v>
      </c>
    </row>
    <row r="5966" spans="1:11" ht="42" customHeight="1">
      <c r="A5966" s="4" t="s">
        <v>13654</v>
      </c>
      <c r="B5966" s="5" t="s">
        <v>13654</v>
      </c>
      <c r="C5966" s="5" t="s">
        <v>17</v>
      </c>
      <c r="D5966" s="5" t="s">
        <v>18</v>
      </c>
      <c r="E5966" s="5" t="s">
        <v>854</v>
      </c>
      <c r="F5966" s="9">
        <v>46</v>
      </c>
      <c r="G5966" s="9">
        <v>492</v>
      </c>
      <c r="H5966" s="5" t="s">
        <v>20</v>
      </c>
      <c r="I5966" s="5" t="s">
        <v>13657</v>
      </c>
      <c r="J5966" s="12" t="str">
        <f>HYPERLINK("https://www.boe.es/gazeta/dias/1805/06/07/pdfs/GMD-1805-46.pdf#page=4","Abrir facsímil")</f>
        <v>Abrir facsímil</v>
      </c>
      <c r="K5966" s="15" t="s">
        <v>22</v>
      </c>
    </row>
    <row r="5967" spans="1:11" ht="42" customHeight="1">
      <c r="A5967" s="4" t="s">
        <v>13654</v>
      </c>
      <c r="B5967" s="5" t="s">
        <v>13654</v>
      </c>
      <c r="C5967" s="5" t="s">
        <v>35</v>
      </c>
      <c r="D5967" s="5" t="s">
        <v>36</v>
      </c>
      <c r="E5967" s="5" t="s">
        <v>303</v>
      </c>
      <c r="F5967" s="9">
        <v>57</v>
      </c>
      <c r="G5967" s="9">
        <v>607</v>
      </c>
      <c r="H5967" s="5" t="s">
        <v>20</v>
      </c>
      <c r="I5967" s="5" t="s">
        <v>13658</v>
      </c>
      <c r="J5967" s="12" t="str">
        <f>HYPERLINK("https://www.boe.es/gazeta/dias/1805/07/16/pdfs/GMD-1805-57.pdf#page=3","Abrir facsímil")</f>
        <v>Abrir facsímil</v>
      </c>
      <c r="K5967" s="15" t="s">
        <v>22</v>
      </c>
    </row>
    <row r="5968" spans="1:11" ht="42" customHeight="1">
      <c r="A5968" s="4" t="s">
        <v>13659</v>
      </c>
      <c r="B5968" s="5" t="s">
        <v>13660</v>
      </c>
      <c r="C5968" s="5" t="s">
        <v>80</v>
      </c>
      <c r="D5968" s="5" t="s">
        <v>81</v>
      </c>
      <c r="E5968" s="5" t="s">
        <v>48</v>
      </c>
      <c r="F5968" s="9">
        <v>35</v>
      </c>
      <c r="G5968" s="9">
        <v>373</v>
      </c>
      <c r="H5968" s="5" t="s">
        <v>20</v>
      </c>
      <c r="I5968" s="5" t="s">
        <v>13661</v>
      </c>
      <c r="J5968" s="12" t="str">
        <f>HYPERLINK("https://www.boe.es/gazeta/dias/1805/04/30/pdfs/GMD-1805-35.pdf#page=5","Abrir facsímil")</f>
        <v>Abrir facsímil</v>
      </c>
      <c r="K5968" s="15" t="s">
        <v>22</v>
      </c>
    </row>
    <row r="5969" spans="1:11" ht="42" customHeight="1">
      <c r="A5969" s="4" t="s">
        <v>13662</v>
      </c>
      <c r="B5969" s="5" t="s">
        <v>13663</v>
      </c>
      <c r="C5969" s="5" t="s">
        <v>35</v>
      </c>
      <c r="D5969" s="5" t="s">
        <v>36</v>
      </c>
      <c r="E5969" s="5" t="s">
        <v>440</v>
      </c>
      <c r="F5969" s="9">
        <v>27</v>
      </c>
      <c r="G5969" s="9">
        <v>283</v>
      </c>
      <c r="H5969" s="5" t="s">
        <v>20</v>
      </c>
      <c r="I5969" s="5" t="s">
        <v>13664</v>
      </c>
      <c r="J5969" s="12" t="str">
        <f>HYPERLINK("https://www.boe.es/gazeta/dias/1805/04/02/pdfs/GMD-1805-27.pdf#page=3","Abrir facsímil")</f>
        <v>Abrir facsímil</v>
      </c>
      <c r="K5969" s="15" t="s">
        <v>22</v>
      </c>
    </row>
    <row r="5970" spans="1:11" ht="42" customHeight="1">
      <c r="A5970" s="4" t="s">
        <v>13665</v>
      </c>
      <c r="B5970" s="5" t="s">
        <v>13666</v>
      </c>
      <c r="C5970" s="5" t="s">
        <v>80</v>
      </c>
      <c r="D5970" s="5" t="s">
        <v>81</v>
      </c>
      <c r="E5970" s="5" t="s">
        <v>673</v>
      </c>
      <c r="F5970" s="9">
        <v>32</v>
      </c>
      <c r="G5970" s="9">
        <v>339</v>
      </c>
      <c r="H5970" s="5" t="s">
        <v>20</v>
      </c>
      <c r="I5970" s="5" t="s">
        <v>13667</v>
      </c>
      <c r="J5970" s="12" t="str">
        <f>HYPERLINK("https://www.boe.es/gazeta/dias/1805/04/19/pdfs/GMD-1805-32.pdf#page=3","Abrir facsímil")</f>
        <v>Abrir facsímil</v>
      </c>
      <c r="K5970" s="15" t="s">
        <v>22</v>
      </c>
    </row>
    <row r="5971" spans="1:11" ht="42" customHeight="1">
      <c r="A5971" s="4" t="s">
        <v>13668</v>
      </c>
      <c r="B5971" s="5" t="s">
        <v>13669</v>
      </c>
      <c r="C5971" s="5" t="s">
        <v>80</v>
      </c>
      <c r="D5971" s="5" t="s">
        <v>81</v>
      </c>
      <c r="E5971" s="5" t="s">
        <v>135</v>
      </c>
      <c r="F5971" s="9">
        <v>71</v>
      </c>
      <c r="G5971" s="9">
        <v>750</v>
      </c>
      <c r="H5971" s="5" t="s">
        <v>20</v>
      </c>
      <c r="I5971" s="5" t="s">
        <v>13670</v>
      </c>
      <c r="J5971" s="12" t="str">
        <f>HYPERLINK("https://www.boe.es/gazeta/dias/1805/09/03/pdfs/GMD-1805-71.pdf#page=2","Abrir facsímil")</f>
        <v>Abrir facsímil</v>
      </c>
      <c r="K5971" s="15" t="s">
        <v>22</v>
      </c>
    </row>
    <row r="5972" spans="1:11" ht="42" customHeight="1">
      <c r="A5972" s="4" t="s">
        <v>13671</v>
      </c>
      <c r="B5972" s="5" t="s">
        <v>13672</v>
      </c>
      <c r="C5972" s="5" t="s">
        <v>35</v>
      </c>
      <c r="D5972" s="5" t="s">
        <v>36</v>
      </c>
      <c r="E5972" s="5" t="s">
        <v>904</v>
      </c>
      <c r="F5972" s="9">
        <v>47</v>
      </c>
      <c r="G5972" s="9">
        <v>510</v>
      </c>
      <c r="H5972" s="5" t="s">
        <v>20</v>
      </c>
      <c r="I5972" s="5" t="s">
        <v>13673</v>
      </c>
      <c r="J5972" s="12" t="str">
        <f>HYPERLINK("https://www.boe.es/gazeta/dias/1805/06/11/pdfs/GMD-1805-47.pdf#page=10","Abrir facsímil")</f>
        <v>Abrir facsímil</v>
      </c>
      <c r="K5972" s="15" t="s">
        <v>22</v>
      </c>
    </row>
    <row r="5973" spans="1:11" ht="42" customHeight="1">
      <c r="A5973" s="4" t="s">
        <v>13674</v>
      </c>
      <c r="B5973" s="5" t="s">
        <v>13675</v>
      </c>
      <c r="C5973" s="5" t="s">
        <v>17</v>
      </c>
      <c r="D5973" s="5" t="s">
        <v>18</v>
      </c>
      <c r="E5973" s="5" t="s">
        <v>112</v>
      </c>
      <c r="F5973" s="9">
        <v>16</v>
      </c>
      <c r="G5973" s="9">
        <v>165</v>
      </c>
      <c r="H5973" s="5" t="s">
        <v>20</v>
      </c>
      <c r="I5973" s="5" t="s">
        <v>13676</v>
      </c>
      <c r="J5973" s="12" t="str">
        <f>HYPERLINK("https://www.boe.es/gazeta/dias/1805/02/22/pdfs/GMD-1805-16.pdf#page=5","Abrir facsímil")</f>
        <v>Abrir facsímil</v>
      </c>
      <c r="K5973" s="15" t="s">
        <v>22</v>
      </c>
    </row>
    <row r="5974" spans="1:11" ht="42" customHeight="1">
      <c r="A5974" s="4" t="s">
        <v>13677</v>
      </c>
      <c r="B5974" s="5" t="s">
        <v>13677</v>
      </c>
      <c r="C5974" s="5" t="s">
        <v>17</v>
      </c>
      <c r="D5974" s="5" t="s">
        <v>18</v>
      </c>
      <c r="E5974" s="5" t="s">
        <v>31</v>
      </c>
      <c r="F5974" s="9">
        <v>65</v>
      </c>
      <c r="G5974" s="9">
        <v>695</v>
      </c>
      <c r="H5974" s="5" t="s">
        <v>20</v>
      </c>
      <c r="I5974" s="5" t="s">
        <v>13678</v>
      </c>
      <c r="J5974" s="12" t="str">
        <f>HYPERLINK("https://www.boe.es/gazeta/dias/1805/08/13/pdfs/GMD-1805-65.pdf#page=7","Abrir facsímil")</f>
        <v>Abrir facsímil</v>
      </c>
      <c r="K5974" s="15" t="s">
        <v>22</v>
      </c>
    </row>
    <row r="5975" spans="1:11" ht="42" customHeight="1">
      <c r="A5975" s="4" t="s">
        <v>13679</v>
      </c>
      <c r="B5975" s="5" t="s">
        <v>13679</v>
      </c>
      <c r="C5975" s="5" t="s">
        <v>17</v>
      </c>
      <c r="D5975" s="5" t="s">
        <v>18</v>
      </c>
      <c r="E5975" s="5" t="s">
        <v>273</v>
      </c>
      <c r="F5975" s="9">
        <v>8</v>
      </c>
      <c r="G5975" s="9">
        <v>89</v>
      </c>
      <c r="H5975" s="5" t="s">
        <v>20</v>
      </c>
      <c r="I5975" s="5" t="s">
        <v>13680</v>
      </c>
      <c r="J5975" s="12" t="str">
        <f>HYPERLINK("https://www.boe.es/gazeta/dias/1805/01/25/pdfs/GMD-1805-8.pdf#page=9","Abrir facsímil")</f>
        <v>Abrir facsímil</v>
      </c>
      <c r="K5975" s="15" t="s">
        <v>22</v>
      </c>
    </row>
    <row r="5976" spans="1:11" ht="42" customHeight="1">
      <c r="A5976" s="4" t="s">
        <v>13681</v>
      </c>
      <c r="B5976" s="5" t="s">
        <v>13681</v>
      </c>
      <c r="C5976" s="5" t="s">
        <v>17</v>
      </c>
      <c r="D5976" s="5" t="s">
        <v>18</v>
      </c>
      <c r="E5976" s="5" t="s">
        <v>1259</v>
      </c>
      <c r="F5976" s="9">
        <v>78</v>
      </c>
      <c r="G5976" s="9">
        <v>827</v>
      </c>
      <c r="H5976" s="5" t="s">
        <v>20</v>
      </c>
      <c r="I5976" s="5" t="s">
        <v>13682</v>
      </c>
      <c r="J5976" s="12" t="str">
        <f>HYPERLINK("https://www.boe.es/gazeta/dias/1805/09/27/pdfs/GMD-1805-78.pdf#page=7","Abrir facsímil")</f>
        <v>Abrir facsímil</v>
      </c>
      <c r="K5976" s="15" t="s">
        <v>22</v>
      </c>
    </row>
    <row r="5977" spans="1:11" ht="42" customHeight="1">
      <c r="A5977" s="4" t="s">
        <v>13683</v>
      </c>
      <c r="B5977" s="5" t="s">
        <v>13684</v>
      </c>
      <c r="C5977" s="5" t="s">
        <v>35</v>
      </c>
      <c r="D5977" s="5" t="s">
        <v>36</v>
      </c>
      <c r="E5977" s="5" t="s">
        <v>135</v>
      </c>
      <c r="F5977" s="9">
        <v>71</v>
      </c>
      <c r="G5977" s="9">
        <v>757</v>
      </c>
      <c r="H5977" s="5" t="s">
        <v>20</v>
      </c>
      <c r="I5977" s="5" t="s">
        <v>13685</v>
      </c>
      <c r="J5977" s="12" t="str">
        <f>HYPERLINK("https://www.boe.es/gazeta/dias/1805/09/03/pdfs/GMD-1805-71.pdf#page=9","Abrir facsímil")</f>
        <v>Abrir facsímil</v>
      </c>
      <c r="K5977" s="15" t="s">
        <v>22</v>
      </c>
    </row>
    <row r="5978" spans="1:11" ht="42" customHeight="1">
      <c r="A5978" s="4" t="s">
        <v>13686</v>
      </c>
      <c r="B5978" s="5" t="s">
        <v>13687</v>
      </c>
      <c r="C5978" s="5" t="s">
        <v>35</v>
      </c>
      <c r="D5978" s="5" t="s">
        <v>36</v>
      </c>
      <c r="E5978" s="5" t="s">
        <v>135</v>
      </c>
      <c r="F5978" s="9">
        <v>71</v>
      </c>
      <c r="G5978" s="9">
        <v>758</v>
      </c>
      <c r="H5978" s="5" t="s">
        <v>20</v>
      </c>
      <c r="I5978" s="5" t="s">
        <v>13688</v>
      </c>
      <c r="J5978" s="12" t="str">
        <f>HYPERLINK("https://www.boe.es/gazeta/dias/1805/09/03/pdfs/GMD-1805-71.pdf#page=10","Abrir facsímil")</f>
        <v>Abrir facsímil</v>
      </c>
      <c r="K5978" s="15" t="s">
        <v>22</v>
      </c>
    </row>
    <row r="5979" spans="1:11" ht="42" customHeight="1">
      <c r="A5979" s="4" t="s">
        <v>13689</v>
      </c>
      <c r="B5979" s="5" t="s">
        <v>13690</v>
      </c>
      <c r="C5979" s="5" t="s">
        <v>80</v>
      </c>
      <c r="D5979" s="5" t="s">
        <v>81</v>
      </c>
      <c r="E5979" s="5" t="s">
        <v>281</v>
      </c>
      <c r="F5979" s="9">
        <v>15</v>
      </c>
      <c r="G5979" s="9">
        <v>149</v>
      </c>
      <c r="H5979" s="5" t="s">
        <v>20</v>
      </c>
      <c r="I5979" s="5" t="s">
        <v>13691</v>
      </c>
      <c r="J5979" s="12" t="str">
        <f>HYPERLINK("https://www.boe.es/gazeta/dias/1805/02/19/pdfs/GMD-1805-15.pdf#page=1","Abrir facsímil")</f>
        <v>Abrir facsímil</v>
      </c>
      <c r="K5979" s="15" t="s">
        <v>22</v>
      </c>
    </row>
    <row r="5980" spans="1:11" ht="42" customHeight="1">
      <c r="A5980" s="4" t="s">
        <v>13689</v>
      </c>
      <c r="B5980" s="5" t="s">
        <v>13690</v>
      </c>
      <c r="C5980" s="5" t="s">
        <v>80</v>
      </c>
      <c r="D5980" s="5" t="s">
        <v>81</v>
      </c>
      <c r="E5980" s="5" t="s">
        <v>290</v>
      </c>
      <c r="F5980" s="9">
        <v>36</v>
      </c>
      <c r="G5980" s="9">
        <v>381</v>
      </c>
      <c r="H5980" s="5" t="s">
        <v>20</v>
      </c>
      <c r="I5980" s="5" t="s">
        <v>13692</v>
      </c>
      <c r="J5980" s="12" t="str">
        <f>HYPERLINK("https://www.boe.es/gazeta/dias/1805/05/03/pdfs/GMD-1805-36.pdf#page=1","Abrir facsímil")</f>
        <v>Abrir facsímil</v>
      </c>
      <c r="K5980" s="15" t="s">
        <v>22</v>
      </c>
    </row>
    <row r="5981" spans="1:11" ht="42" customHeight="1">
      <c r="A5981" s="4" t="s">
        <v>13693</v>
      </c>
      <c r="B5981" s="5" t="s">
        <v>13693</v>
      </c>
      <c r="C5981" s="5" t="s">
        <v>80</v>
      </c>
      <c r="D5981" s="5" t="s">
        <v>81</v>
      </c>
      <c r="E5981" s="5" t="s">
        <v>117</v>
      </c>
      <c r="F5981" s="9">
        <v>20</v>
      </c>
      <c r="G5981" s="9">
        <v>203</v>
      </c>
      <c r="H5981" s="5" t="s">
        <v>20</v>
      </c>
      <c r="I5981" s="5" t="s">
        <v>13694</v>
      </c>
      <c r="J5981" s="12" t="str">
        <f>HYPERLINK("https://www.boe.es/gazeta/dias/1805/03/08/pdfs/GMD-1805-20.pdf#page=3","Abrir facsímil")</f>
        <v>Abrir facsímil</v>
      </c>
      <c r="K5981" s="15" t="s">
        <v>22</v>
      </c>
    </row>
    <row r="5982" spans="1:11" ht="42" customHeight="1">
      <c r="A5982" s="4" t="s">
        <v>13695</v>
      </c>
      <c r="B5982" s="5" t="s">
        <v>13695</v>
      </c>
      <c r="C5982" s="5" t="s">
        <v>35</v>
      </c>
      <c r="D5982" s="5" t="s">
        <v>36</v>
      </c>
      <c r="E5982" s="5" t="s">
        <v>669</v>
      </c>
      <c r="F5982" s="9">
        <v>84</v>
      </c>
      <c r="G5982" s="9">
        <v>890</v>
      </c>
      <c r="H5982" s="5" t="s">
        <v>20</v>
      </c>
      <c r="I5982" s="5" t="s">
        <v>13696</v>
      </c>
      <c r="J5982" s="12" t="str">
        <f>HYPERLINK("https://www.boe.es/gazeta/dias/1805/10/18/pdfs/GMD-1805-84.pdf#page=6","Abrir facsímil")</f>
        <v>Abrir facsímil</v>
      </c>
      <c r="K5982" s="15" t="s">
        <v>22</v>
      </c>
    </row>
    <row r="5983" spans="1:11" ht="42" customHeight="1">
      <c r="A5983" s="4" t="s">
        <v>13697</v>
      </c>
      <c r="B5983" s="5" t="s">
        <v>13698</v>
      </c>
      <c r="C5983" s="5" t="s">
        <v>17</v>
      </c>
      <c r="D5983" s="5" t="s">
        <v>18</v>
      </c>
      <c r="E5983" s="5" t="s">
        <v>120</v>
      </c>
      <c r="F5983" s="9">
        <v>24</v>
      </c>
      <c r="G5983" s="9">
        <v>258</v>
      </c>
      <c r="H5983" s="5" t="s">
        <v>20</v>
      </c>
      <c r="I5983" s="5" t="s">
        <v>13699</v>
      </c>
      <c r="J5983" s="12" t="str">
        <f>HYPERLINK("https://www.boe.es/gazeta/dias/1805/03/22/pdfs/GMD-1805-24.pdf#page=10","Abrir facsímil")</f>
        <v>Abrir facsímil</v>
      </c>
      <c r="K5983" s="15" t="s">
        <v>22</v>
      </c>
    </row>
    <row r="5984" spans="1:11" ht="42" customHeight="1">
      <c r="A5984" s="4" t="s">
        <v>13697</v>
      </c>
      <c r="B5984" s="5" t="s">
        <v>13698</v>
      </c>
      <c r="C5984" s="5" t="s">
        <v>17</v>
      </c>
      <c r="D5984" s="5" t="s">
        <v>18</v>
      </c>
      <c r="E5984" s="5" t="s">
        <v>958</v>
      </c>
      <c r="F5984" s="9">
        <v>58</v>
      </c>
      <c r="G5984" s="9">
        <v>621</v>
      </c>
      <c r="H5984" s="5" t="s">
        <v>20</v>
      </c>
      <c r="I5984" s="5" t="s">
        <v>13700</v>
      </c>
      <c r="J5984" s="12" t="str">
        <f>HYPERLINK("https://www.boe.es/gazeta/dias/1805/07/19/pdfs/GMD-1805-58.pdf#page=5","Abrir facsímil")</f>
        <v>Abrir facsímil</v>
      </c>
      <c r="K5984" s="15" t="s">
        <v>22</v>
      </c>
    </row>
    <row r="5985" spans="1:11" ht="42" customHeight="1">
      <c r="A5985" s="4" t="s">
        <v>13697</v>
      </c>
      <c r="B5985" s="5" t="s">
        <v>13698</v>
      </c>
      <c r="C5985" s="5" t="s">
        <v>17</v>
      </c>
      <c r="D5985" s="5" t="s">
        <v>18</v>
      </c>
      <c r="E5985" s="5" t="s">
        <v>886</v>
      </c>
      <c r="F5985" s="9">
        <v>93</v>
      </c>
      <c r="G5985" s="9">
        <v>1000</v>
      </c>
      <c r="H5985" s="5" t="s">
        <v>20</v>
      </c>
      <c r="I5985" s="5" t="s">
        <v>13701</v>
      </c>
      <c r="J5985" s="12" t="str">
        <f>HYPERLINK("https://www.boe.es/gazeta/dias/1805/11/19/pdfs/GMD-1805-93.pdf#page=12","Abrir facsímil")</f>
        <v>Abrir facsímil</v>
      </c>
      <c r="K5985" s="15" t="s">
        <v>22</v>
      </c>
    </row>
    <row r="5986" spans="1:11" ht="42" customHeight="1">
      <c r="A5986" s="4" t="s">
        <v>13702</v>
      </c>
      <c r="B5986" s="5" t="s">
        <v>13702</v>
      </c>
      <c r="C5986" s="5" t="s">
        <v>85</v>
      </c>
      <c r="D5986" s="5" t="s">
        <v>86</v>
      </c>
      <c r="E5986" s="5" t="s">
        <v>276</v>
      </c>
      <c r="F5986" s="9">
        <v>51</v>
      </c>
      <c r="G5986" s="9">
        <v>551</v>
      </c>
      <c r="H5986" s="5" t="s">
        <v>20</v>
      </c>
      <c r="I5986" s="5" t="s">
        <v>13703</v>
      </c>
      <c r="J5986" s="12" t="str">
        <f>HYPERLINK("https://www.boe.es/gazeta/dias/1805/06/25/pdfs/GMD-1805-51.pdf#page=7","Abrir facsímil")</f>
        <v>Abrir facsímil</v>
      </c>
      <c r="K5986" s="15" t="s">
        <v>22</v>
      </c>
    </row>
    <row r="5987" spans="1:11" ht="42" customHeight="1">
      <c r="A5987" s="4" t="s">
        <v>13704</v>
      </c>
      <c r="B5987" s="5" t="s">
        <v>13705</v>
      </c>
      <c r="C5987" s="5" t="s">
        <v>29</v>
      </c>
      <c r="D5987" s="5" t="s">
        <v>30</v>
      </c>
      <c r="E5987" s="5" t="s">
        <v>440</v>
      </c>
      <c r="F5987" s="9">
        <v>27</v>
      </c>
      <c r="G5987" s="9">
        <v>292</v>
      </c>
      <c r="H5987" s="5" t="s">
        <v>20</v>
      </c>
      <c r="I5987" s="5" t="s">
        <v>13706</v>
      </c>
      <c r="J5987" s="12" t="str">
        <f>HYPERLINK("https://www.boe.es/gazeta/dias/1805/04/02/pdfs/GMD-1805-27.pdf#page=12","Abrir facsímil")</f>
        <v>Abrir facsímil</v>
      </c>
      <c r="K5987" s="15" t="s">
        <v>22</v>
      </c>
    </row>
    <row r="5988" spans="1:11" ht="42" customHeight="1">
      <c r="A5988" s="4" t="s">
        <v>13707</v>
      </c>
      <c r="B5988" s="5" t="s">
        <v>13708</v>
      </c>
      <c r="C5988" s="5" t="s">
        <v>17</v>
      </c>
      <c r="D5988" s="5" t="s">
        <v>18</v>
      </c>
      <c r="E5988" s="5" t="s">
        <v>44</v>
      </c>
      <c r="F5988" s="9">
        <v>29</v>
      </c>
      <c r="G5988" s="9">
        <v>313</v>
      </c>
      <c r="H5988" s="5" t="s">
        <v>20</v>
      </c>
      <c r="I5988" s="5" t="s">
        <v>13709</v>
      </c>
      <c r="J5988" s="12" t="str">
        <f>HYPERLINK("https://www.boe.es/gazeta/dias/1805/04/09/pdfs/GMD-1805-29.pdf#page=9","Abrir facsímil")</f>
        <v>Abrir facsímil</v>
      </c>
      <c r="K5988" s="15" t="s">
        <v>22</v>
      </c>
    </row>
    <row r="5989" spans="1:11" ht="42" customHeight="1">
      <c r="A5989" s="4" t="s">
        <v>13710</v>
      </c>
      <c r="B5989" s="5" t="s">
        <v>13711</v>
      </c>
      <c r="C5989" s="5" t="s">
        <v>17</v>
      </c>
      <c r="D5989" s="5" t="s">
        <v>18</v>
      </c>
      <c r="E5989" s="5" t="s">
        <v>200</v>
      </c>
      <c r="F5989" s="9">
        <v>91</v>
      </c>
      <c r="G5989" s="9">
        <v>977</v>
      </c>
      <c r="H5989" s="5" t="s">
        <v>20</v>
      </c>
      <c r="I5989" s="5" t="s">
        <v>13712</v>
      </c>
      <c r="J5989" s="12" t="str">
        <f>HYPERLINK("https://www.boe.es/gazeta/dias/1805/11/12/pdfs/GMD-1805-91.pdf#page=9","Abrir facsímil")</f>
        <v>Abrir facsímil</v>
      </c>
      <c r="K5989" s="15" t="s">
        <v>22</v>
      </c>
    </row>
    <row r="5990" spans="1:11" ht="42" customHeight="1">
      <c r="A5990" s="4" t="s">
        <v>13713</v>
      </c>
      <c r="B5990" s="5" t="s">
        <v>13714</v>
      </c>
      <c r="C5990" s="5" t="s">
        <v>35</v>
      </c>
      <c r="D5990" s="5" t="s">
        <v>36</v>
      </c>
      <c r="E5990" s="5" t="s">
        <v>200</v>
      </c>
      <c r="F5990" s="9">
        <v>91</v>
      </c>
      <c r="G5990" s="9">
        <v>977</v>
      </c>
      <c r="H5990" s="5" t="s">
        <v>20</v>
      </c>
      <c r="I5990" s="5" t="s">
        <v>13715</v>
      </c>
      <c r="J5990" s="12" t="str">
        <f>HYPERLINK("https://www.boe.es/gazeta/dias/1805/11/12/pdfs/GMD-1805-91.pdf#page=9","Abrir facsímil")</f>
        <v>Abrir facsímil</v>
      </c>
      <c r="K5990" s="15" t="s">
        <v>22</v>
      </c>
    </row>
    <row r="5991" spans="1:11" ht="42" customHeight="1">
      <c r="A5991" s="4" t="s">
        <v>13716</v>
      </c>
      <c r="B5991" s="5" t="s">
        <v>13717</v>
      </c>
      <c r="C5991" s="5" t="s">
        <v>80</v>
      </c>
      <c r="D5991" s="5" t="s">
        <v>81</v>
      </c>
      <c r="E5991" s="5" t="s">
        <v>1132</v>
      </c>
      <c r="F5991" s="9">
        <v>72</v>
      </c>
      <c r="G5991" s="9">
        <v>762</v>
      </c>
      <c r="H5991" s="5" t="s">
        <v>20</v>
      </c>
      <c r="I5991" s="5" t="s">
        <v>13718</v>
      </c>
      <c r="J5991" s="12" t="str">
        <f>HYPERLINK("https://www.boe.es/gazeta/dias/1805/09/06/pdfs/GMD-1805-72.pdf#page=2","Abrir facsímil")</f>
        <v>Abrir facsímil</v>
      </c>
      <c r="K5991" s="15" t="s">
        <v>22</v>
      </c>
    </row>
    <row r="5992" spans="1:11" ht="42" customHeight="1">
      <c r="A5992" s="4" t="s">
        <v>13719</v>
      </c>
      <c r="B5992" s="5" t="s">
        <v>13720</v>
      </c>
      <c r="C5992" s="5" t="s">
        <v>85</v>
      </c>
      <c r="D5992" s="5" t="s">
        <v>86</v>
      </c>
      <c r="E5992" s="5" t="s">
        <v>120</v>
      </c>
      <c r="F5992" s="9">
        <v>24</v>
      </c>
      <c r="G5992" s="9">
        <v>255</v>
      </c>
      <c r="H5992" s="5" t="s">
        <v>20</v>
      </c>
      <c r="I5992" s="5" t="s">
        <v>13721</v>
      </c>
      <c r="J5992" s="12" t="str">
        <f>HYPERLINK("https://www.boe.es/gazeta/dias/1805/03/22/pdfs/GMD-1805-24.pdf#page=7","Abrir facsímil")</f>
        <v>Abrir facsímil</v>
      </c>
      <c r="K5992" s="15" t="s">
        <v>22</v>
      </c>
    </row>
    <row r="5993" spans="1:11" ht="42" customHeight="1">
      <c r="A5993" s="4" t="s">
        <v>13722</v>
      </c>
      <c r="B5993" s="5" t="s">
        <v>13723</v>
      </c>
      <c r="C5993" s="5" t="s">
        <v>17</v>
      </c>
      <c r="D5993" s="5" t="s">
        <v>18</v>
      </c>
      <c r="E5993" s="5" t="s">
        <v>63</v>
      </c>
      <c r="F5993" s="9">
        <v>101</v>
      </c>
      <c r="G5993" s="9">
        <v>1093</v>
      </c>
      <c r="H5993" s="5" t="s">
        <v>20</v>
      </c>
      <c r="I5993" s="5" t="s">
        <v>13724</v>
      </c>
      <c r="J5993" s="12" t="str">
        <f>HYPERLINK("https://www.boe.es/gazeta/dias/1805/12/17/pdfs/GMD-1805-101.pdf#page=9","Abrir facsímil")</f>
        <v>Abrir facsímil</v>
      </c>
      <c r="K5993" s="15" t="s">
        <v>22</v>
      </c>
    </row>
    <row r="5994" spans="1:11" ht="42" customHeight="1">
      <c r="A5994" s="4" t="s">
        <v>13725</v>
      </c>
      <c r="B5994" s="5" t="s">
        <v>13726</v>
      </c>
      <c r="C5994" s="5" t="s">
        <v>35</v>
      </c>
      <c r="D5994" s="5" t="s">
        <v>36</v>
      </c>
      <c r="E5994" s="5" t="s">
        <v>261</v>
      </c>
      <c r="F5994" s="9">
        <v>18</v>
      </c>
      <c r="G5994" s="9" t="s">
        <v>159</v>
      </c>
      <c r="H5994" s="5" t="s">
        <v>20</v>
      </c>
      <c r="I5994" s="5" t="s">
        <v>13727</v>
      </c>
      <c r="J5994" s="12" t="str">
        <f>HYPERLINK("https://www.boe.es/gazeta/dias/1805/03/01/pdfs/GMD-C-1805-18.pdf#page=3","Abrir facsímil")</f>
        <v>Abrir facsímil</v>
      </c>
      <c r="K5994" s="15" t="s">
        <v>22</v>
      </c>
    </row>
    <row r="5995" spans="1:11" ht="42" customHeight="1">
      <c r="A5995" s="4" t="s">
        <v>13728</v>
      </c>
      <c r="B5995" s="5" t="s">
        <v>13729</v>
      </c>
      <c r="C5995" s="5" t="s">
        <v>17</v>
      </c>
      <c r="D5995" s="5" t="s">
        <v>18</v>
      </c>
      <c r="E5995" s="5" t="s">
        <v>290</v>
      </c>
      <c r="F5995" s="9">
        <v>36</v>
      </c>
      <c r="G5995" s="9">
        <v>391</v>
      </c>
      <c r="H5995" s="5" t="s">
        <v>20</v>
      </c>
      <c r="I5995" s="5" t="s">
        <v>13730</v>
      </c>
      <c r="J5995" s="12" t="str">
        <f>HYPERLINK("https://www.boe.es/gazeta/dias/1805/05/03/pdfs/GMD-1805-36.pdf#page=11","Abrir facsímil")</f>
        <v>Abrir facsímil</v>
      </c>
      <c r="K5995" s="15" t="s">
        <v>22</v>
      </c>
    </row>
    <row r="5996" spans="1:11" ht="42" customHeight="1">
      <c r="A5996" s="4" t="s">
        <v>13731</v>
      </c>
      <c r="B5996" s="5" t="s">
        <v>13732</v>
      </c>
      <c r="C5996" s="5" t="s">
        <v>17</v>
      </c>
      <c r="D5996" s="5" t="s">
        <v>18</v>
      </c>
      <c r="E5996" s="5" t="s">
        <v>63</v>
      </c>
      <c r="F5996" s="9">
        <v>101</v>
      </c>
      <c r="G5996" s="9">
        <v>1093</v>
      </c>
      <c r="H5996" s="5" t="s">
        <v>20</v>
      </c>
      <c r="I5996" s="5" t="s">
        <v>13733</v>
      </c>
      <c r="J5996" s="12" t="str">
        <f>HYPERLINK("https://www.boe.es/gazeta/dias/1805/12/17/pdfs/GMD-1805-101.pdf#page=9","Abrir facsímil")</f>
        <v>Abrir facsímil</v>
      </c>
      <c r="K5996" s="15" t="s">
        <v>22</v>
      </c>
    </row>
    <row r="5997" spans="1:11" ht="42" customHeight="1">
      <c r="A5997" s="4" t="s">
        <v>13734</v>
      </c>
      <c r="B5997" s="5" t="s">
        <v>13734</v>
      </c>
      <c r="C5997" s="5" t="s">
        <v>80</v>
      </c>
      <c r="D5997" s="5" t="s">
        <v>81</v>
      </c>
      <c r="E5997" s="5" t="s">
        <v>114</v>
      </c>
      <c r="F5997" s="9">
        <v>17</v>
      </c>
      <c r="G5997" s="9">
        <v>169</v>
      </c>
      <c r="H5997" s="5" t="s">
        <v>20</v>
      </c>
      <c r="I5997" s="5" t="s">
        <v>13735</v>
      </c>
      <c r="J5997" s="12" t="str">
        <f>HYPERLINK("https://www.boe.es/gazeta/dias/1805/02/26/pdfs/GMD-1805-17.pdf#page=1","Abrir facsímil")</f>
        <v>Abrir facsímil</v>
      </c>
      <c r="K5997" s="15" t="s">
        <v>22</v>
      </c>
    </row>
    <row r="5998" spans="1:11" ht="42" customHeight="1">
      <c r="A5998" s="4" t="s">
        <v>13736</v>
      </c>
      <c r="B5998" s="5" t="s">
        <v>13737</v>
      </c>
      <c r="C5998" s="5" t="s">
        <v>35</v>
      </c>
      <c r="D5998" s="5" t="s">
        <v>36</v>
      </c>
      <c r="E5998" s="5" t="s">
        <v>226</v>
      </c>
      <c r="F5998" s="9">
        <v>73</v>
      </c>
      <c r="G5998" s="9">
        <v>773</v>
      </c>
      <c r="H5998" s="5" t="s">
        <v>20</v>
      </c>
      <c r="I5998" s="5" t="s">
        <v>13738</v>
      </c>
      <c r="J5998" s="12" t="str">
        <f>HYPERLINK("https://www.boe.es/gazeta/dias/1805/09/10/pdfs/GMD-1805-73.pdf#page=5","Abrir facsímil")</f>
        <v>Abrir facsímil</v>
      </c>
      <c r="K5998" s="15" t="s">
        <v>22</v>
      </c>
    </row>
    <row r="5999" spans="1:11" ht="42" customHeight="1">
      <c r="A5999" s="4" t="s">
        <v>13739</v>
      </c>
      <c r="B5999" s="5" t="s">
        <v>13740</v>
      </c>
      <c r="C5999" s="5" t="s">
        <v>35</v>
      </c>
      <c r="D5999" s="5" t="s">
        <v>36</v>
      </c>
      <c r="E5999" s="5" t="s">
        <v>290</v>
      </c>
      <c r="F5999" s="9">
        <v>36</v>
      </c>
      <c r="G5999" s="9">
        <v>389</v>
      </c>
      <c r="H5999" s="5" t="s">
        <v>20</v>
      </c>
      <c r="I5999" s="5" t="s">
        <v>13741</v>
      </c>
      <c r="J5999" s="12" t="str">
        <f>HYPERLINK("https://www.boe.es/gazeta/dias/1805/05/03/pdfs/GMD-1805-36.pdf#page=9","Abrir facsímil")</f>
        <v>Abrir facsímil</v>
      </c>
      <c r="K5999" s="15" t="s">
        <v>22</v>
      </c>
    </row>
    <row r="6000" spans="1:11" ht="42" customHeight="1">
      <c r="A6000" s="4" t="s">
        <v>13742</v>
      </c>
      <c r="B6000" s="5" t="s">
        <v>13743</v>
      </c>
      <c r="C6000" s="5" t="s">
        <v>35</v>
      </c>
      <c r="D6000" s="5" t="s">
        <v>36</v>
      </c>
      <c r="E6000" s="5" t="s">
        <v>76</v>
      </c>
      <c r="F6000" s="9">
        <v>66</v>
      </c>
      <c r="G6000" s="9">
        <v>708</v>
      </c>
      <c r="H6000" s="5" t="s">
        <v>20</v>
      </c>
      <c r="I6000" s="5" t="s">
        <v>13744</v>
      </c>
      <c r="J6000" s="12" t="str">
        <f>HYPERLINK("https://www.boe.es/gazeta/dias/1805/08/16/pdfs/GMD-1805-66.pdf#page=8","Abrir facsímil")</f>
        <v>Abrir facsímil</v>
      </c>
      <c r="K6000" s="15" t="s">
        <v>22</v>
      </c>
    </row>
    <row r="6001" spans="1:11" ht="42" customHeight="1">
      <c r="A6001" s="4" t="s">
        <v>13745</v>
      </c>
      <c r="B6001" s="5" t="s">
        <v>13746</v>
      </c>
      <c r="C6001" s="5" t="s">
        <v>17</v>
      </c>
      <c r="D6001" s="5" t="s">
        <v>18</v>
      </c>
      <c r="E6001" s="5" t="s">
        <v>200</v>
      </c>
      <c r="F6001" s="9">
        <v>91</v>
      </c>
      <c r="G6001" s="9">
        <v>977</v>
      </c>
      <c r="H6001" s="5" t="s">
        <v>20</v>
      </c>
      <c r="I6001" s="5" t="s">
        <v>13747</v>
      </c>
      <c r="J6001" s="12" t="str">
        <f>HYPERLINK("https://www.boe.es/gazeta/dias/1805/11/12/pdfs/GMD-1805-91.pdf#page=9","Abrir facsímil")</f>
        <v>Abrir facsímil</v>
      </c>
      <c r="K6001" s="15" t="s">
        <v>22</v>
      </c>
    </row>
    <row r="6002" spans="1:11" ht="42" customHeight="1">
      <c r="A6002" s="4" t="s">
        <v>13748</v>
      </c>
      <c r="B6002" s="5" t="s">
        <v>13749</v>
      </c>
      <c r="C6002" s="5" t="s">
        <v>85</v>
      </c>
      <c r="D6002" s="5" t="s">
        <v>86</v>
      </c>
      <c r="E6002" s="5" t="s">
        <v>37</v>
      </c>
      <c r="F6002" s="9">
        <v>54</v>
      </c>
      <c r="G6002" s="9">
        <v>579</v>
      </c>
      <c r="H6002" s="5" t="s">
        <v>20</v>
      </c>
      <c r="I6002" s="5" t="s">
        <v>13750</v>
      </c>
      <c r="J6002" s="12" t="str">
        <f>HYPERLINK("https://www.boe.es/gazeta/dias/1805/07/05/pdfs/GMD-1805-54.pdf#page=7","Abrir facsímil")</f>
        <v>Abrir facsímil</v>
      </c>
      <c r="K6002" s="15" t="s">
        <v>22</v>
      </c>
    </row>
    <row r="6003" spans="1:11" ht="42" customHeight="1">
      <c r="A6003" s="4" t="s">
        <v>13748</v>
      </c>
      <c r="B6003" s="5" t="s">
        <v>13749</v>
      </c>
      <c r="C6003" s="5" t="s">
        <v>85</v>
      </c>
      <c r="D6003" s="5" t="s">
        <v>86</v>
      </c>
      <c r="E6003" s="5" t="s">
        <v>188</v>
      </c>
      <c r="F6003" s="9">
        <v>68</v>
      </c>
      <c r="G6003" s="9">
        <v>728</v>
      </c>
      <c r="H6003" s="5" t="s">
        <v>20</v>
      </c>
      <c r="I6003" s="5" t="s">
        <v>13751</v>
      </c>
      <c r="J6003" s="12" t="str">
        <f>HYPERLINK("https://www.boe.es/gazeta/dias/1805/08/23/pdfs/GMD-1805-68.pdf#page=8","Abrir facsímil")</f>
        <v>Abrir facsímil</v>
      </c>
      <c r="K6003" s="15" t="s">
        <v>22</v>
      </c>
    </row>
    <row r="6004" spans="1:11" ht="42" customHeight="1">
      <c r="A6004" s="4" t="s">
        <v>13752</v>
      </c>
      <c r="B6004" s="5" t="s">
        <v>13753</v>
      </c>
      <c r="C6004" s="5" t="s">
        <v>85</v>
      </c>
      <c r="D6004" s="5" t="s">
        <v>86</v>
      </c>
      <c r="E6004" s="5" t="s">
        <v>387</v>
      </c>
      <c r="F6004" s="9">
        <v>4</v>
      </c>
      <c r="G6004" s="9">
        <v>43</v>
      </c>
      <c r="H6004" s="5" t="s">
        <v>20</v>
      </c>
      <c r="I6004" s="5" t="s">
        <v>13754</v>
      </c>
      <c r="J6004" s="12" t="str">
        <f>HYPERLINK("https://www.boe.es/gazeta/dias/1805/01/11/pdfs/GMD-1805-4.pdf#page=11","Abrir facsímil")</f>
        <v>Abrir facsímil</v>
      </c>
      <c r="K6004" s="15" t="s">
        <v>22</v>
      </c>
    </row>
    <row r="6005" spans="1:11" ht="42" customHeight="1">
      <c r="A6005" s="4" t="s">
        <v>13755</v>
      </c>
      <c r="B6005" s="5" t="s">
        <v>13756</v>
      </c>
      <c r="C6005" s="5" t="s">
        <v>17</v>
      </c>
      <c r="D6005" s="5" t="s">
        <v>18</v>
      </c>
      <c r="E6005" s="5" t="s">
        <v>135</v>
      </c>
      <c r="F6005" s="9">
        <v>71</v>
      </c>
      <c r="G6005" s="9">
        <v>757</v>
      </c>
      <c r="H6005" s="5" t="s">
        <v>20</v>
      </c>
      <c r="I6005" s="5" t="s">
        <v>13757</v>
      </c>
      <c r="J6005" s="12" t="str">
        <f>HYPERLINK("https://www.boe.es/gazeta/dias/1805/09/03/pdfs/GMD-1805-71.pdf#page=9","Abrir facsímil")</f>
        <v>Abrir facsímil</v>
      </c>
      <c r="K6005" s="15" t="s">
        <v>22</v>
      </c>
    </row>
    <row r="6006" spans="1:11" ht="42" customHeight="1">
      <c r="A6006" s="4" t="s">
        <v>13758</v>
      </c>
      <c r="B6006" s="5" t="s">
        <v>13759</v>
      </c>
      <c r="C6006" s="5" t="s">
        <v>85</v>
      </c>
      <c r="D6006" s="5" t="s">
        <v>86</v>
      </c>
      <c r="E6006" s="5" t="s">
        <v>44</v>
      </c>
      <c r="F6006" s="9">
        <v>29</v>
      </c>
      <c r="G6006" s="9">
        <v>311</v>
      </c>
      <c r="H6006" s="5" t="s">
        <v>20</v>
      </c>
      <c r="I6006" s="5" t="s">
        <v>13760</v>
      </c>
      <c r="J6006" s="12" t="str">
        <f>HYPERLINK("https://www.boe.es/gazeta/dias/1805/04/09/pdfs/GMD-1805-29.pdf#page=7","Abrir facsímil")</f>
        <v>Abrir facsímil</v>
      </c>
      <c r="K6006" s="15" t="s">
        <v>22</v>
      </c>
    </row>
    <row r="6007" spans="1:11" ht="42" customHeight="1">
      <c r="A6007" s="4" t="s">
        <v>13761</v>
      </c>
      <c r="B6007" s="5" t="s">
        <v>13762</v>
      </c>
      <c r="C6007" s="5" t="s">
        <v>35</v>
      </c>
      <c r="D6007" s="5" t="s">
        <v>36</v>
      </c>
      <c r="E6007" s="5" t="s">
        <v>209</v>
      </c>
      <c r="F6007" s="9">
        <v>89</v>
      </c>
      <c r="G6007" s="9">
        <v>956</v>
      </c>
      <c r="H6007" s="5" t="s">
        <v>20</v>
      </c>
      <c r="I6007" s="5" t="s">
        <v>13763</v>
      </c>
      <c r="J6007" s="12" t="str">
        <f>HYPERLINK("https://www.boe.es/gazeta/dias/1805/11/05/pdfs/GMD-1805-89.pdf#page=16","Abrir facsímil")</f>
        <v>Abrir facsímil</v>
      </c>
      <c r="K6007" s="15" t="s">
        <v>22</v>
      </c>
    </row>
    <row r="6008" spans="1:11" ht="42" customHeight="1">
      <c r="A6008" s="4" t="s">
        <v>13764</v>
      </c>
      <c r="B6008" s="5" t="s">
        <v>13765</v>
      </c>
      <c r="C6008" s="5" t="s">
        <v>52</v>
      </c>
      <c r="D6008" s="5" t="s">
        <v>53</v>
      </c>
      <c r="E6008" s="5" t="s">
        <v>144</v>
      </c>
      <c r="F6008" s="9">
        <v>85</v>
      </c>
      <c r="G6008" s="9" t="s">
        <v>1002</v>
      </c>
      <c r="H6008" s="5" t="s">
        <v>20</v>
      </c>
      <c r="I6008" s="5" t="s">
        <v>13766</v>
      </c>
      <c r="J6008" s="12" t="str">
        <f>HYPERLINK("https://www.boe.es/gazeta/dias/1805/10/22/pdfs/GMD-C-1805-85.pdf#page=7","Abrir facsímil")</f>
        <v>Abrir facsímil</v>
      </c>
      <c r="K6008" s="15" t="s">
        <v>22</v>
      </c>
    </row>
    <row r="6009" spans="1:11" ht="42" customHeight="1">
      <c r="A6009" s="4" t="s">
        <v>13767</v>
      </c>
      <c r="B6009" s="5" t="s">
        <v>13768</v>
      </c>
      <c r="C6009" s="5" t="s">
        <v>85</v>
      </c>
      <c r="D6009" s="5" t="s">
        <v>86</v>
      </c>
      <c r="E6009" s="5" t="s">
        <v>192</v>
      </c>
      <c r="F6009" s="9">
        <v>105</v>
      </c>
      <c r="G6009" s="9">
        <v>1137</v>
      </c>
      <c r="H6009" s="5" t="s">
        <v>20</v>
      </c>
      <c r="I6009" s="5" t="s">
        <v>13769</v>
      </c>
      <c r="J6009" s="12" t="str">
        <f>HYPERLINK("https://www.boe.es/gazeta/dias/1805/12/31/pdfs/GMD-1805-105.pdf#page=9","Abrir facsímil")</f>
        <v>Abrir facsímil</v>
      </c>
      <c r="K6009" s="15" t="s">
        <v>22</v>
      </c>
    </row>
    <row r="6010" spans="1:11" ht="42" customHeight="1">
      <c r="A6010" s="4" t="s">
        <v>13770</v>
      </c>
      <c r="B6010" s="5" t="s">
        <v>13771</v>
      </c>
      <c r="C6010" s="5" t="s">
        <v>35</v>
      </c>
      <c r="D6010" s="5" t="s">
        <v>36</v>
      </c>
      <c r="E6010" s="5" t="s">
        <v>48</v>
      </c>
      <c r="F6010" s="9">
        <v>35</v>
      </c>
      <c r="G6010" s="9">
        <v>379</v>
      </c>
      <c r="H6010" s="5" t="s">
        <v>20</v>
      </c>
      <c r="I6010" s="5" t="s">
        <v>13772</v>
      </c>
      <c r="J6010" s="12" t="str">
        <f>HYPERLINK("https://www.boe.es/gazeta/dias/1805/04/30/pdfs/GMD-1805-35.pdf#page=11","Abrir facsímil")</f>
        <v>Abrir facsímil</v>
      </c>
      <c r="K6010" s="15" t="s">
        <v>22</v>
      </c>
    </row>
    <row r="6011" spans="1:11" ht="42" customHeight="1">
      <c r="A6011" s="4" t="s">
        <v>13773</v>
      </c>
      <c r="B6011" s="5" t="s">
        <v>13773</v>
      </c>
      <c r="C6011" s="5" t="s">
        <v>85</v>
      </c>
      <c r="D6011" s="5" t="s">
        <v>86</v>
      </c>
      <c r="E6011" s="5" t="s">
        <v>506</v>
      </c>
      <c r="F6011" s="9">
        <v>80</v>
      </c>
      <c r="G6011" s="9">
        <v>851</v>
      </c>
      <c r="H6011" s="5" t="s">
        <v>20</v>
      </c>
      <c r="I6011" s="5" t="s">
        <v>13774</v>
      </c>
      <c r="J6011" s="12" t="str">
        <f>HYPERLINK("https://www.boe.es/gazeta/dias/1805/10/04/pdfs/GMD-1805-80.pdf#page=11","Abrir facsímil")</f>
        <v>Abrir facsímil</v>
      </c>
      <c r="K6011" s="15" t="s">
        <v>22</v>
      </c>
    </row>
    <row r="6012" spans="1:11" ht="42" customHeight="1">
      <c r="A6012" s="4" t="s">
        <v>13775</v>
      </c>
      <c r="B6012" s="5" t="s">
        <v>13776</v>
      </c>
      <c r="C6012" s="5" t="s">
        <v>184</v>
      </c>
      <c r="D6012" s="5" t="s">
        <v>86</v>
      </c>
      <c r="E6012" s="5" t="s">
        <v>114</v>
      </c>
      <c r="F6012" s="9">
        <v>17</v>
      </c>
      <c r="G6012" s="9">
        <v>177</v>
      </c>
      <c r="H6012" s="5" t="s">
        <v>20</v>
      </c>
      <c r="I6012" s="5" t="s">
        <v>13777</v>
      </c>
      <c r="J6012" s="12" t="str">
        <f>HYPERLINK("https://www.boe.es/gazeta/dias/1805/02/26/pdfs/GMD-1805-17.pdf#page=9","Abrir facsímil")</f>
        <v>Abrir facsímil</v>
      </c>
      <c r="K6012" s="15" t="s">
        <v>22</v>
      </c>
    </row>
    <row r="6013" spans="1:11" ht="42" customHeight="1">
      <c r="A6013" s="4" t="s">
        <v>13778</v>
      </c>
      <c r="B6013" s="5" t="s">
        <v>13778</v>
      </c>
      <c r="C6013" s="5" t="s">
        <v>29</v>
      </c>
      <c r="D6013" s="5" t="s">
        <v>30</v>
      </c>
      <c r="E6013" s="5" t="s">
        <v>31</v>
      </c>
      <c r="F6013" s="9">
        <v>65</v>
      </c>
      <c r="G6013" s="9">
        <v>697</v>
      </c>
      <c r="H6013" s="5" t="s">
        <v>20</v>
      </c>
      <c r="I6013" s="5" t="s">
        <v>13779</v>
      </c>
      <c r="J6013" s="12" t="str">
        <f>HYPERLINK("https://www.boe.es/gazeta/dias/1805/08/13/pdfs/GMD-1805-65.pdf#page=9","Abrir facsímil")</f>
        <v>Abrir facsímil</v>
      </c>
      <c r="K6013" s="15" t="s">
        <v>22</v>
      </c>
    </row>
    <row r="6014" spans="1:11" ht="42" customHeight="1">
      <c r="A6014" s="4" t="s">
        <v>13780</v>
      </c>
      <c r="B6014" s="5" t="s">
        <v>13780</v>
      </c>
      <c r="C6014" s="5" t="s">
        <v>184</v>
      </c>
      <c r="D6014" s="5" t="s">
        <v>86</v>
      </c>
      <c r="E6014" s="5" t="s">
        <v>300</v>
      </c>
      <c r="F6014" s="9">
        <v>81</v>
      </c>
      <c r="G6014" s="9">
        <v>859</v>
      </c>
      <c r="H6014" s="5" t="s">
        <v>20</v>
      </c>
      <c r="I6014" s="5" t="s">
        <v>13781</v>
      </c>
      <c r="J6014" s="12" t="str">
        <f>HYPERLINK("https://www.boe.es/gazeta/dias/1805/10/08/pdfs/GMD-1805-81.pdf#page=7","Abrir facsímil")</f>
        <v>Abrir facsímil</v>
      </c>
      <c r="K6014" s="15" t="s">
        <v>22</v>
      </c>
    </row>
    <row r="6015" spans="1:11" ht="42" customHeight="1">
      <c r="A6015" s="4" t="s">
        <v>13782</v>
      </c>
      <c r="B6015" s="5" t="s">
        <v>13782</v>
      </c>
      <c r="C6015" s="5" t="s">
        <v>29</v>
      </c>
      <c r="D6015" s="5" t="s">
        <v>30</v>
      </c>
      <c r="E6015" s="5" t="s">
        <v>1221</v>
      </c>
      <c r="F6015" s="9">
        <v>41</v>
      </c>
      <c r="G6015" s="9">
        <v>443</v>
      </c>
      <c r="H6015" s="5" t="s">
        <v>20</v>
      </c>
      <c r="I6015" s="5" t="s">
        <v>13783</v>
      </c>
      <c r="J6015" s="12" t="str">
        <f>HYPERLINK("https://www.boe.es/gazeta/dias/1805/05/21/pdfs/GMD-1805-41.pdf#page=11","Abrir facsímil")</f>
        <v>Abrir facsímil</v>
      </c>
      <c r="K6015" s="15" t="s">
        <v>22</v>
      </c>
    </row>
    <row r="6016" spans="1:11" ht="42" customHeight="1">
      <c r="A6016" s="4" t="s">
        <v>13784</v>
      </c>
      <c r="B6016" s="5" t="s">
        <v>13784</v>
      </c>
      <c r="C6016" s="5" t="s">
        <v>184</v>
      </c>
      <c r="D6016" s="5" t="s">
        <v>86</v>
      </c>
      <c r="E6016" s="5" t="s">
        <v>170</v>
      </c>
      <c r="F6016" s="9">
        <v>9</v>
      </c>
      <c r="G6016" s="9">
        <v>103</v>
      </c>
      <c r="H6016" s="5" t="s">
        <v>20</v>
      </c>
      <c r="I6016" s="5" t="s">
        <v>13785</v>
      </c>
      <c r="J6016" s="12" t="str">
        <f>HYPERLINK("https://www.boe.es/gazeta/dias/1805/01/29/pdfs/GMD-1805-9.pdf#page=11","Abrir facsímil")</f>
        <v>Abrir facsímil</v>
      </c>
      <c r="K6016" s="15" t="s">
        <v>22</v>
      </c>
    </row>
    <row r="6017" spans="1:11" ht="42" customHeight="1">
      <c r="A6017" s="4" t="s">
        <v>13784</v>
      </c>
      <c r="B6017" s="5" t="s">
        <v>13784</v>
      </c>
      <c r="C6017" s="5" t="s">
        <v>184</v>
      </c>
      <c r="D6017" s="5" t="s">
        <v>86</v>
      </c>
      <c r="E6017" s="5" t="s">
        <v>1187</v>
      </c>
      <c r="F6017" s="9">
        <v>40</v>
      </c>
      <c r="G6017" s="9">
        <v>431</v>
      </c>
      <c r="H6017" s="5" t="s">
        <v>20</v>
      </c>
      <c r="I6017" s="5" t="s">
        <v>13786</v>
      </c>
      <c r="J6017" s="12" t="str">
        <f>HYPERLINK("https://www.boe.es/gazeta/dias/1805/05/17/pdfs/GMD-1805-40.pdf#page=7","Abrir facsímil")</f>
        <v>Abrir facsímil</v>
      </c>
      <c r="K6017" s="15" t="s">
        <v>22</v>
      </c>
    </row>
    <row r="6018" spans="1:11" ht="42" customHeight="1">
      <c r="A6018" s="4" t="s">
        <v>13784</v>
      </c>
      <c r="B6018" s="5" t="s">
        <v>13784</v>
      </c>
      <c r="C6018" s="5" t="s">
        <v>17</v>
      </c>
      <c r="D6018" s="5" t="s">
        <v>18</v>
      </c>
      <c r="E6018" s="5" t="s">
        <v>40</v>
      </c>
      <c r="F6018" s="9">
        <v>59</v>
      </c>
      <c r="G6018" s="9">
        <v>634</v>
      </c>
      <c r="H6018" s="5" t="s">
        <v>20</v>
      </c>
      <c r="I6018" s="5" t="s">
        <v>13787</v>
      </c>
      <c r="J6018" s="12" t="str">
        <f>HYPERLINK("https://www.boe.es/gazeta/dias/1805/07/23/pdfs/GMD-1805-59.pdf#page=10","Abrir facsímil")</f>
        <v>Abrir facsímil</v>
      </c>
      <c r="K6018" s="15" t="s">
        <v>22</v>
      </c>
    </row>
    <row r="6019" spans="1:11" ht="42" customHeight="1">
      <c r="A6019" s="4" t="s">
        <v>13788</v>
      </c>
      <c r="B6019" s="5" t="s">
        <v>13788</v>
      </c>
      <c r="C6019" s="5" t="s">
        <v>35</v>
      </c>
      <c r="D6019" s="5" t="s">
        <v>36</v>
      </c>
      <c r="E6019" s="5" t="s">
        <v>114</v>
      </c>
      <c r="F6019" s="9">
        <v>17</v>
      </c>
      <c r="G6019" s="9">
        <v>176</v>
      </c>
      <c r="H6019" s="5" t="s">
        <v>20</v>
      </c>
      <c r="I6019" s="5" t="s">
        <v>13789</v>
      </c>
      <c r="J6019" s="12" t="str">
        <f>HYPERLINK("https://www.boe.es/gazeta/dias/1805/02/26/pdfs/GMD-1805-17.pdf#page=8","Abrir facsímil")</f>
        <v>Abrir facsímil</v>
      </c>
      <c r="K6019" s="15" t="s">
        <v>22</v>
      </c>
    </row>
    <row r="6020" spans="1:11" ht="42" customHeight="1">
      <c r="A6020" s="4" t="s">
        <v>13790</v>
      </c>
      <c r="B6020" s="5" t="s">
        <v>13790</v>
      </c>
      <c r="C6020" s="5" t="s">
        <v>35</v>
      </c>
      <c r="D6020" s="5" t="s">
        <v>36</v>
      </c>
      <c r="E6020" s="5" t="s">
        <v>87</v>
      </c>
      <c r="F6020" s="9">
        <v>14</v>
      </c>
      <c r="G6020" s="9">
        <v>146</v>
      </c>
      <c r="H6020" s="5" t="s">
        <v>20</v>
      </c>
      <c r="I6020" s="5" t="s">
        <v>13791</v>
      </c>
      <c r="J6020" s="12" t="str">
        <f>HYPERLINK("https://www.boe.es/gazeta/dias/1805/02/15/pdfs/GMD-1805-14.pdf#page=6","Abrir facsímil")</f>
        <v>Abrir facsímil</v>
      </c>
      <c r="K6020" s="15" t="s">
        <v>22</v>
      </c>
    </row>
    <row r="6021" spans="1:11" ht="42" customHeight="1">
      <c r="A6021" s="4" t="s">
        <v>13792</v>
      </c>
      <c r="B6021" s="5" t="s">
        <v>13793</v>
      </c>
      <c r="C6021" s="5" t="s">
        <v>184</v>
      </c>
      <c r="D6021" s="5" t="s">
        <v>86</v>
      </c>
      <c r="E6021" s="5" t="s">
        <v>181</v>
      </c>
      <c r="F6021" s="9">
        <v>90</v>
      </c>
      <c r="G6021" s="9">
        <v>966</v>
      </c>
      <c r="H6021" s="5" t="s">
        <v>20</v>
      </c>
      <c r="I6021" s="5" t="s">
        <v>13794</v>
      </c>
      <c r="J6021" s="12" t="str">
        <f>HYPERLINK("https://www.boe.es/gazeta/dias/1805/11/08/pdfs/GMD-1805-90.pdf#page=10","Abrir facsímil")</f>
        <v>Abrir facsímil</v>
      </c>
      <c r="K6021" s="15" t="s">
        <v>22</v>
      </c>
    </row>
    <row r="6022" spans="1:11" ht="42" customHeight="1">
      <c r="A6022" s="4" t="s">
        <v>13795</v>
      </c>
      <c r="B6022" s="5" t="s">
        <v>13796</v>
      </c>
      <c r="C6022" s="5" t="s">
        <v>52</v>
      </c>
      <c r="D6022" s="5" t="s">
        <v>53</v>
      </c>
      <c r="E6022" s="5" t="s">
        <v>144</v>
      </c>
      <c r="F6022" s="9">
        <v>85</v>
      </c>
      <c r="G6022" s="9" t="s">
        <v>1153</v>
      </c>
      <c r="H6022" s="5" t="s">
        <v>20</v>
      </c>
      <c r="I6022" s="5" t="s">
        <v>13797</v>
      </c>
      <c r="J6022" s="12" t="str">
        <f>HYPERLINK("https://www.boe.es/gazeta/dias/1805/10/22/pdfs/GMD-C-1805-85.pdf#page=8","Abrir facsímil")</f>
        <v>Abrir facsímil</v>
      </c>
      <c r="K6022" s="15" t="s">
        <v>22</v>
      </c>
    </row>
    <row r="6023" spans="1:11" ht="42" customHeight="1">
      <c r="A6023" s="4" t="s">
        <v>13798</v>
      </c>
      <c r="B6023" s="5" t="s">
        <v>13799</v>
      </c>
      <c r="C6023" s="5" t="s">
        <v>85</v>
      </c>
      <c r="D6023" s="5" t="s">
        <v>86</v>
      </c>
      <c r="E6023" s="5" t="s">
        <v>512</v>
      </c>
      <c r="F6023" s="9">
        <v>100</v>
      </c>
      <c r="G6023" s="9">
        <v>1083</v>
      </c>
      <c r="H6023" s="5" t="s">
        <v>20</v>
      </c>
      <c r="I6023" s="5" t="s">
        <v>13800</v>
      </c>
      <c r="J6023" s="12" t="str">
        <f>HYPERLINK("https://www.boe.es/gazeta/dias/1805/12/13/pdfs/GMD-1805-100.pdf#page=11","Abrir facsímil")</f>
        <v>Abrir facsímil</v>
      </c>
      <c r="K6023" s="15" t="s">
        <v>22</v>
      </c>
    </row>
    <row r="6024" spans="1:11" ht="42" customHeight="1">
      <c r="A6024" s="4" t="s">
        <v>13801</v>
      </c>
      <c r="B6024" s="5" t="s">
        <v>13801</v>
      </c>
      <c r="C6024" s="5" t="s">
        <v>35</v>
      </c>
      <c r="D6024" s="5" t="s">
        <v>36</v>
      </c>
      <c r="E6024" s="5" t="s">
        <v>352</v>
      </c>
      <c r="F6024" s="9">
        <v>60</v>
      </c>
      <c r="G6024" s="9">
        <v>645</v>
      </c>
      <c r="H6024" s="5" t="s">
        <v>20</v>
      </c>
      <c r="I6024" s="5" t="s">
        <v>13802</v>
      </c>
      <c r="J6024" s="12" t="str">
        <f>HYPERLINK("https://www.boe.es/gazeta/dias/1805/07/26/pdfs/GMD-1805-60.pdf#page=9","Abrir facsímil")</f>
        <v>Abrir facsímil</v>
      </c>
      <c r="K6024" s="15" t="s">
        <v>22</v>
      </c>
    </row>
    <row r="6025" spans="1:11" ht="42" customHeight="1">
      <c r="A6025" s="4" t="s">
        <v>13803</v>
      </c>
      <c r="B6025" s="5" t="s">
        <v>13803</v>
      </c>
      <c r="C6025" s="5" t="s">
        <v>35</v>
      </c>
      <c r="D6025" s="5" t="s">
        <v>36</v>
      </c>
      <c r="E6025" s="5" t="s">
        <v>138</v>
      </c>
      <c r="F6025" s="9">
        <v>102</v>
      </c>
      <c r="G6025" s="9">
        <v>1104</v>
      </c>
      <c r="H6025" s="5" t="s">
        <v>20</v>
      </c>
      <c r="I6025" s="5" t="s">
        <v>13804</v>
      </c>
      <c r="J6025" s="12" t="str">
        <f>HYPERLINK("https://www.boe.es/gazeta/dias/1805/12/20/pdfs/GMD-1805-102.pdf#page=8","Abrir facsímil")</f>
        <v>Abrir facsímil</v>
      </c>
      <c r="K6025" s="15" t="s">
        <v>22</v>
      </c>
    </row>
    <row r="6026" spans="1:11" ht="42" customHeight="1">
      <c r="A6026" s="4" t="s">
        <v>13805</v>
      </c>
      <c r="B6026" s="5" t="s">
        <v>13806</v>
      </c>
      <c r="C6026" s="5" t="s">
        <v>35</v>
      </c>
      <c r="D6026" s="5" t="s">
        <v>36</v>
      </c>
      <c r="E6026" s="5" t="s">
        <v>63</v>
      </c>
      <c r="F6026" s="9">
        <v>101</v>
      </c>
      <c r="G6026" s="9">
        <v>1092</v>
      </c>
      <c r="H6026" s="5" t="s">
        <v>20</v>
      </c>
      <c r="I6026" s="5" t="s">
        <v>13807</v>
      </c>
      <c r="J6026" s="12" t="str">
        <f>HYPERLINK("https://www.boe.es/gazeta/dias/1805/12/17/pdfs/GMD-1805-101.pdf#page=8","Abrir facsímil")</f>
        <v>Abrir facsímil</v>
      </c>
      <c r="K6026" s="15" t="s">
        <v>22</v>
      </c>
    </row>
    <row r="6027" spans="1:11" ht="42" customHeight="1">
      <c r="A6027" s="4" t="s">
        <v>13808</v>
      </c>
      <c r="B6027" s="5" t="s">
        <v>13809</v>
      </c>
      <c r="C6027" s="5" t="s">
        <v>35</v>
      </c>
      <c r="D6027" s="5" t="s">
        <v>36</v>
      </c>
      <c r="E6027" s="5" t="s">
        <v>44</v>
      </c>
      <c r="F6027" s="9">
        <v>29</v>
      </c>
      <c r="G6027" s="9">
        <v>313</v>
      </c>
      <c r="H6027" s="5" t="s">
        <v>20</v>
      </c>
      <c r="I6027" s="5" t="s">
        <v>13810</v>
      </c>
      <c r="J6027" s="12" t="str">
        <f>HYPERLINK("https://www.boe.es/gazeta/dias/1805/04/09/pdfs/GMD-1805-29.pdf#page=9","Abrir facsímil")</f>
        <v>Abrir facsímil</v>
      </c>
      <c r="K6027" s="15" t="s">
        <v>22</v>
      </c>
    </row>
    <row r="6028" spans="1:11" ht="42" customHeight="1">
      <c r="A6028" s="4" t="s">
        <v>13811</v>
      </c>
      <c r="B6028" s="5" t="s">
        <v>13812</v>
      </c>
      <c r="C6028" s="5" t="s">
        <v>85</v>
      </c>
      <c r="D6028" s="5" t="s">
        <v>86</v>
      </c>
      <c r="E6028" s="5" t="s">
        <v>273</v>
      </c>
      <c r="F6028" s="9">
        <v>8</v>
      </c>
      <c r="G6028" s="9">
        <v>89</v>
      </c>
      <c r="H6028" s="5" t="s">
        <v>20</v>
      </c>
      <c r="I6028" s="5" t="s">
        <v>13813</v>
      </c>
      <c r="J6028" s="12" t="str">
        <f>HYPERLINK("https://www.boe.es/gazeta/dias/1805/01/25/pdfs/GMD-1805-8.pdf#page=9","Abrir facsímil")</f>
        <v>Abrir facsímil</v>
      </c>
      <c r="K6028" s="15" t="s">
        <v>22</v>
      </c>
    </row>
    <row r="6029" spans="1:11" ht="42" customHeight="1">
      <c r="A6029" s="4" t="s">
        <v>13814</v>
      </c>
      <c r="B6029" s="5" t="s">
        <v>13815</v>
      </c>
      <c r="C6029" s="5" t="s">
        <v>184</v>
      </c>
      <c r="D6029" s="5" t="s">
        <v>86</v>
      </c>
      <c r="E6029" s="5" t="s">
        <v>335</v>
      </c>
      <c r="F6029" s="9">
        <v>79</v>
      </c>
      <c r="G6029" s="9">
        <v>831</v>
      </c>
      <c r="H6029" s="5" t="s">
        <v>20</v>
      </c>
      <c r="I6029" s="5" t="s">
        <v>13816</v>
      </c>
      <c r="J6029" s="12" t="str">
        <f>HYPERLINK("https://www.boe.es/gazeta/dias/1805/10/01/pdfs/GMD-1805-79.pdf#page=3","Abrir facsímil")</f>
        <v>Abrir facsímil</v>
      </c>
      <c r="K6029" s="15" t="s">
        <v>22</v>
      </c>
    </row>
    <row r="6030" spans="1:11" ht="42" customHeight="1">
      <c r="A6030" s="4" t="s">
        <v>13817</v>
      </c>
      <c r="B6030" s="5" t="s">
        <v>13818</v>
      </c>
      <c r="C6030" s="5" t="s">
        <v>184</v>
      </c>
      <c r="D6030" s="5" t="s">
        <v>86</v>
      </c>
      <c r="E6030" s="5" t="s">
        <v>170</v>
      </c>
      <c r="F6030" s="9">
        <v>9</v>
      </c>
      <c r="G6030" s="9">
        <v>102</v>
      </c>
      <c r="H6030" s="5" t="s">
        <v>20</v>
      </c>
      <c r="I6030" s="5" t="s">
        <v>13819</v>
      </c>
      <c r="J6030" s="12" t="str">
        <f>HYPERLINK("https://www.boe.es/gazeta/dias/1805/01/29/pdfs/GMD-1805-9.pdf#page=10","Abrir facsímil")</f>
        <v>Abrir facsímil</v>
      </c>
      <c r="K6030" s="15" t="s">
        <v>22</v>
      </c>
    </row>
    <row r="6031" spans="1:11" ht="42" customHeight="1">
      <c r="A6031" s="4" t="s">
        <v>13817</v>
      </c>
      <c r="B6031" s="5" t="s">
        <v>13818</v>
      </c>
      <c r="C6031" s="5" t="s">
        <v>184</v>
      </c>
      <c r="D6031" s="5" t="s">
        <v>86</v>
      </c>
      <c r="E6031" s="5" t="s">
        <v>188</v>
      </c>
      <c r="F6031" s="9">
        <v>68</v>
      </c>
      <c r="G6031" s="9">
        <v>731</v>
      </c>
      <c r="H6031" s="5" t="s">
        <v>20</v>
      </c>
      <c r="I6031" s="5" t="s">
        <v>13820</v>
      </c>
      <c r="J6031" s="12" t="str">
        <f>HYPERLINK("https://www.boe.es/gazeta/dias/1805/08/23/pdfs/GMD-1805-68.pdf#page=11","Abrir facsímil")</f>
        <v>Abrir facsímil</v>
      </c>
      <c r="K6031" s="15" t="s">
        <v>22</v>
      </c>
    </row>
    <row r="6032" spans="1:11" ht="42" customHeight="1">
      <c r="A6032" s="4" t="s">
        <v>13821</v>
      </c>
      <c r="B6032" s="5" t="s">
        <v>13821</v>
      </c>
      <c r="C6032" s="5" t="s">
        <v>35</v>
      </c>
      <c r="D6032" s="5" t="s">
        <v>36</v>
      </c>
      <c r="E6032" s="5" t="s">
        <v>138</v>
      </c>
      <c r="F6032" s="9">
        <v>102</v>
      </c>
      <c r="G6032" s="9">
        <v>1103</v>
      </c>
      <c r="H6032" s="5" t="s">
        <v>20</v>
      </c>
      <c r="I6032" s="5" t="s">
        <v>13822</v>
      </c>
      <c r="J6032" s="12" t="str">
        <f>HYPERLINK("https://www.boe.es/gazeta/dias/1805/12/20/pdfs/GMD-1805-102.pdf#page=7","Abrir facsímil")</f>
        <v>Abrir facsímil</v>
      </c>
      <c r="K6032" s="15" t="s">
        <v>22</v>
      </c>
    </row>
    <row r="6033" spans="1:11" ht="42" customHeight="1">
      <c r="A6033" s="4" t="s">
        <v>13823</v>
      </c>
      <c r="B6033" s="5" t="s">
        <v>13824</v>
      </c>
      <c r="C6033" s="5" t="s">
        <v>52</v>
      </c>
      <c r="D6033" s="5" t="s">
        <v>53</v>
      </c>
      <c r="E6033" s="5" t="s">
        <v>82</v>
      </c>
      <c r="F6033" s="9">
        <v>25</v>
      </c>
      <c r="G6033" s="9" t="s">
        <v>145</v>
      </c>
      <c r="H6033" s="5" t="s">
        <v>20</v>
      </c>
      <c r="I6033" s="5" t="s">
        <v>13825</v>
      </c>
      <c r="J6033" s="12" t="str">
        <f>HYPERLINK("https://www.boe.es/gazeta/dias/1805/03/26/pdfs/GMD-C-1805-25.pdf#page=2","Abrir facsímil")</f>
        <v>Abrir facsímil</v>
      </c>
      <c r="K6033" s="15" t="s">
        <v>22</v>
      </c>
    </row>
    <row r="6034" spans="1:11" ht="42" customHeight="1">
      <c r="A6034" s="4" t="s">
        <v>13826</v>
      </c>
      <c r="B6034" s="5" t="s">
        <v>13827</v>
      </c>
      <c r="C6034" s="5" t="s">
        <v>35</v>
      </c>
      <c r="D6034" s="5" t="s">
        <v>36</v>
      </c>
      <c r="E6034" s="5" t="s">
        <v>213</v>
      </c>
      <c r="F6034" s="9">
        <v>56</v>
      </c>
      <c r="G6034" s="9">
        <v>600</v>
      </c>
      <c r="H6034" s="5" t="s">
        <v>20</v>
      </c>
      <c r="I6034" s="5" t="s">
        <v>13828</v>
      </c>
      <c r="J6034" s="12" t="str">
        <f>HYPERLINK("https://www.boe.es/gazeta/dias/1805/07/12/pdfs/GMD-1805-56.pdf#page=8","Abrir facsímil")</f>
        <v>Abrir facsímil</v>
      </c>
      <c r="K6034" s="15" t="s">
        <v>22</v>
      </c>
    </row>
    <row r="6035" spans="1:11" ht="42" customHeight="1">
      <c r="A6035" s="4" t="s">
        <v>13829</v>
      </c>
      <c r="B6035" s="5" t="s">
        <v>13830</v>
      </c>
      <c r="C6035" s="5" t="s">
        <v>35</v>
      </c>
      <c r="D6035" s="5" t="s">
        <v>36</v>
      </c>
      <c r="E6035" s="5" t="s">
        <v>327</v>
      </c>
      <c r="F6035" s="9">
        <v>10</v>
      </c>
      <c r="G6035" s="9">
        <v>109</v>
      </c>
      <c r="H6035" s="5" t="s">
        <v>20</v>
      </c>
      <c r="I6035" s="5" t="s">
        <v>13831</v>
      </c>
      <c r="J6035" s="12" t="str">
        <f>HYPERLINK("https://www.boe.es/gazeta/dias/1805/02/01/pdfs/GMD-1805-10.pdf#page=5","Abrir facsímil")</f>
        <v>Abrir facsímil</v>
      </c>
      <c r="K6035" s="15" t="s">
        <v>22</v>
      </c>
    </row>
    <row r="6036" spans="1:11" ht="42" customHeight="1">
      <c r="A6036" s="4" t="s">
        <v>13832</v>
      </c>
      <c r="B6036" s="5" t="s">
        <v>13833</v>
      </c>
      <c r="C6036" s="5" t="s">
        <v>35</v>
      </c>
      <c r="D6036" s="5" t="s">
        <v>36</v>
      </c>
      <c r="E6036" s="5" t="s">
        <v>327</v>
      </c>
      <c r="F6036" s="9">
        <v>10</v>
      </c>
      <c r="G6036" s="9">
        <v>109</v>
      </c>
      <c r="H6036" s="5" t="s">
        <v>20</v>
      </c>
      <c r="I6036" s="5" t="s">
        <v>13834</v>
      </c>
      <c r="J6036" s="12" t="str">
        <f>HYPERLINK("https://www.boe.es/gazeta/dias/1805/02/01/pdfs/GMD-1805-10.pdf#page=5","Abrir facsímil")</f>
        <v>Abrir facsímil</v>
      </c>
      <c r="K6036" s="15" t="s">
        <v>22</v>
      </c>
    </row>
    <row r="6037" spans="1:11" ht="42" customHeight="1">
      <c r="A6037" s="4" t="s">
        <v>13835</v>
      </c>
      <c r="B6037" s="5" t="s">
        <v>13836</v>
      </c>
      <c r="C6037" s="5" t="s">
        <v>35</v>
      </c>
      <c r="D6037" s="5" t="s">
        <v>36</v>
      </c>
      <c r="E6037" s="5" t="s">
        <v>107</v>
      </c>
      <c r="F6037" s="9">
        <v>19</v>
      </c>
      <c r="G6037" s="9">
        <v>198</v>
      </c>
      <c r="H6037" s="5" t="s">
        <v>20</v>
      </c>
      <c r="I6037" s="5" t="s">
        <v>13837</v>
      </c>
      <c r="J6037" s="12" t="str">
        <f>HYPERLINK("https://www.boe.es/gazeta/dias/1805/03/05/pdfs/GMD-1805-19.pdf#page=10","Abrir facsímil")</f>
        <v>Abrir facsímil</v>
      </c>
      <c r="K6037" s="15" t="s">
        <v>22</v>
      </c>
    </row>
    <row r="6038" spans="1:11" ht="42" customHeight="1">
      <c r="A6038" s="4" t="s">
        <v>13838</v>
      </c>
      <c r="B6038" s="5" t="s">
        <v>13839</v>
      </c>
      <c r="C6038" s="5" t="s">
        <v>184</v>
      </c>
      <c r="D6038" s="5" t="s">
        <v>86</v>
      </c>
      <c r="E6038" s="5" t="s">
        <v>733</v>
      </c>
      <c r="F6038" s="9">
        <v>45</v>
      </c>
      <c r="G6038" s="9">
        <v>486</v>
      </c>
      <c r="H6038" s="5" t="s">
        <v>20</v>
      </c>
      <c r="I6038" s="5" t="s">
        <v>13840</v>
      </c>
      <c r="J6038" s="12" t="str">
        <f>HYPERLINK("https://www.boe.es/gazeta/dias/1805/06/04/pdfs/GMD-1805-45.pdf#page=10","Abrir facsímil")</f>
        <v>Abrir facsímil</v>
      </c>
      <c r="K6038" s="15" t="s">
        <v>22</v>
      </c>
    </row>
    <row r="6039" spans="1:11" ht="42" customHeight="1">
      <c r="A6039" s="4" t="s">
        <v>13841</v>
      </c>
      <c r="B6039" s="5" t="s">
        <v>13842</v>
      </c>
      <c r="C6039" s="5" t="s">
        <v>17</v>
      </c>
      <c r="D6039" s="5" t="s">
        <v>18</v>
      </c>
      <c r="E6039" s="5" t="s">
        <v>787</v>
      </c>
      <c r="F6039" s="9">
        <v>95</v>
      </c>
      <c r="G6039" s="9">
        <v>1018</v>
      </c>
      <c r="H6039" s="5" t="s">
        <v>20</v>
      </c>
      <c r="I6039" s="5" t="s">
        <v>13843</v>
      </c>
      <c r="J6039" s="12" t="str">
        <f>HYPERLINK("https://www.boe.es/gazeta/dias/1805/11/26/pdfs/GMD-1805-95.pdf#page=6","Abrir facsímil")</f>
        <v>Abrir facsímil</v>
      </c>
      <c r="K6039" s="15" t="s">
        <v>22</v>
      </c>
    </row>
    <row r="6040" spans="1:11" ht="42" customHeight="1">
      <c r="A6040" s="4" t="s">
        <v>13844</v>
      </c>
      <c r="B6040" s="5" t="s">
        <v>13845</v>
      </c>
      <c r="C6040" s="5" t="s">
        <v>80</v>
      </c>
      <c r="D6040" s="5" t="s">
        <v>81</v>
      </c>
      <c r="E6040" s="5" t="s">
        <v>132</v>
      </c>
      <c r="F6040" s="9">
        <v>2</v>
      </c>
      <c r="G6040" s="9">
        <v>17</v>
      </c>
      <c r="H6040" s="5" t="s">
        <v>20</v>
      </c>
      <c r="I6040" s="5" t="s">
        <v>13846</v>
      </c>
      <c r="J6040" s="12" t="str">
        <f>HYPERLINK("https://www.boe.es/gazeta/dias/1805/01/04/pdfs/GMD-1805-2.pdf#page=5","Abrir facsímil")</f>
        <v>Abrir facsímil</v>
      </c>
      <c r="K6040" s="15" t="s">
        <v>22</v>
      </c>
    </row>
    <row r="6041" spans="1:11" ht="42" customHeight="1">
      <c r="A6041" s="4" t="s">
        <v>13847</v>
      </c>
      <c r="B6041" s="5" t="s">
        <v>13848</v>
      </c>
      <c r="C6041" s="5" t="s">
        <v>17</v>
      </c>
      <c r="D6041" s="5" t="s">
        <v>18</v>
      </c>
      <c r="E6041" s="5" t="s">
        <v>76</v>
      </c>
      <c r="F6041" s="9">
        <v>66</v>
      </c>
      <c r="G6041" s="9">
        <v>705</v>
      </c>
      <c r="H6041" s="5" t="s">
        <v>20</v>
      </c>
      <c r="I6041" s="5" t="s">
        <v>13849</v>
      </c>
      <c r="J6041" s="12" t="str">
        <f>HYPERLINK("https://www.boe.es/gazeta/dias/1805/08/16/pdfs/GMD-1805-66.pdf#page=5","Abrir facsímil")</f>
        <v>Abrir facsímil</v>
      </c>
      <c r="K6041" s="15" t="s">
        <v>22</v>
      </c>
    </row>
    <row r="6042" spans="1:11" ht="42" customHeight="1">
      <c r="A6042" s="4" t="s">
        <v>13850</v>
      </c>
      <c r="B6042" s="5" t="s">
        <v>13850</v>
      </c>
      <c r="C6042" s="5" t="s">
        <v>80</v>
      </c>
      <c r="D6042" s="5" t="s">
        <v>81</v>
      </c>
      <c r="E6042" s="5" t="s">
        <v>1022</v>
      </c>
      <c r="F6042" s="9">
        <v>52</v>
      </c>
      <c r="G6042" s="9">
        <v>556</v>
      </c>
      <c r="H6042" s="5" t="s">
        <v>20</v>
      </c>
      <c r="I6042" s="5" t="s">
        <v>13851</v>
      </c>
      <c r="J6042" s="12" t="str">
        <f>HYPERLINK("https://www.boe.es/gazeta/dias/1805/06/28/pdfs/GMD-1805-52.pdf#page=4","Abrir facsímil")</f>
        <v>Abrir facsímil</v>
      </c>
      <c r="K6042" s="15" t="s">
        <v>22</v>
      </c>
    </row>
    <row r="6043" spans="1:11" ht="42" customHeight="1">
      <c r="A6043" s="4" t="s">
        <v>13852</v>
      </c>
      <c r="B6043" s="5" t="s">
        <v>13852</v>
      </c>
      <c r="C6043" s="5" t="s">
        <v>17</v>
      </c>
      <c r="D6043" s="5" t="s">
        <v>18</v>
      </c>
      <c r="E6043" s="5" t="s">
        <v>1292</v>
      </c>
      <c r="F6043" s="9">
        <v>43</v>
      </c>
      <c r="G6043" s="9">
        <v>460</v>
      </c>
      <c r="H6043" s="5" t="s">
        <v>20</v>
      </c>
      <c r="I6043" s="5" t="s">
        <v>13853</v>
      </c>
      <c r="J6043" s="12" t="str">
        <f>HYPERLINK("https://www.boe.es/gazeta/dias/1805/05/28/pdfs/GMD-1805-43.pdf#page=4","Abrir facsímil")</f>
        <v>Abrir facsímil</v>
      </c>
      <c r="K6043" s="15" t="s">
        <v>22</v>
      </c>
    </row>
    <row r="6044" spans="1:11" ht="42" customHeight="1">
      <c r="A6044" s="4" t="s">
        <v>13854</v>
      </c>
      <c r="B6044" s="5" t="s">
        <v>13854</v>
      </c>
      <c r="C6044" s="5" t="s">
        <v>17</v>
      </c>
      <c r="D6044" s="5" t="s">
        <v>18</v>
      </c>
      <c r="E6044" s="5" t="s">
        <v>120</v>
      </c>
      <c r="F6044" s="9">
        <v>24</v>
      </c>
      <c r="G6044" s="9">
        <v>252</v>
      </c>
      <c r="H6044" s="5" t="s">
        <v>20</v>
      </c>
      <c r="I6044" s="5" t="s">
        <v>13855</v>
      </c>
      <c r="J6044" s="12" t="str">
        <f>HYPERLINK("https://www.boe.es/gazeta/dias/1805/03/22/pdfs/GMD-1805-24.pdf#page=4","Abrir facsímil")</f>
        <v>Abrir facsímil</v>
      </c>
      <c r="K6044" s="15" t="s">
        <v>22</v>
      </c>
    </row>
    <row r="6045" spans="1:11" ht="42" customHeight="1">
      <c r="A6045" s="4" t="s">
        <v>13856</v>
      </c>
      <c r="B6045" s="5" t="s">
        <v>13856</v>
      </c>
      <c r="C6045" s="5" t="s">
        <v>17</v>
      </c>
      <c r="D6045" s="5" t="s">
        <v>18</v>
      </c>
      <c r="E6045" s="5" t="s">
        <v>1432</v>
      </c>
      <c r="F6045" s="9">
        <v>53</v>
      </c>
      <c r="G6045" s="9">
        <v>569</v>
      </c>
      <c r="H6045" s="5" t="s">
        <v>20</v>
      </c>
      <c r="I6045" s="5" t="s">
        <v>13857</v>
      </c>
      <c r="J6045" s="12" t="str">
        <f>HYPERLINK("https://www.boe.es/gazeta/dias/1805/07/02/pdfs/GMD-1805-53.pdf#page=5","Abrir facsímil")</f>
        <v>Abrir facsímil</v>
      </c>
      <c r="K6045" s="15" t="s">
        <v>22</v>
      </c>
    </row>
    <row r="6046" spans="1:11" ht="42" customHeight="1">
      <c r="A6046" s="4" t="s">
        <v>13858</v>
      </c>
      <c r="B6046" s="5" t="s">
        <v>13859</v>
      </c>
      <c r="C6046" s="5" t="s">
        <v>80</v>
      </c>
      <c r="D6046" s="5" t="s">
        <v>81</v>
      </c>
      <c r="E6046" s="5" t="s">
        <v>335</v>
      </c>
      <c r="F6046" s="9">
        <v>79</v>
      </c>
      <c r="G6046" s="9">
        <v>833</v>
      </c>
      <c r="H6046" s="5" t="s">
        <v>20</v>
      </c>
      <c r="I6046" s="5" t="s">
        <v>13860</v>
      </c>
      <c r="J6046" s="12" t="str">
        <f>HYPERLINK("https://www.boe.es/gazeta/dias/1805/10/01/pdfs/GMD-1805-79.pdf#page=5","Abrir facsímil")</f>
        <v>Abrir facsímil</v>
      </c>
      <c r="K6046" s="15" t="s">
        <v>22</v>
      </c>
    </row>
    <row r="6047" spans="1:11" ht="42" customHeight="1">
      <c r="A6047" s="4" t="s">
        <v>13861</v>
      </c>
      <c r="B6047" s="5" t="s">
        <v>13862</v>
      </c>
      <c r="C6047" s="5" t="s">
        <v>184</v>
      </c>
      <c r="D6047" s="5" t="s">
        <v>86</v>
      </c>
      <c r="E6047" s="5" t="s">
        <v>215</v>
      </c>
      <c r="F6047" s="9">
        <v>87</v>
      </c>
      <c r="G6047" s="9">
        <v>925</v>
      </c>
      <c r="H6047" s="5" t="s">
        <v>20</v>
      </c>
      <c r="I6047" s="5" t="s">
        <v>13863</v>
      </c>
      <c r="J6047" s="12" t="str">
        <f>HYPERLINK("https://www.boe.es/gazeta/dias/1805/10/29/pdfs/GMD-1805-87.pdf#page=9","Abrir facsímil")</f>
        <v>Abrir facsímil</v>
      </c>
      <c r="K6047" s="15" t="s">
        <v>22</v>
      </c>
    </row>
    <row r="6048" spans="1:11" ht="42" customHeight="1">
      <c r="A6048" s="4" t="s">
        <v>13861</v>
      </c>
      <c r="B6048" s="5" t="s">
        <v>13862</v>
      </c>
      <c r="C6048" s="5" t="s">
        <v>80</v>
      </c>
      <c r="D6048" s="5" t="s">
        <v>81</v>
      </c>
      <c r="E6048" s="5" t="s">
        <v>789</v>
      </c>
      <c r="F6048" s="9">
        <v>104</v>
      </c>
      <c r="G6048" s="9">
        <v>1120</v>
      </c>
      <c r="H6048" s="5" t="s">
        <v>20</v>
      </c>
      <c r="I6048" s="5" t="s">
        <v>13864</v>
      </c>
      <c r="J6048" s="12" t="str">
        <f>HYPERLINK("https://www.boe.es/gazeta/dias/1805/12/27/pdfs/GMD-1805-104.pdf#page=4","Abrir facsímil")</f>
        <v>Abrir facsímil</v>
      </c>
      <c r="K6048" s="15" t="s">
        <v>22</v>
      </c>
    </row>
    <row r="6049" spans="1:11" ht="42" customHeight="1">
      <c r="A6049" s="4" t="s">
        <v>13865</v>
      </c>
      <c r="B6049" s="5" t="s">
        <v>13866</v>
      </c>
      <c r="C6049" s="5" t="s">
        <v>52</v>
      </c>
      <c r="D6049" s="5" t="s">
        <v>53</v>
      </c>
      <c r="E6049" s="5" t="s">
        <v>144</v>
      </c>
      <c r="F6049" s="9">
        <v>85</v>
      </c>
      <c r="G6049" s="9" t="s">
        <v>159</v>
      </c>
      <c r="H6049" s="5" t="s">
        <v>20</v>
      </c>
      <c r="I6049" s="5" t="s">
        <v>13867</v>
      </c>
      <c r="J6049" s="12" t="str">
        <f>HYPERLINK("https://www.boe.es/gazeta/dias/1805/10/22/pdfs/GMD-C-1805-85.pdf#page=3","Abrir facsímil")</f>
        <v>Abrir facsímil</v>
      </c>
      <c r="K6049" s="15" t="s">
        <v>22</v>
      </c>
    </row>
    <row r="6050" spans="1:11" ht="42" customHeight="1">
      <c r="A6050" s="4" t="s">
        <v>13868</v>
      </c>
      <c r="B6050" s="5" t="s">
        <v>13869</v>
      </c>
      <c r="C6050" s="5" t="s">
        <v>52</v>
      </c>
      <c r="D6050" s="5" t="s">
        <v>53</v>
      </c>
      <c r="E6050" s="5" t="s">
        <v>144</v>
      </c>
      <c r="F6050" s="9">
        <v>85</v>
      </c>
      <c r="G6050" s="9" t="s">
        <v>772</v>
      </c>
      <c r="H6050" s="5" t="s">
        <v>20</v>
      </c>
      <c r="I6050" s="5" t="s">
        <v>13870</v>
      </c>
      <c r="J6050" s="12" t="str">
        <f>HYPERLINK("https://www.boe.es/gazeta/dias/1805/10/22/pdfs/GMD-C-1805-85.pdf#page=6","Abrir facsímil")</f>
        <v>Abrir facsímil</v>
      </c>
      <c r="K6050" s="15" t="s">
        <v>22</v>
      </c>
    </row>
    <row r="6051" spans="1:11" ht="42" customHeight="1">
      <c r="A6051" s="4" t="s">
        <v>13871</v>
      </c>
      <c r="B6051" s="5" t="s">
        <v>13872</v>
      </c>
      <c r="C6051" s="5" t="s">
        <v>35</v>
      </c>
      <c r="D6051" s="5" t="s">
        <v>36</v>
      </c>
      <c r="E6051" s="5" t="s">
        <v>112</v>
      </c>
      <c r="F6051" s="9">
        <v>16</v>
      </c>
      <c r="G6051" s="9">
        <v>167</v>
      </c>
      <c r="H6051" s="5" t="s">
        <v>20</v>
      </c>
      <c r="I6051" s="5" t="s">
        <v>13873</v>
      </c>
      <c r="J6051" s="12" t="str">
        <f>HYPERLINK("https://www.boe.es/gazeta/dias/1805/02/22/pdfs/GMD-1805-16.pdf#page=7","Abrir facsímil")</f>
        <v>Abrir facsímil</v>
      </c>
      <c r="K6051" s="15" t="s">
        <v>22</v>
      </c>
    </row>
    <row r="6052" spans="1:11" ht="42" customHeight="1">
      <c r="A6052" s="4" t="s">
        <v>13874</v>
      </c>
      <c r="B6052" s="5" t="s">
        <v>13875</v>
      </c>
      <c r="C6052" s="5" t="s">
        <v>35</v>
      </c>
      <c r="D6052" s="5" t="s">
        <v>36</v>
      </c>
      <c r="E6052" s="5" t="s">
        <v>44</v>
      </c>
      <c r="F6052" s="9">
        <v>29</v>
      </c>
      <c r="G6052" s="9">
        <v>313</v>
      </c>
      <c r="H6052" s="5" t="s">
        <v>20</v>
      </c>
      <c r="I6052" s="5" t="s">
        <v>13876</v>
      </c>
      <c r="J6052" s="12" t="str">
        <f>HYPERLINK("https://www.boe.es/gazeta/dias/1805/04/09/pdfs/GMD-1805-29.pdf#page=9","Abrir facsímil")</f>
        <v>Abrir facsímil</v>
      </c>
      <c r="K6052" s="15" t="s">
        <v>22</v>
      </c>
    </row>
    <row r="6053" spans="1:11" ht="42" customHeight="1">
      <c r="A6053" s="4" t="s">
        <v>13877</v>
      </c>
      <c r="B6053" s="5" t="s">
        <v>13878</v>
      </c>
      <c r="C6053" s="5" t="s">
        <v>184</v>
      </c>
      <c r="D6053" s="5" t="s">
        <v>86</v>
      </c>
      <c r="E6053" s="5" t="s">
        <v>44</v>
      </c>
      <c r="F6053" s="9">
        <v>29</v>
      </c>
      <c r="G6053" s="9">
        <v>313</v>
      </c>
      <c r="H6053" s="5" t="s">
        <v>20</v>
      </c>
      <c r="I6053" s="5" t="s">
        <v>13879</v>
      </c>
      <c r="J6053" s="12" t="str">
        <f>HYPERLINK("https://www.boe.es/gazeta/dias/1805/04/09/pdfs/GMD-1805-29.pdf#page=9","Abrir facsímil")</f>
        <v>Abrir facsímil</v>
      </c>
      <c r="K6053" s="15" t="s">
        <v>22</v>
      </c>
    </row>
    <row r="6054" spans="1:11" ht="42" customHeight="1">
      <c r="A6054" s="4" t="s">
        <v>13880</v>
      </c>
      <c r="B6054" s="5" t="s">
        <v>13881</v>
      </c>
      <c r="C6054" s="5" t="s">
        <v>17</v>
      </c>
      <c r="D6054" s="5" t="s">
        <v>18</v>
      </c>
      <c r="E6054" s="5" t="s">
        <v>422</v>
      </c>
      <c r="F6054" s="9">
        <v>74</v>
      </c>
      <c r="G6054" s="9">
        <v>786</v>
      </c>
      <c r="H6054" s="5" t="s">
        <v>20</v>
      </c>
      <c r="I6054" s="5" t="s">
        <v>13882</v>
      </c>
      <c r="J6054" s="12" t="str">
        <f>HYPERLINK("https://www.boe.es/gazeta/dias/1805/09/13/pdfs/GMD-1805-74.pdf#page=10","Abrir facsímil")</f>
        <v>Abrir facsímil</v>
      </c>
      <c r="K6054" s="15" t="s">
        <v>22</v>
      </c>
    </row>
    <row r="6055" spans="1:11" ht="42" customHeight="1">
      <c r="A6055" s="4" t="s">
        <v>13883</v>
      </c>
      <c r="B6055" s="5" t="s">
        <v>13884</v>
      </c>
      <c r="C6055" s="5" t="s">
        <v>17</v>
      </c>
      <c r="D6055" s="5" t="s">
        <v>18</v>
      </c>
      <c r="E6055" s="5" t="s">
        <v>181</v>
      </c>
      <c r="F6055" s="9">
        <v>90</v>
      </c>
      <c r="G6055" s="9">
        <v>965</v>
      </c>
      <c r="H6055" s="5" t="s">
        <v>20</v>
      </c>
      <c r="I6055" s="5" t="s">
        <v>13885</v>
      </c>
      <c r="J6055" s="12" t="str">
        <f>HYPERLINK("https://www.boe.es/gazeta/dias/1805/11/08/pdfs/GMD-1805-90.pdf#page=9","Abrir facsímil")</f>
        <v>Abrir facsímil</v>
      </c>
      <c r="K6055" s="15" t="s">
        <v>22</v>
      </c>
    </row>
    <row r="6056" spans="1:11" ht="42" customHeight="1">
      <c r="A6056" s="4" t="s">
        <v>13886</v>
      </c>
      <c r="B6056" s="5" t="s">
        <v>13887</v>
      </c>
      <c r="C6056" s="5" t="s">
        <v>29</v>
      </c>
      <c r="D6056" s="5" t="s">
        <v>30</v>
      </c>
      <c r="E6056" s="5" t="s">
        <v>585</v>
      </c>
      <c r="F6056" s="9">
        <v>64</v>
      </c>
      <c r="G6056" s="9">
        <v>686</v>
      </c>
      <c r="H6056" s="5" t="s">
        <v>20</v>
      </c>
      <c r="I6056" s="5" t="s">
        <v>13888</v>
      </c>
      <c r="J6056" s="12" t="str">
        <f>HYPERLINK("https://www.boe.es/gazeta/dias/1805/08/09/pdfs/GMD-1805-64.pdf#page=10","Abrir facsímil")</f>
        <v>Abrir facsímil</v>
      </c>
      <c r="K6056" s="15" t="s">
        <v>22</v>
      </c>
    </row>
    <row r="6057" spans="1:11" ht="42" customHeight="1">
      <c r="A6057" s="4" t="s">
        <v>13889</v>
      </c>
      <c r="B6057" s="5" t="s">
        <v>13890</v>
      </c>
      <c r="C6057" s="5" t="s">
        <v>85</v>
      </c>
      <c r="D6057" s="5" t="s">
        <v>86</v>
      </c>
      <c r="E6057" s="5" t="s">
        <v>387</v>
      </c>
      <c r="F6057" s="9">
        <v>4</v>
      </c>
      <c r="G6057" s="9">
        <v>42</v>
      </c>
      <c r="H6057" s="5" t="s">
        <v>20</v>
      </c>
      <c r="I6057" s="5" t="s">
        <v>13891</v>
      </c>
      <c r="J6057" s="12" t="str">
        <f>HYPERLINK("https://www.boe.es/gazeta/dias/1805/01/11/pdfs/GMD-1805-4.pdf#page=10","Abrir facsímil")</f>
        <v>Abrir facsímil</v>
      </c>
      <c r="K6057" s="15" t="s">
        <v>22</v>
      </c>
    </row>
    <row r="6058" spans="1:11" ht="42" customHeight="1">
      <c r="A6058" s="4" t="s">
        <v>13892</v>
      </c>
      <c r="B6058" s="5" t="s">
        <v>13893</v>
      </c>
      <c r="C6058" s="5" t="s">
        <v>35</v>
      </c>
      <c r="D6058" s="5" t="s">
        <v>36</v>
      </c>
      <c r="E6058" s="5" t="s">
        <v>163</v>
      </c>
      <c r="F6058" s="9">
        <v>77</v>
      </c>
      <c r="G6058" s="9">
        <v>817</v>
      </c>
      <c r="H6058" s="5" t="s">
        <v>20</v>
      </c>
      <c r="I6058" s="5" t="s">
        <v>13894</v>
      </c>
      <c r="J6058" s="12" t="str">
        <f>HYPERLINK("https://www.boe.es/gazeta/dias/1805/09/24/pdfs/GMD-1805-77.pdf#page=9","Abrir facsímil")</f>
        <v>Abrir facsímil</v>
      </c>
      <c r="K6058" s="15" t="s">
        <v>22</v>
      </c>
    </row>
    <row r="6059" spans="1:11" ht="42" customHeight="1">
      <c r="A6059" s="4" t="s">
        <v>13895</v>
      </c>
      <c r="B6059" s="5" t="s">
        <v>13896</v>
      </c>
      <c r="C6059" s="5" t="s">
        <v>29</v>
      </c>
      <c r="D6059" s="5" t="s">
        <v>30</v>
      </c>
      <c r="E6059" s="5" t="s">
        <v>440</v>
      </c>
      <c r="F6059" s="9">
        <v>27</v>
      </c>
      <c r="G6059" s="9">
        <v>292</v>
      </c>
      <c r="H6059" s="5" t="s">
        <v>20</v>
      </c>
      <c r="I6059" s="5" t="s">
        <v>13897</v>
      </c>
      <c r="J6059" s="12" t="str">
        <f>HYPERLINK("https://www.boe.es/gazeta/dias/1805/04/02/pdfs/GMD-1805-27.pdf#page=12","Abrir facsímil")</f>
        <v>Abrir facsímil</v>
      </c>
      <c r="K6059" s="15" t="s">
        <v>22</v>
      </c>
    </row>
    <row r="6060" spans="1:11" ht="42" customHeight="1">
      <c r="A6060" s="4" t="s">
        <v>13898</v>
      </c>
      <c r="B6060" s="5" t="s">
        <v>13899</v>
      </c>
      <c r="C6060" s="5" t="s">
        <v>29</v>
      </c>
      <c r="D6060" s="5" t="s">
        <v>30</v>
      </c>
      <c r="E6060" s="5" t="s">
        <v>440</v>
      </c>
      <c r="F6060" s="9">
        <v>27</v>
      </c>
      <c r="G6060" s="9">
        <v>292</v>
      </c>
      <c r="H6060" s="5" t="s">
        <v>20</v>
      </c>
      <c r="I6060" s="5" t="s">
        <v>13900</v>
      </c>
      <c r="J6060" s="12" t="str">
        <f>HYPERLINK("https://www.boe.es/gazeta/dias/1805/04/02/pdfs/GMD-1805-27.pdf#page=12","Abrir facsímil")</f>
        <v>Abrir facsímil</v>
      </c>
      <c r="K6060" s="15" t="s">
        <v>22</v>
      </c>
    </row>
    <row r="6061" spans="1:11" ht="42" customHeight="1">
      <c r="A6061" s="4" t="s">
        <v>13901</v>
      </c>
      <c r="B6061" s="5" t="s">
        <v>13902</v>
      </c>
      <c r="C6061" s="5" t="s">
        <v>35</v>
      </c>
      <c r="D6061" s="5" t="s">
        <v>36</v>
      </c>
      <c r="E6061" s="5" t="s">
        <v>539</v>
      </c>
      <c r="F6061" s="9">
        <v>97</v>
      </c>
      <c r="G6061" s="9">
        <v>1044</v>
      </c>
      <c r="H6061" s="5" t="s">
        <v>20</v>
      </c>
      <c r="I6061" s="5" t="s">
        <v>13903</v>
      </c>
      <c r="J6061" s="12" t="str">
        <f>HYPERLINK("https://www.boe.es/gazeta/dias/1805/12/03/pdfs/GMD-1805-97.pdf#page=8","Abrir facsímil")</f>
        <v>Abrir facsímil</v>
      </c>
      <c r="K6061" s="15" t="s">
        <v>22</v>
      </c>
    </row>
    <row r="6062" spans="1:11" ht="42" customHeight="1">
      <c r="A6062" s="4" t="s">
        <v>13904</v>
      </c>
      <c r="B6062" s="5" t="s">
        <v>13905</v>
      </c>
      <c r="C6062" s="5" t="s">
        <v>17</v>
      </c>
      <c r="D6062" s="5" t="s">
        <v>18</v>
      </c>
      <c r="E6062" s="5" t="s">
        <v>59</v>
      </c>
      <c r="F6062" s="9">
        <v>21</v>
      </c>
      <c r="G6062" s="9">
        <v>224</v>
      </c>
      <c r="H6062" s="5" t="s">
        <v>20</v>
      </c>
      <c r="I6062" s="5" t="s">
        <v>13906</v>
      </c>
      <c r="J6062" s="12" t="str">
        <f>HYPERLINK("https://www.boe.es/gazeta/dias/1805/03/12/pdfs/GMD-1805-21.pdf#page=12","Abrir facsímil")</f>
        <v>Abrir facsímil</v>
      </c>
      <c r="K6062" s="15" t="s">
        <v>22</v>
      </c>
    </row>
    <row r="6063" spans="1:11" ht="42" customHeight="1">
      <c r="A6063" s="4" t="s">
        <v>13904</v>
      </c>
      <c r="B6063" s="5" t="s">
        <v>13905</v>
      </c>
      <c r="C6063" s="5" t="s">
        <v>29</v>
      </c>
      <c r="D6063" s="5" t="s">
        <v>30</v>
      </c>
      <c r="E6063" s="5" t="s">
        <v>91</v>
      </c>
      <c r="F6063" s="9">
        <v>28</v>
      </c>
      <c r="G6063" s="9">
        <v>304</v>
      </c>
      <c r="H6063" s="5" t="s">
        <v>20</v>
      </c>
      <c r="I6063" s="5" t="s">
        <v>13907</v>
      </c>
      <c r="J6063" s="12" t="str">
        <f>HYPERLINK("https://www.boe.es/gazeta/dias/1805/04/05/pdfs/GMD-1805-28.pdf#page=12","Abrir facsímil")</f>
        <v>Abrir facsímil</v>
      </c>
      <c r="K6063" s="15" t="s">
        <v>22</v>
      </c>
    </row>
    <row r="6064" spans="1:11" ht="42" customHeight="1">
      <c r="A6064" s="4" t="s">
        <v>13908</v>
      </c>
      <c r="B6064" s="5" t="s">
        <v>13909</v>
      </c>
      <c r="C6064" s="5" t="s">
        <v>35</v>
      </c>
      <c r="D6064" s="5" t="s">
        <v>36</v>
      </c>
      <c r="E6064" s="5" t="s">
        <v>192</v>
      </c>
      <c r="F6064" s="9">
        <v>105</v>
      </c>
      <c r="G6064" s="9">
        <v>1137</v>
      </c>
      <c r="H6064" s="5" t="s">
        <v>20</v>
      </c>
      <c r="I6064" s="5" t="s">
        <v>13910</v>
      </c>
      <c r="J6064" s="12" t="str">
        <f>HYPERLINK("https://www.boe.es/gazeta/dias/1805/12/31/pdfs/GMD-1805-105.pdf#page=9","Abrir facsímil")</f>
        <v>Abrir facsímil</v>
      </c>
      <c r="K6064" s="15" t="s">
        <v>22</v>
      </c>
    </row>
    <row r="6065" spans="1:11" ht="42" customHeight="1">
      <c r="A6065" s="4" t="s">
        <v>13911</v>
      </c>
      <c r="B6065" s="5" t="s">
        <v>13912</v>
      </c>
      <c r="C6065" s="5" t="s">
        <v>35</v>
      </c>
      <c r="D6065" s="5" t="s">
        <v>36</v>
      </c>
      <c r="E6065" s="5" t="s">
        <v>226</v>
      </c>
      <c r="F6065" s="9">
        <v>73</v>
      </c>
      <c r="G6065" s="9">
        <v>773</v>
      </c>
      <c r="H6065" s="5" t="s">
        <v>20</v>
      </c>
      <c r="I6065" s="5" t="s">
        <v>13913</v>
      </c>
      <c r="J6065" s="12" t="str">
        <f>HYPERLINK("https://www.boe.es/gazeta/dias/1805/09/10/pdfs/GMD-1805-73.pdf#page=5","Abrir facsímil")</f>
        <v>Abrir facsímil</v>
      </c>
      <c r="K6065" s="15" t="s">
        <v>22</v>
      </c>
    </row>
    <row r="6066" spans="1:11" ht="42" customHeight="1">
      <c r="A6066" s="4" t="s">
        <v>13914</v>
      </c>
      <c r="B6066" s="5" t="s">
        <v>13915</v>
      </c>
      <c r="C6066" s="5" t="s">
        <v>52</v>
      </c>
      <c r="D6066" s="5" t="s">
        <v>53</v>
      </c>
      <c r="E6066" s="5" t="s">
        <v>144</v>
      </c>
      <c r="F6066" s="9">
        <v>85</v>
      </c>
      <c r="G6066" s="9" t="s">
        <v>145</v>
      </c>
      <c r="H6066" s="5" t="s">
        <v>20</v>
      </c>
      <c r="I6066" s="5" t="s">
        <v>13916</v>
      </c>
      <c r="J6066" s="12" t="str">
        <f>HYPERLINK("https://www.boe.es/gazeta/dias/1805/10/22/pdfs/GMD-C-1805-85.pdf#page=2","Abrir facsímil")</f>
        <v>Abrir facsímil</v>
      </c>
      <c r="K6066" s="15" t="s">
        <v>22</v>
      </c>
    </row>
    <row r="6067" spans="1:11" ht="42" customHeight="1">
      <c r="A6067" s="4" t="s">
        <v>13917</v>
      </c>
      <c r="B6067" s="5" t="s">
        <v>13918</v>
      </c>
      <c r="C6067" s="5" t="s">
        <v>35</v>
      </c>
      <c r="D6067" s="5" t="s">
        <v>36</v>
      </c>
      <c r="E6067" s="5" t="s">
        <v>327</v>
      </c>
      <c r="F6067" s="9">
        <v>10</v>
      </c>
      <c r="G6067" s="9">
        <v>109</v>
      </c>
      <c r="H6067" s="5" t="s">
        <v>20</v>
      </c>
      <c r="I6067" s="5" t="s">
        <v>13919</v>
      </c>
      <c r="J6067" s="12" t="str">
        <f>HYPERLINK("https://www.boe.es/gazeta/dias/1805/02/01/pdfs/GMD-1805-10.pdf#page=5","Abrir facsímil")</f>
        <v>Abrir facsímil</v>
      </c>
      <c r="K6067" s="15" t="s">
        <v>22</v>
      </c>
    </row>
    <row r="6068" spans="1:11" ht="42" customHeight="1">
      <c r="A6068" s="4" t="s">
        <v>13920</v>
      </c>
      <c r="B6068" s="5" t="s">
        <v>13921</v>
      </c>
      <c r="C6068" s="5" t="s">
        <v>35</v>
      </c>
      <c r="D6068" s="5" t="s">
        <v>36</v>
      </c>
      <c r="E6068" s="5" t="s">
        <v>422</v>
      </c>
      <c r="F6068" s="9">
        <v>74</v>
      </c>
      <c r="G6068" s="9">
        <v>786</v>
      </c>
      <c r="H6068" s="5" t="s">
        <v>20</v>
      </c>
      <c r="I6068" s="5" t="s">
        <v>13922</v>
      </c>
      <c r="J6068" s="12" t="str">
        <f>HYPERLINK("https://www.boe.es/gazeta/dias/1805/09/13/pdfs/GMD-1805-74.pdf#page=10","Abrir facsímil")</f>
        <v>Abrir facsímil</v>
      </c>
      <c r="K6068" s="15" t="s">
        <v>22</v>
      </c>
    </row>
    <row r="6069" spans="1:11" ht="42" customHeight="1">
      <c r="A6069" s="4" t="s">
        <v>13923</v>
      </c>
      <c r="B6069" s="5" t="s">
        <v>13924</v>
      </c>
      <c r="C6069" s="5" t="s">
        <v>35</v>
      </c>
      <c r="D6069" s="5" t="s">
        <v>36</v>
      </c>
      <c r="E6069" s="5" t="s">
        <v>107</v>
      </c>
      <c r="F6069" s="9">
        <v>19</v>
      </c>
      <c r="G6069" s="9">
        <v>198</v>
      </c>
      <c r="H6069" s="5" t="s">
        <v>20</v>
      </c>
      <c r="I6069" s="5" t="s">
        <v>13925</v>
      </c>
      <c r="J6069" s="12" t="str">
        <f>HYPERLINK("https://www.boe.es/gazeta/dias/1805/03/05/pdfs/GMD-1805-19.pdf#page=10","Abrir facsímil")</f>
        <v>Abrir facsímil</v>
      </c>
      <c r="K6069" s="15" t="s">
        <v>22</v>
      </c>
    </row>
    <row r="6070" spans="1:11" ht="42" customHeight="1">
      <c r="A6070" s="4" t="s">
        <v>13926</v>
      </c>
      <c r="B6070" s="5" t="s">
        <v>13927</v>
      </c>
      <c r="C6070" s="5" t="s">
        <v>29</v>
      </c>
      <c r="D6070" s="5" t="s">
        <v>30</v>
      </c>
      <c r="E6070" s="5" t="s">
        <v>48</v>
      </c>
      <c r="F6070" s="9">
        <v>35</v>
      </c>
      <c r="G6070" s="9">
        <v>380</v>
      </c>
      <c r="H6070" s="5" t="s">
        <v>20</v>
      </c>
      <c r="I6070" s="5" t="s">
        <v>13928</v>
      </c>
      <c r="J6070" s="12" t="str">
        <f>HYPERLINK("https://www.boe.es/gazeta/dias/1805/04/30/pdfs/GMD-1805-35.pdf#page=12","Abrir facsímil")</f>
        <v>Abrir facsímil</v>
      </c>
      <c r="K6070" s="15" t="s">
        <v>22</v>
      </c>
    </row>
    <row r="6071" spans="1:11" ht="42" customHeight="1">
      <c r="A6071" s="4" t="s">
        <v>13929</v>
      </c>
      <c r="B6071" s="5" t="s">
        <v>13930</v>
      </c>
      <c r="C6071" s="5" t="s">
        <v>35</v>
      </c>
      <c r="D6071" s="5" t="s">
        <v>36</v>
      </c>
      <c r="E6071" s="5" t="s">
        <v>188</v>
      </c>
      <c r="F6071" s="9">
        <v>68</v>
      </c>
      <c r="G6071" s="9">
        <v>729</v>
      </c>
      <c r="H6071" s="5" t="s">
        <v>20</v>
      </c>
      <c r="I6071" s="5" t="s">
        <v>13931</v>
      </c>
      <c r="J6071" s="12" t="str">
        <f>HYPERLINK("https://www.boe.es/gazeta/dias/1805/08/23/pdfs/GMD-1805-68.pdf#page=9","Abrir facsímil")</f>
        <v>Abrir facsímil</v>
      </c>
      <c r="K6071" s="15" t="s">
        <v>22</v>
      </c>
    </row>
    <row r="6072" spans="1:11" ht="42" customHeight="1">
      <c r="A6072" s="4" t="s">
        <v>13932</v>
      </c>
      <c r="B6072" s="5" t="s">
        <v>13933</v>
      </c>
      <c r="C6072" s="5" t="s">
        <v>85</v>
      </c>
      <c r="D6072" s="5" t="s">
        <v>86</v>
      </c>
      <c r="E6072" s="5" t="s">
        <v>59</v>
      </c>
      <c r="F6072" s="9">
        <v>21</v>
      </c>
      <c r="G6072" s="9">
        <v>224</v>
      </c>
      <c r="H6072" s="5" t="s">
        <v>20</v>
      </c>
      <c r="I6072" s="5" t="s">
        <v>13934</v>
      </c>
      <c r="J6072" s="12" t="str">
        <f>HYPERLINK("https://www.boe.es/gazeta/dias/1805/03/12/pdfs/GMD-1805-21.pdf#page=12","Abrir facsímil")</f>
        <v>Abrir facsímil</v>
      </c>
      <c r="K6072" s="15" t="s">
        <v>22</v>
      </c>
    </row>
    <row r="6073" spans="1:11" ht="42" customHeight="1">
      <c r="A6073" s="4" t="s">
        <v>13935</v>
      </c>
      <c r="B6073" s="5" t="s">
        <v>13936</v>
      </c>
      <c r="C6073" s="5" t="s">
        <v>35</v>
      </c>
      <c r="D6073" s="5" t="s">
        <v>36</v>
      </c>
      <c r="E6073" s="5" t="s">
        <v>138</v>
      </c>
      <c r="F6073" s="9">
        <v>102</v>
      </c>
      <c r="G6073" s="9">
        <v>1104</v>
      </c>
      <c r="H6073" s="5" t="s">
        <v>20</v>
      </c>
      <c r="I6073" s="5" t="s">
        <v>13937</v>
      </c>
      <c r="J6073" s="12" t="str">
        <f>HYPERLINK("https://www.boe.es/gazeta/dias/1805/12/20/pdfs/GMD-1805-102.pdf#page=8","Abrir facsímil")</f>
        <v>Abrir facsímil</v>
      </c>
      <c r="K6073" s="15" t="s">
        <v>22</v>
      </c>
    </row>
    <row r="6074" spans="1:11" ht="42" customHeight="1">
      <c r="A6074" s="4" t="s">
        <v>13938</v>
      </c>
      <c r="B6074" s="5" t="s">
        <v>13939</v>
      </c>
      <c r="C6074" s="5" t="s">
        <v>35</v>
      </c>
      <c r="D6074" s="5" t="s">
        <v>36</v>
      </c>
      <c r="E6074" s="5" t="s">
        <v>132</v>
      </c>
      <c r="F6074" s="9">
        <v>2</v>
      </c>
      <c r="G6074" s="9">
        <v>21</v>
      </c>
      <c r="H6074" s="5" t="s">
        <v>20</v>
      </c>
      <c r="I6074" s="5" t="s">
        <v>13940</v>
      </c>
      <c r="J6074" s="12" t="str">
        <f>HYPERLINK("https://www.boe.es/gazeta/dias/1805/01/04/pdfs/GMD-1805-2.pdf#page=9","Abrir facsímil")</f>
        <v>Abrir facsímil</v>
      </c>
      <c r="K6074" s="15" t="s">
        <v>22</v>
      </c>
    </row>
    <row r="6075" spans="1:11" ht="42" customHeight="1">
      <c r="A6075" s="4" t="s">
        <v>13938</v>
      </c>
      <c r="B6075" s="5" t="s">
        <v>13939</v>
      </c>
      <c r="C6075" s="5" t="s">
        <v>35</v>
      </c>
      <c r="D6075" s="5" t="s">
        <v>36</v>
      </c>
      <c r="E6075" s="5" t="s">
        <v>91</v>
      </c>
      <c r="F6075" s="9">
        <v>28</v>
      </c>
      <c r="G6075" s="9">
        <v>300</v>
      </c>
      <c r="H6075" s="5" t="s">
        <v>20</v>
      </c>
      <c r="I6075" s="5" t="s">
        <v>13941</v>
      </c>
      <c r="J6075" s="12" t="str">
        <f>HYPERLINK("https://www.boe.es/gazeta/dias/1805/04/05/pdfs/GMD-1805-28.pdf#page=8","Abrir facsímil")</f>
        <v>Abrir facsímil</v>
      </c>
      <c r="K6075" s="15" t="s">
        <v>22</v>
      </c>
    </row>
    <row r="6076" spans="1:11" ht="42" customHeight="1">
      <c r="A6076" s="4" t="s">
        <v>13942</v>
      </c>
      <c r="B6076" s="5" t="s">
        <v>13943</v>
      </c>
      <c r="C6076" s="5" t="s">
        <v>17</v>
      </c>
      <c r="D6076" s="5" t="s">
        <v>18</v>
      </c>
      <c r="E6076" s="5" t="s">
        <v>63</v>
      </c>
      <c r="F6076" s="9">
        <v>101</v>
      </c>
      <c r="G6076" s="9">
        <v>1093</v>
      </c>
      <c r="H6076" s="5" t="s">
        <v>20</v>
      </c>
      <c r="I6076" s="5" t="s">
        <v>13944</v>
      </c>
      <c r="J6076" s="12" t="str">
        <f>HYPERLINK("https://www.boe.es/gazeta/dias/1805/12/17/pdfs/GMD-1805-101.pdf#page=9","Abrir facsímil")</f>
        <v>Abrir facsímil</v>
      </c>
      <c r="K6076" s="15" t="s">
        <v>22</v>
      </c>
    </row>
    <row r="6077" spans="1:11" ht="42" customHeight="1">
      <c r="A6077" s="4" t="s">
        <v>13945</v>
      </c>
      <c r="B6077" s="5" t="s">
        <v>13946</v>
      </c>
      <c r="C6077" s="5" t="s">
        <v>29</v>
      </c>
      <c r="D6077" s="5" t="s">
        <v>30</v>
      </c>
      <c r="E6077" s="5" t="s">
        <v>95</v>
      </c>
      <c r="F6077" s="9">
        <v>13</v>
      </c>
      <c r="G6077" s="9">
        <v>140</v>
      </c>
      <c r="H6077" s="5" t="s">
        <v>20</v>
      </c>
      <c r="I6077" s="5" t="s">
        <v>13947</v>
      </c>
      <c r="J6077" s="12" t="str">
        <f>HYPERLINK("https://www.boe.es/gazeta/dias/1805/02/12/pdfs/GMD-1805-13.pdf#page=8","Abrir facsímil")</f>
        <v>Abrir facsímil</v>
      </c>
      <c r="K6077" s="15" t="s">
        <v>22</v>
      </c>
    </row>
    <row r="6078" spans="1:11" ht="42" customHeight="1">
      <c r="A6078" s="4" t="s">
        <v>13948</v>
      </c>
      <c r="B6078" s="5" t="s">
        <v>13949</v>
      </c>
      <c r="C6078" s="5" t="s">
        <v>35</v>
      </c>
      <c r="D6078" s="5" t="s">
        <v>36</v>
      </c>
      <c r="E6078" s="5" t="s">
        <v>495</v>
      </c>
      <c r="F6078" s="9">
        <v>103</v>
      </c>
      <c r="G6078" s="9">
        <v>1115</v>
      </c>
      <c r="H6078" s="5" t="s">
        <v>20</v>
      </c>
      <c r="I6078" s="5" t="s">
        <v>13950</v>
      </c>
      <c r="J6078" s="12" t="str">
        <f>HYPERLINK("https://www.boe.es/gazeta/dias/1805/12/24/pdfs/GMD-1805-103.pdf#page=7","Abrir facsímil")</f>
        <v>Abrir facsímil</v>
      </c>
      <c r="K6078" s="15" t="s">
        <v>22</v>
      </c>
    </row>
    <row r="6079" spans="1:11" ht="42" customHeight="1">
      <c r="A6079" s="4" t="s">
        <v>13951</v>
      </c>
      <c r="B6079" s="5" t="s">
        <v>13951</v>
      </c>
      <c r="C6079" s="5" t="s">
        <v>52</v>
      </c>
      <c r="D6079" s="5" t="s">
        <v>53</v>
      </c>
      <c r="E6079" s="5" t="s">
        <v>144</v>
      </c>
      <c r="F6079" s="9">
        <v>85</v>
      </c>
      <c r="G6079" s="9" t="s">
        <v>475</v>
      </c>
      <c r="H6079" s="5" t="s">
        <v>20</v>
      </c>
      <c r="I6079" s="5" t="s">
        <v>13952</v>
      </c>
      <c r="J6079" s="12" t="str">
        <f>HYPERLINK("https://www.boe.es/gazeta/dias/1805/10/22/pdfs/GMD-C-1805-85.pdf#page=5","Abrir facsímil")</f>
        <v>Abrir facsímil</v>
      </c>
      <c r="K6079" s="15" t="s">
        <v>22</v>
      </c>
    </row>
    <row r="6080" spans="1:11" ht="42" customHeight="1">
      <c r="A6080" s="4" t="s">
        <v>13953</v>
      </c>
      <c r="B6080" s="5" t="s">
        <v>13954</v>
      </c>
      <c r="C6080" s="5" t="s">
        <v>35</v>
      </c>
      <c r="D6080" s="5" t="s">
        <v>36</v>
      </c>
      <c r="E6080" s="5" t="s">
        <v>141</v>
      </c>
      <c r="F6080" s="9">
        <v>82</v>
      </c>
      <c r="G6080" s="9">
        <v>870</v>
      </c>
      <c r="H6080" s="5" t="s">
        <v>20</v>
      </c>
      <c r="I6080" s="5" t="s">
        <v>13955</v>
      </c>
      <c r="J6080" s="12" t="str">
        <f>HYPERLINK("https://www.boe.es/gazeta/dias/1805/10/11/pdfs/GMD-1805-82.pdf#page=10","Abrir facsímil")</f>
        <v>Abrir facsímil</v>
      </c>
      <c r="K6080" s="15" t="s">
        <v>22</v>
      </c>
    </row>
    <row r="6081" spans="1:11" ht="42" customHeight="1">
      <c r="A6081" s="4" t="s">
        <v>13956</v>
      </c>
      <c r="B6081" s="5" t="s">
        <v>13956</v>
      </c>
      <c r="C6081" s="5" t="s">
        <v>35</v>
      </c>
      <c r="D6081" s="5" t="s">
        <v>36</v>
      </c>
      <c r="E6081" s="5" t="s">
        <v>1292</v>
      </c>
      <c r="F6081" s="9">
        <v>43</v>
      </c>
      <c r="G6081" s="9">
        <v>463</v>
      </c>
      <c r="H6081" s="5" t="s">
        <v>20</v>
      </c>
      <c r="I6081" s="5" t="s">
        <v>13957</v>
      </c>
      <c r="J6081" s="12" t="str">
        <f>HYPERLINK("https://www.boe.es/gazeta/dias/1805/05/28/pdfs/GMD-1805-43.pdf#page=7","Abrir facsímil")</f>
        <v>Abrir facsímil</v>
      </c>
      <c r="K6081" s="15" t="s">
        <v>22</v>
      </c>
    </row>
    <row r="6082" spans="1:11" ht="42" customHeight="1">
      <c r="A6082" s="4" t="s">
        <v>13958</v>
      </c>
      <c r="B6082" s="5" t="s">
        <v>13958</v>
      </c>
      <c r="C6082" s="5" t="s">
        <v>17</v>
      </c>
      <c r="D6082" s="5" t="s">
        <v>18</v>
      </c>
      <c r="E6082" s="5" t="s">
        <v>117</v>
      </c>
      <c r="F6082" s="9">
        <v>20</v>
      </c>
      <c r="G6082" s="9">
        <v>206</v>
      </c>
      <c r="H6082" s="5" t="s">
        <v>20</v>
      </c>
      <c r="I6082" s="5" t="s">
        <v>13959</v>
      </c>
      <c r="J6082" s="12" t="str">
        <f>HYPERLINK("https://www.boe.es/gazeta/dias/1805/03/08/pdfs/GMD-1805-20.pdf#page=6","Abrir facsímil")</f>
        <v>Abrir facsímil</v>
      </c>
      <c r="K6082" s="15" t="s">
        <v>22</v>
      </c>
    </row>
    <row r="6083" spans="1:11" ht="42" customHeight="1">
      <c r="A6083" s="4" t="s">
        <v>13960</v>
      </c>
      <c r="B6083" s="5" t="s">
        <v>13960</v>
      </c>
      <c r="C6083" s="5" t="s">
        <v>29</v>
      </c>
      <c r="D6083" s="5" t="s">
        <v>30</v>
      </c>
      <c r="E6083" s="5" t="s">
        <v>399</v>
      </c>
      <c r="F6083" s="9">
        <v>39</v>
      </c>
      <c r="G6083" s="9">
        <v>418</v>
      </c>
      <c r="H6083" s="5" t="s">
        <v>20</v>
      </c>
      <c r="I6083" s="5" t="s">
        <v>13961</v>
      </c>
      <c r="J6083" s="12" t="str">
        <f>HYPERLINK("https://www.boe.es/gazeta/dias/1805/05/14/pdfs/GMD-1805-39.pdf#page=6","Abrir facsímil")</f>
        <v>Abrir facsímil</v>
      </c>
      <c r="K6083" s="15" t="s">
        <v>22</v>
      </c>
    </row>
    <row r="6084" spans="1:11" ht="42" customHeight="1">
      <c r="A6084" s="4" t="s">
        <v>13962</v>
      </c>
      <c r="B6084" s="5" t="s">
        <v>13963</v>
      </c>
      <c r="C6084" s="5" t="s">
        <v>29</v>
      </c>
      <c r="D6084" s="5" t="s">
        <v>30</v>
      </c>
      <c r="E6084" s="5" t="s">
        <v>539</v>
      </c>
      <c r="F6084" s="9">
        <v>97</v>
      </c>
      <c r="G6084" s="9">
        <v>1042</v>
      </c>
      <c r="H6084" s="5" t="s">
        <v>20</v>
      </c>
      <c r="I6084" s="5" t="s">
        <v>13964</v>
      </c>
      <c r="J6084" s="12" t="str">
        <f>HYPERLINK("https://www.boe.es/gazeta/dias/1805/12/03/pdfs/GMD-1805-97.pdf#page=6","Abrir facsímil")</f>
        <v>Abrir facsímil</v>
      </c>
      <c r="K6084" s="15" t="s">
        <v>22</v>
      </c>
    </row>
    <row r="6085" spans="1:11" ht="42" customHeight="1">
      <c r="A6085" s="4" t="s">
        <v>13965</v>
      </c>
      <c r="B6085" s="5" t="s">
        <v>13966</v>
      </c>
      <c r="C6085" s="5" t="s">
        <v>17</v>
      </c>
      <c r="D6085" s="5" t="s">
        <v>18</v>
      </c>
      <c r="E6085" s="5" t="s">
        <v>506</v>
      </c>
      <c r="F6085" s="9">
        <v>80</v>
      </c>
      <c r="G6085" s="9">
        <v>848</v>
      </c>
      <c r="H6085" s="5" t="s">
        <v>20</v>
      </c>
      <c r="I6085" s="5" t="s">
        <v>13967</v>
      </c>
      <c r="J6085" s="12" t="str">
        <f>HYPERLINK("https://www.boe.es/gazeta/dias/1805/10/04/pdfs/GMD-1805-80.pdf#page=8","Abrir facsímil")</f>
        <v>Abrir facsímil</v>
      </c>
      <c r="K6085" s="15" t="s">
        <v>22</v>
      </c>
    </row>
    <row r="6086" spans="1:11" ht="42" customHeight="1">
      <c r="A6086" s="4" t="s">
        <v>13968</v>
      </c>
      <c r="B6086" s="5" t="s">
        <v>13969</v>
      </c>
      <c r="C6086" s="5" t="s">
        <v>29</v>
      </c>
      <c r="D6086" s="5" t="s">
        <v>30</v>
      </c>
      <c r="E6086" s="5" t="s">
        <v>170</v>
      </c>
      <c r="F6086" s="9">
        <v>9</v>
      </c>
      <c r="G6086" s="9">
        <v>104</v>
      </c>
      <c r="H6086" s="5" t="s">
        <v>20</v>
      </c>
      <c r="I6086" s="5" t="s">
        <v>13970</v>
      </c>
      <c r="J6086" s="12" t="str">
        <f>HYPERLINK("https://www.boe.es/gazeta/dias/1805/01/29/pdfs/GMD-1805-9.pdf#page=12","Abrir facsímil")</f>
        <v>Abrir facsímil</v>
      </c>
      <c r="K6086" s="15" t="s">
        <v>22</v>
      </c>
    </row>
    <row r="6087" spans="1:11" ht="42" customHeight="1">
      <c r="A6087" s="4" t="s">
        <v>13971</v>
      </c>
      <c r="B6087" s="5" t="s">
        <v>13972</v>
      </c>
      <c r="C6087" s="5" t="s">
        <v>29</v>
      </c>
      <c r="D6087" s="5" t="s">
        <v>30</v>
      </c>
      <c r="E6087" s="5" t="s">
        <v>886</v>
      </c>
      <c r="F6087" s="9">
        <v>93</v>
      </c>
      <c r="G6087" s="9">
        <v>996</v>
      </c>
      <c r="H6087" s="5" t="s">
        <v>20</v>
      </c>
      <c r="I6087" s="5" t="s">
        <v>13973</v>
      </c>
      <c r="J6087" s="12" t="str">
        <f>HYPERLINK("https://www.boe.es/gazeta/dias/1805/11/19/pdfs/GMD-1805-93.pdf#page=8","Abrir facsímil")</f>
        <v>Abrir facsímil</v>
      </c>
      <c r="K6087" s="15" t="s">
        <v>22</v>
      </c>
    </row>
    <row r="6088" spans="1:11" ht="42" customHeight="1">
      <c r="A6088" s="4" t="s">
        <v>13974</v>
      </c>
      <c r="B6088" s="5" t="s">
        <v>13974</v>
      </c>
      <c r="C6088" s="5" t="s">
        <v>17</v>
      </c>
      <c r="D6088" s="5" t="s">
        <v>18</v>
      </c>
      <c r="E6088" s="5" t="s">
        <v>850</v>
      </c>
      <c r="F6088" s="9">
        <v>42</v>
      </c>
      <c r="G6088" s="9">
        <v>450</v>
      </c>
      <c r="H6088" s="5" t="s">
        <v>20</v>
      </c>
      <c r="I6088" s="5" t="s">
        <v>13975</v>
      </c>
      <c r="J6088" s="12" t="str">
        <f>HYPERLINK("https://www.boe.es/gazeta/dias/1805/05/24/pdfs/GMD-1805-42.pdf#page=6","Abrir facsímil")</f>
        <v>Abrir facsímil</v>
      </c>
      <c r="K6088" s="15" t="s">
        <v>22</v>
      </c>
    </row>
    <row r="6089" spans="1:11" ht="42" customHeight="1">
      <c r="A6089" s="4" t="s">
        <v>13976</v>
      </c>
      <c r="B6089" s="5" t="s">
        <v>13976</v>
      </c>
      <c r="C6089" s="5" t="s">
        <v>35</v>
      </c>
      <c r="D6089" s="5" t="s">
        <v>36</v>
      </c>
      <c r="E6089" s="5" t="s">
        <v>141</v>
      </c>
      <c r="F6089" s="9">
        <v>82</v>
      </c>
      <c r="G6089" s="9">
        <v>862</v>
      </c>
      <c r="H6089" s="5" t="s">
        <v>20</v>
      </c>
      <c r="I6089" s="5" t="s">
        <v>13977</v>
      </c>
      <c r="J6089" s="12" t="str">
        <f>HYPERLINK("https://www.boe.es/gazeta/dias/1805/10/11/pdfs/GMD-1805-82.pdf#page=2","Abrir facsímil")</f>
        <v>Abrir facsímil</v>
      </c>
      <c r="K6089" s="15" t="s">
        <v>22</v>
      </c>
    </row>
    <row r="6090" spans="1:11" ht="42" customHeight="1">
      <c r="A6090" s="4" t="s">
        <v>13978</v>
      </c>
      <c r="B6090" s="5" t="s">
        <v>13979</v>
      </c>
      <c r="C6090" s="5" t="s">
        <v>35</v>
      </c>
      <c r="D6090" s="5" t="s">
        <v>36</v>
      </c>
      <c r="E6090" s="5" t="s">
        <v>48</v>
      </c>
      <c r="F6090" s="9">
        <v>35</v>
      </c>
      <c r="G6090" s="9">
        <v>375</v>
      </c>
      <c r="H6090" s="5" t="s">
        <v>20</v>
      </c>
      <c r="I6090" s="5" t="s">
        <v>13980</v>
      </c>
      <c r="J6090" s="12" t="str">
        <f>HYPERLINK("https://www.boe.es/gazeta/dias/1805/04/30/pdfs/GMD-1805-35.pdf#page=7","Abrir facsímil")</f>
        <v>Abrir facsímil</v>
      </c>
      <c r="K6090" s="15" t="s">
        <v>22</v>
      </c>
    </row>
    <row r="6091" spans="1:11" ht="42" customHeight="1">
      <c r="A6091" s="4" t="s">
        <v>13981</v>
      </c>
      <c r="B6091" s="5" t="s">
        <v>13982</v>
      </c>
      <c r="C6091" s="5" t="s">
        <v>35</v>
      </c>
      <c r="D6091" s="5" t="s">
        <v>36</v>
      </c>
      <c r="E6091" s="5" t="s">
        <v>148</v>
      </c>
      <c r="F6091" s="9">
        <v>50</v>
      </c>
      <c r="G6091" s="9">
        <v>537</v>
      </c>
      <c r="H6091" s="5" t="s">
        <v>20</v>
      </c>
      <c r="I6091" s="5" t="s">
        <v>13983</v>
      </c>
      <c r="J6091" s="12" t="str">
        <f>HYPERLINK("https://www.boe.es/gazeta/dias/1805/06/21/pdfs/GMD-1805-50.pdf#page=5","Abrir facsímil")</f>
        <v>Abrir facsímil</v>
      </c>
      <c r="K6091" s="15" t="s">
        <v>22</v>
      </c>
    </row>
    <row r="6092" spans="1:11" ht="42" customHeight="1">
      <c r="A6092" s="4" t="s">
        <v>13978</v>
      </c>
      <c r="B6092" s="5" t="s">
        <v>13979</v>
      </c>
      <c r="C6092" s="5" t="s">
        <v>80</v>
      </c>
      <c r="D6092" s="5" t="s">
        <v>81</v>
      </c>
      <c r="E6092" s="5" t="s">
        <v>585</v>
      </c>
      <c r="F6092" s="9">
        <v>64</v>
      </c>
      <c r="G6092" s="9">
        <v>681</v>
      </c>
      <c r="H6092" s="5" t="s">
        <v>20</v>
      </c>
      <c r="I6092" s="5" t="s">
        <v>13984</v>
      </c>
      <c r="J6092" s="12" t="str">
        <f>HYPERLINK("https://www.boe.es/gazeta/dias/1805/08/09/pdfs/GMD-1805-64.pdf#page=5","Abrir facsímil")</f>
        <v>Abrir facsímil</v>
      </c>
      <c r="K6092" s="15" t="s">
        <v>22</v>
      </c>
    </row>
    <row r="6093" spans="1:11" ht="42" customHeight="1">
      <c r="A6093" s="4" t="s">
        <v>13985</v>
      </c>
      <c r="B6093" s="5" t="s">
        <v>13986</v>
      </c>
      <c r="C6093" s="5" t="s">
        <v>85</v>
      </c>
      <c r="D6093" s="5" t="s">
        <v>86</v>
      </c>
      <c r="E6093" s="5" t="s">
        <v>135</v>
      </c>
      <c r="F6093" s="9">
        <v>71</v>
      </c>
      <c r="G6093" s="9">
        <v>756</v>
      </c>
      <c r="H6093" s="5" t="s">
        <v>20</v>
      </c>
      <c r="I6093" s="5" t="s">
        <v>13987</v>
      </c>
      <c r="J6093" s="12" t="str">
        <f>HYPERLINK("https://www.boe.es/gazeta/dias/1805/09/03/pdfs/GMD-1805-71.pdf#page=8","Abrir facsímil")</f>
        <v>Abrir facsímil</v>
      </c>
      <c r="K6093" s="15" t="s">
        <v>22</v>
      </c>
    </row>
    <row r="6094" spans="1:11" ht="42" customHeight="1">
      <c r="A6094" s="4" t="s">
        <v>13988</v>
      </c>
      <c r="B6094" s="5" t="s">
        <v>13989</v>
      </c>
      <c r="C6094" s="5" t="s">
        <v>80</v>
      </c>
      <c r="D6094" s="5" t="s">
        <v>81</v>
      </c>
      <c r="E6094" s="5" t="s">
        <v>831</v>
      </c>
      <c r="F6094" s="9">
        <v>62</v>
      </c>
      <c r="G6094" s="9">
        <v>661</v>
      </c>
      <c r="H6094" s="5" t="s">
        <v>20</v>
      </c>
      <c r="I6094" s="5" t="s">
        <v>13990</v>
      </c>
      <c r="J6094" s="12" t="str">
        <f>HYPERLINK("https://www.boe.es/gazeta/dias/1805/08/02/pdfs/GMD-1805-62.pdf#page=5","Abrir facsímil")</f>
        <v>Abrir facsímil</v>
      </c>
      <c r="K6094" s="15" t="s">
        <v>22</v>
      </c>
    </row>
    <row r="6095" spans="1:11" ht="42" customHeight="1">
      <c r="A6095" s="4" t="s">
        <v>13991</v>
      </c>
      <c r="B6095" s="5" t="s">
        <v>13991</v>
      </c>
      <c r="C6095" s="5" t="s">
        <v>80</v>
      </c>
      <c r="D6095" s="5" t="s">
        <v>81</v>
      </c>
      <c r="E6095" s="5" t="s">
        <v>711</v>
      </c>
      <c r="F6095" s="9">
        <v>63</v>
      </c>
      <c r="G6095" s="9">
        <v>670</v>
      </c>
      <c r="H6095" s="5" t="s">
        <v>20</v>
      </c>
      <c r="I6095" s="5" t="s">
        <v>13992</v>
      </c>
      <c r="J6095" s="12" t="str">
        <f>HYPERLINK("https://www.boe.es/gazeta/dias/1805/08/06/pdfs/GMD-1805-63.pdf#page=6","Abrir facsímil")</f>
        <v>Abrir facsímil</v>
      </c>
      <c r="K6095" s="15" t="s">
        <v>22</v>
      </c>
    </row>
    <row r="6096" spans="1:11" ht="42" customHeight="1">
      <c r="A6096" s="4" t="s">
        <v>13993</v>
      </c>
      <c r="B6096" s="5" t="s">
        <v>13994</v>
      </c>
      <c r="C6096" s="5" t="s">
        <v>80</v>
      </c>
      <c r="D6096" s="5" t="s">
        <v>81</v>
      </c>
      <c r="E6096" s="5" t="s">
        <v>132</v>
      </c>
      <c r="F6096" s="9">
        <v>2</v>
      </c>
      <c r="G6096" s="9">
        <v>17</v>
      </c>
      <c r="H6096" s="5" t="s">
        <v>20</v>
      </c>
      <c r="I6096" s="5" t="s">
        <v>13995</v>
      </c>
      <c r="J6096" s="12" t="str">
        <f>HYPERLINK("https://www.boe.es/gazeta/dias/1805/01/04/pdfs/GMD-1805-2.pdf#page=5","Abrir facsímil")</f>
        <v>Abrir facsímil</v>
      </c>
      <c r="K6096" s="15" t="s">
        <v>22</v>
      </c>
    </row>
    <row r="6097" spans="1:11" ht="42" customHeight="1">
      <c r="A6097" s="4" t="s">
        <v>13993</v>
      </c>
      <c r="B6097" s="5" t="s">
        <v>13994</v>
      </c>
      <c r="C6097" s="5" t="s">
        <v>35</v>
      </c>
      <c r="D6097" s="5" t="s">
        <v>36</v>
      </c>
      <c r="E6097" s="5" t="s">
        <v>854</v>
      </c>
      <c r="F6097" s="9">
        <v>46</v>
      </c>
      <c r="G6097" s="9">
        <v>490</v>
      </c>
      <c r="H6097" s="5" t="s">
        <v>20</v>
      </c>
      <c r="I6097" s="5" t="s">
        <v>13996</v>
      </c>
      <c r="J6097" s="12" t="str">
        <f>HYPERLINK("https://www.boe.es/gazeta/dias/1805/06/07/pdfs/GMD-1805-46.pdf#page=2","Abrir facsímil")</f>
        <v>Abrir facsímil</v>
      </c>
      <c r="K6097" s="15" t="s">
        <v>22</v>
      </c>
    </row>
    <row r="6098" spans="1:11" ht="42" customHeight="1">
      <c r="A6098" s="4" t="s">
        <v>13993</v>
      </c>
      <c r="B6098" s="5" t="s">
        <v>13994</v>
      </c>
      <c r="C6098" s="5" t="s">
        <v>17</v>
      </c>
      <c r="D6098" s="5" t="s">
        <v>18</v>
      </c>
      <c r="E6098" s="5" t="s">
        <v>37</v>
      </c>
      <c r="F6098" s="9">
        <v>54</v>
      </c>
      <c r="G6098" s="9">
        <v>577</v>
      </c>
      <c r="H6098" s="5" t="s">
        <v>20</v>
      </c>
      <c r="I6098" s="5" t="s">
        <v>13997</v>
      </c>
      <c r="J6098" s="12" t="str">
        <f>HYPERLINK("https://www.boe.es/gazeta/dias/1805/07/05/pdfs/GMD-1805-54.pdf#page=5","Abrir facsímil")</f>
        <v>Abrir facsímil</v>
      </c>
      <c r="K6098" s="15" t="s">
        <v>22</v>
      </c>
    </row>
    <row r="6099" spans="1:11" ht="42" customHeight="1">
      <c r="A6099" s="4" t="s">
        <v>13993</v>
      </c>
      <c r="B6099" s="5" t="s">
        <v>13994</v>
      </c>
      <c r="C6099" s="5" t="s">
        <v>80</v>
      </c>
      <c r="D6099" s="5" t="s">
        <v>81</v>
      </c>
      <c r="E6099" s="5" t="s">
        <v>226</v>
      </c>
      <c r="F6099" s="9">
        <v>73</v>
      </c>
      <c r="G6099" s="9">
        <v>771</v>
      </c>
      <c r="H6099" s="5" t="s">
        <v>20</v>
      </c>
      <c r="I6099" s="5" t="s">
        <v>13998</v>
      </c>
      <c r="J6099" s="12" t="str">
        <f>HYPERLINK("https://www.boe.es/gazeta/dias/1805/09/10/pdfs/GMD-1805-73.pdf#page=3","Abrir facsímil")</f>
        <v>Abrir facsímil</v>
      </c>
      <c r="K6099" s="15" t="s">
        <v>22</v>
      </c>
    </row>
    <row r="6100" spans="1:11" ht="42" customHeight="1">
      <c r="A6100" s="4" t="s">
        <v>13993</v>
      </c>
      <c r="B6100" s="5" t="s">
        <v>13994</v>
      </c>
      <c r="C6100" s="5" t="s">
        <v>29</v>
      </c>
      <c r="D6100" s="5" t="s">
        <v>30</v>
      </c>
      <c r="E6100" s="5" t="s">
        <v>138</v>
      </c>
      <c r="F6100" s="9">
        <v>102</v>
      </c>
      <c r="G6100" s="9">
        <v>1099</v>
      </c>
      <c r="H6100" s="5" t="s">
        <v>20</v>
      </c>
      <c r="I6100" s="5" t="s">
        <v>13999</v>
      </c>
      <c r="J6100" s="12" t="str">
        <f>HYPERLINK("https://www.boe.es/gazeta/dias/1805/12/20/pdfs/GMD-1805-102.pdf#page=3","Abrir facsímil")</f>
        <v>Abrir facsímil</v>
      </c>
      <c r="K6100" s="15" t="s">
        <v>22</v>
      </c>
    </row>
    <row r="6101" spans="1:11" ht="42" customHeight="1">
      <c r="A6101" s="4" t="s">
        <v>14000</v>
      </c>
      <c r="B6101" s="5" t="s">
        <v>14001</v>
      </c>
      <c r="C6101" s="5" t="s">
        <v>80</v>
      </c>
      <c r="D6101" s="5" t="s">
        <v>81</v>
      </c>
      <c r="E6101" s="5" t="s">
        <v>67</v>
      </c>
      <c r="F6101" s="9">
        <v>98</v>
      </c>
      <c r="G6101" s="9">
        <v>1055</v>
      </c>
      <c r="H6101" s="5" t="s">
        <v>20</v>
      </c>
      <c r="I6101" s="5" t="s">
        <v>14002</v>
      </c>
      <c r="J6101" s="12" t="str">
        <f>HYPERLINK("https://www.boe.es/gazeta/dias/1805/12/06/pdfs/GMD-1805-98.pdf#page=7","Abrir facsímil")</f>
        <v>Abrir facsímil</v>
      </c>
      <c r="K6101" s="15" t="s">
        <v>22</v>
      </c>
    </row>
    <row r="6102" spans="1:11" ht="42" customHeight="1">
      <c r="A6102" s="4" t="s">
        <v>14003</v>
      </c>
      <c r="B6102" s="5" t="s">
        <v>14003</v>
      </c>
      <c r="C6102" s="5" t="s">
        <v>35</v>
      </c>
      <c r="D6102" s="5" t="s">
        <v>36</v>
      </c>
      <c r="E6102" s="5" t="s">
        <v>141</v>
      </c>
      <c r="F6102" s="9">
        <v>82</v>
      </c>
      <c r="G6102" s="9">
        <v>862</v>
      </c>
      <c r="H6102" s="5" t="s">
        <v>20</v>
      </c>
      <c r="I6102" s="5" t="s">
        <v>14004</v>
      </c>
      <c r="J6102" s="12" t="str">
        <f>HYPERLINK("https://www.boe.es/gazeta/dias/1805/10/11/pdfs/GMD-1805-82.pdf#page=2","Abrir facsímil")</f>
        <v>Abrir facsímil</v>
      </c>
      <c r="K6102" s="15" t="s">
        <v>22</v>
      </c>
    </row>
    <row r="6103" spans="1:11" ht="42" customHeight="1">
      <c r="A6103" s="4" t="s">
        <v>14005</v>
      </c>
      <c r="B6103" s="5" t="s">
        <v>14006</v>
      </c>
      <c r="C6103" s="5" t="s">
        <v>35</v>
      </c>
      <c r="D6103" s="5" t="s">
        <v>36</v>
      </c>
      <c r="E6103" s="5" t="s">
        <v>649</v>
      </c>
      <c r="F6103" s="9">
        <v>7</v>
      </c>
      <c r="G6103" s="9">
        <v>74</v>
      </c>
      <c r="H6103" s="5" t="s">
        <v>20</v>
      </c>
      <c r="I6103" s="5" t="s">
        <v>14007</v>
      </c>
      <c r="J6103" s="12" t="str">
        <f>HYPERLINK("https://www.boe.es/gazeta/dias/1805/01/22/pdfs/GMD-1805-7.pdf#page=6","Abrir facsímil")</f>
        <v>Abrir facsímil</v>
      </c>
      <c r="K6103" s="15" t="s">
        <v>22</v>
      </c>
    </row>
    <row r="6104" spans="1:11" ht="42" customHeight="1">
      <c r="A6104" s="4" t="s">
        <v>14008</v>
      </c>
      <c r="B6104" s="5" t="s">
        <v>14008</v>
      </c>
      <c r="C6104" s="5" t="s">
        <v>17</v>
      </c>
      <c r="D6104" s="5" t="s">
        <v>18</v>
      </c>
      <c r="E6104" s="5" t="s">
        <v>44</v>
      </c>
      <c r="F6104" s="9">
        <v>29</v>
      </c>
      <c r="G6104" s="9">
        <v>311</v>
      </c>
      <c r="H6104" s="5" t="s">
        <v>20</v>
      </c>
      <c r="I6104" s="5" t="s">
        <v>14009</v>
      </c>
      <c r="J6104" s="12" t="str">
        <f>HYPERLINK("https://www.boe.es/gazeta/dias/1805/04/09/pdfs/GMD-1805-29.pdf#page=7","Abrir facsímil")</f>
        <v>Abrir facsímil</v>
      </c>
      <c r="K6104" s="15" t="s">
        <v>22</v>
      </c>
    </row>
    <row r="6105" spans="1:11" ht="42" customHeight="1">
      <c r="A6105" s="4" t="s">
        <v>14010</v>
      </c>
      <c r="B6105" s="5" t="s">
        <v>14011</v>
      </c>
      <c r="C6105" s="5" t="s">
        <v>17</v>
      </c>
      <c r="D6105" s="5" t="s">
        <v>18</v>
      </c>
      <c r="E6105" s="5" t="s">
        <v>138</v>
      </c>
      <c r="F6105" s="9">
        <v>102</v>
      </c>
      <c r="G6105" s="9">
        <v>1104</v>
      </c>
      <c r="H6105" s="5" t="s">
        <v>20</v>
      </c>
      <c r="I6105" s="5" t="s">
        <v>14012</v>
      </c>
      <c r="J6105" s="12" t="str">
        <f>HYPERLINK("https://www.boe.es/gazeta/dias/1805/12/20/pdfs/GMD-1805-102.pdf#page=8","Abrir facsímil")</f>
        <v>Abrir facsímil</v>
      </c>
      <c r="K6105" s="15" t="s">
        <v>22</v>
      </c>
    </row>
    <row r="6106" spans="1:11" ht="42" customHeight="1">
      <c r="A6106" s="4" t="s">
        <v>14013</v>
      </c>
      <c r="B6106" s="5" t="s">
        <v>14013</v>
      </c>
      <c r="C6106" s="5" t="s">
        <v>35</v>
      </c>
      <c r="D6106" s="5" t="s">
        <v>36</v>
      </c>
      <c r="E6106" s="5" t="s">
        <v>506</v>
      </c>
      <c r="F6106" s="9">
        <v>80</v>
      </c>
      <c r="G6106" s="9">
        <v>849</v>
      </c>
      <c r="H6106" s="5" t="s">
        <v>20</v>
      </c>
      <c r="I6106" s="5" t="s">
        <v>14014</v>
      </c>
      <c r="J6106" s="12" t="str">
        <f>HYPERLINK("https://www.boe.es/gazeta/dias/1805/10/04/pdfs/GMD-1805-80.pdf#page=9","Abrir facsímil")</f>
        <v>Abrir facsímil</v>
      </c>
      <c r="K6106" s="15" t="s">
        <v>22</v>
      </c>
    </row>
    <row r="6107" spans="1:11" ht="42" customHeight="1">
      <c r="A6107" s="4" t="s">
        <v>14015</v>
      </c>
      <c r="B6107" s="5" t="s">
        <v>14015</v>
      </c>
      <c r="C6107" s="5" t="s">
        <v>35</v>
      </c>
      <c r="D6107" s="5" t="s">
        <v>36</v>
      </c>
      <c r="E6107" s="5" t="s">
        <v>67</v>
      </c>
      <c r="F6107" s="9">
        <v>98</v>
      </c>
      <c r="G6107" s="9">
        <v>1059</v>
      </c>
      <c r="H6107" s="5" t="s">
        <v>20</v>
      </c>
      <c r="I6107" s="5" t="s">
        <v>14016</v>
      </c>
      <c r="J6107" s="12" t="str">
        <f>HYPERLINK("https://www.boe.es/gazeta/dias/1805/12/06/pdfs/GMD-1805-98.pdf#page=11","Abrir facsímil")</f>
        <v>Abrir facsímil</v>
      </c>
      <c r="K6107" s="15" t="s">
        <v>22</v>
      </c>
    </row>
    <row r="6108" spans="1:11" ht="42" customHeight="1">
      <c r="A6108" s="4" t="s">
        <v>14017</v>
      </c>
      <c r="B6108" s="5" t="s">
        <v>14017</v>
      </c>
      <c r="C6108" s="5" t="s">
        <v>35</v>
      </c>
      <c r="D6108" s="5" t="s">
        <v>36</v>
      </c>
      <c r="E6108" s="5" t="s">
        <v>327</v>
      </c>
      <c r="F6108" s="9">
        <v>10</v>
      </c>
      <c r="G6108" s="9">
        <v>109</v>
      </c>
      <c r="H6108" s="5" t="s">
        <v>20</v>
      </c>
      <c r="I6108" s="5" t="s">
        <v>14018</v>
      </c>
      <c r="J6108" s="12" t="str">
        <f>HYPERLINK("https://www.boe.es/gazeta/dias/1805/02/01/pdfs/GMD-1805-10.pdf#page=5","Abrir facsímil")</f>
        <v>Abrir facsímil</v>
      </c>
      <c r="K6108" s="15" t="s">
        <v>22</v>
      </c>
    </row>
    <row r="6109" spans="1:11" ht="42" customHeight="1">
      <c r="A6109" s="4" t="s">
        <v>14019</v>
      </c>
      <c r="B6109" s="5" t="s">
        <v>14019</v>
      </c>
      <c r="C6109" s="5" t="s">
        <v>35</v>
      </c>
      <c r="D6109" s="5" t="s">
        <v>36</v>
      </c>
      <c r="E6109" s="5" t="s">
        <v>24</v>
      </c>
      <c r="F6109" s="9">
        <v>11</v>
      </c>
      <c r="G6109" s="9">
        <v>121</v>
      </c>
      <c r="H6109" s="5" t="s">
        <v>20</v>
      </c>
      <c r="I6109" s="5" t="s">
        <v>14020</v>
      </c>
      <c r="J6109" s="12" t="str">
        <f>HYPERLINK("https://www.boe.es/gazeta/dias/1805/02/05/pdfs/GMD-1805-11.pdf#page=9","Abrir facsímil")</f>
        <v>Abrir facsímil</v>
      </c>
      <c r="K6109" s="15" t="s">
        <v>22</v>
      </c>
    </row>
    <row r="6110" spans="1:11" ht="42" customHeight="1">
      <c r="A6110" s="4" t="s">
        <v>14021</v>
      </c>
      <c r="B6110" s="5" t="s">
        <v>14022</v>
      </c>
      <c r="C6110" s="5" t="s">
        <v>35</v>
      </c>
      <c r="D6110" s="5" t="s">
        <v>36</v>
      </c>
      <c r="E6110" s="5" t="s">
        <v>120</v>
      </c>
      <c r="F6110" s="9">
        <v>24</v>
      </c>
      <c r="G6110" s="9">
        <v>252</v>
      </c>
      <c r="H6110" s="5" t="s">
        <v>20</v>
      </c>
      <c r="I6110" s="5" t="s">
        <v>14023</v>
      </c>
      <c r="J6110" s="12" t="str">
        <f>HYPERLINK("https://www.boe.es/gazeta/dias/1805/03/22/pdfs/GMD-1805-24.pdf#page=4","Abrir facsímil")</f>
        <v>Abrir facsímil</v>
      </c>
      <c r="K6110" s="15" t="s">
        <v>22</v>
      </c>
    </row>
    <row r="6111" spans="1:11" ht="42" customHeight="1">
      <c r="A6111" s="4" t="s">
        <v>14024</v>
      </c>
      <c r="B6111" s="5" t="s">
        <v>14024</v>
      </c>
      <c r="C6111" s="5" t="s">
        <v>29</v>
      </c>
      <c r="D6111" s="5" t="s">
        <v>30</v>
      </c>
      <c r="E6111" s="5" t="s">
        <v>1445</v>
      </c>
      <c r="F6111" s="9">
        <v>6</v>
      </c>
      <c r="G6111" s="9">
        <v>68</v>
      </c>
      <c r="H6111" s="5" t="s">
        <v>20</v>
      </c>
      <c r="I6111" s="5" t="s">
        <v>14025</v>
      </c>
      <c r="J6111" s="12" t="str">
        <f>HYPERLINK("https://www.boe.es/gazeta/dias/1805/01/18/pdfs/GMD-1805-6.pdf#page=12","Abrir facsímil")</f>
        <v>Abrir facsímil</v>
      </c>
      <c r="K6111" s="15" t="s">
        <v>22</v>
      </c>
    </row>
    <row r="6112" spans="1:11" ht="42" customHeight="1">
      <c r="A6112" s="4" t="s">
        <v>14026</v>
      </c>
      <c r="B6112" s="5" t="s">
        <v>14027</v>
      </c>
      <c r="C6112" s="5" t="s">
        <v>35</v>
      </c>
      <c r="D6112" s="5" t="s">
        <v>36</v>
      </c>
      <c r="E6112" s="5" t="s">
        <v>44</v>
      </c>
      <c r="F6112" s="9">
        <v>29</v>
      </c>
      <c r="G6112" s="9">
        <v>313</v>
      </c>
      <c r="H6112" s="5" t="s">
        <v>20</v>
      </c>
      <c r="I6112" s="5" t="s">
        <v>14028</v>
      </c>
      <c r="J6112" s="12" t="str">
        <f>HYPERLINK("https://www.boe.es/gazeta/dias/1805/04/09/pdfs/GMD-1805-29.pdf#page=9","Abrir facsímil")</f>
        <v>Abrir facsímil</v>
      </c>
      <c r="K6112" s="15" t="s">
        <v>22</v>
      </c>
    </row>
    <row r="6113" spans="1:11" ht="42" customHeight="1">
      <c r="A6113" s="4" t="s">
        <v>14029</v>
      </c>
      <c r="B6113" s="5" t="s">
        <v>14030</v>
      </c>
      <c r="C6113" s="5" t="s">
        <v>17</v>
      </c>
      <c r="D6113" s="5" t="s">
        <v>18</v>
      </c>
      <c r="E6113" s="5" t="s">
        <v>170</v>
      </c>
      <c r="F6113" s="9">
        <v>9</v>
      </c>
      <c r="G6113" s="9">
        <v>104</v>
      </c>
      <c r="H6113" s="5" t="s">
        <v>20</v>
      </c>
      <c r="I6113" s="5" t="s">
        <v>14031</v>
      </c>
      <c r="J6113" s="12" t="str">
        <f>HYPERLINK("https://www.boe.es/gazeta/dias/1805/01/29/pdfs/GMD-1805-9.pdf#page=12","Abrir facsímil")</f>
        <v>Abrir facsímil</v>
      </c>
      <c r="K6113" s="15" t="s">
        <v>22</v>
      </c>
    </row>
    <row r="6114" spans="1:11" ht="42" customHeight="1">
      <c r="A6114" s="4" t="s">
        <v>14032</v>
      </c>
      <c r="B6114" s="5" t="s">
        <v>14033</v>
      </c>
      <c r="C6114" s="5" t="s">
        <v>52</v>
      </c>
      <c r="D6114" s="5" t="s">
        <v>53</v>
      </c>
      <c r="E6114" s="5" t="s">
        <v>82</v>
      </c>
      <c r="F6114" s="9">
        <v>25</v>
      </c>
      <c r="G6114" s="9" t="s">
        <v>222</v>
      </c>
      <c r="H6114" s="5" t="s">
        <v>20</v>
      </c>
      <c r="I6114" s="5" t="s">
        <v>14034</v>
      </c>
      <c r="J6114" s="12" t="str">
        <f>HYPERLINK("https://www.boe.es/gazeta/dias/1805/03/26/pdfs/GMD-C-1805-25.pdf#page=1","Abrir facsímil")</f>
        <v>Abrir facsímil</v>
      </c>
      <c r="K6114" s="15" t="s">
        <v>22</v>
      </c>
    </row>
    <row r="6115" spans="1:11" ht="42" customHeight="1">
      <c r="A6115" s="4" t="s">
        <v>14035</v>
      </c>
      <c r="B6115" s="5" t="s">
        <v>14036</v>
      </c>
      <c r="C6115" s="5" t="s">
        <v>52</v>
      </c>
      <c r="D6115" s="5" t="s">
        <v>53</v>
      </c>
      <c r="E6115" s="5" t="s">
        <v>82</v>
      </c>
      <c r="F6115" s="9">
        <v>25</v>
      </c>
      <c r="G6115" s="9" t="s">
        <v>222</v>
      </c>
      <c r="H6115" s="5" t="s">
        <v>20</v>
      </c>
      <c r="I6115" s="5" t="s">
        <v>14037</v>
      </c>
      <c r="J6115" s="12" t="str">
        <f>HYPERLINK("https://www.boe.es/gazeta/dias/1805/03/26/pdfs/GMD-C-1805-25.pdf#page=1","Abrir facsímil")</f>
        <v>Abrir facsímil</v>
      </c>
      <c r="K6115" s="15" t="s">
        <v>22</v>
      </c>
    </row>
    <row r="6116" spans="1:11" ht="42" customHeight="1">
      <c r="A6116" s="4" t="s">
        <v>14038</v>
      </c>
      <c r="B6116" s="5" t="s">
        <v>14039</v>
      </c>
      <c r="C6116" s="5" t="s">
        <v>35</v>
      </c>
      <c r="D6116" s="5" t="s">
        <v>36</v>
      </c>
      <c r="E6116" s="5" t="s">
        <v>215</v>
      </c>
      <c r="F6116" s="9">
        <v>87</v>
      </c>
      <c r="G6116" s="9">
        <v>927</v>
      </c>
      <c r="H6116" s="5" t="s">
        <v>20</v>
      </c>
      <c r="I6116" s="5" t="s">
        <v>14040</v>
      </c>
      <c r="J6116" s="12" t="str">
        <f>HYPERLINK("https://www.boe.es/gazeta/dias/1805/10/29/pdfs/GMD-1805-87.pdf#page=11","Abrir facsímil")</f>
        <v>Abrir facsímil</v>
      </c>
      <c r="K6116" s="15" t="s">
        <v>22</v>
      </c>
    </row>
    <row r="6117" spans="1:11" ht="42" customHeight="1">
      <c r="A6117" s="4" t="s">
        <v>14041</v>
      </c>
      <c r="B6117" s="5" t="s">
        <v>14042</v>
      </c>
      <c r="C6117" s="5" t="s">
        <v>17</v>
      </c>
      <c r="D6117" s="5" t="s">
        <v>18</v>
      </c>
      <c r="E6117" s="5" t="s">
        <v>107</v>
      </c>
      <c r="F6117" s="9">
        <v>19</v>
      </c>
      <c r="G6117" s="9">
        <v>197</v>
      </c>
      <c r="H6117" s="5" t="s">
        <v>20</v>
      </c>
      <c r="I6117" s="5" t="s">
        <v>14043</v>
      </c>
      <c r="J6117" s="12" t="str">
        <f>HYPERLINK("https://www.boe.es/gazeta/dias/1805/03/05/pdfs/GMD-1805-19.pdf#page=9","Abrir facsímil")</f>
        <v>Abrir facsímil</v>
      </c>
      <c r="K6117" s="15" t="s">
        <v>22</v>
      </c>
    </row>
    <row r="6118" spans="1:11" ht="42" customHeight="1">
      <c r="A6118" s="4" t="s">
        <v>14044</v>
      </c>
      <c r="B6118" s="5" t="s">
        <v>14045</v>
      </c>
      <c r="C6118" s="5" t="s">
        <v>35</v>
      </c>
      <c r="D6118" s="5" t="s">
        <v>36</v>
      </c>
      <c r="E6118" s="5" t="s">
        <v>303</v>
      </c>
      <c r="F6118" s="9">
        <v>57</v>
      </c>
      <c r="G6118" s="9">
        <v>611</v>
      </c>
      <c r="H6118" s="5" t="s">
        <v>20</v>
      </c>
      <c r="I6118" s="5" t="s">
        <v>14046</v>
      </c>
      <c r="J6118" s="12" t="str">
        <f>HYPERLINK("https://www.boe.es/gazeta/dias/1805/07/16/pdfs/GMD-1805-57.pdf#page=7","Abrir facsímil")</f>
        <v>Abrir facsímil</v>
      </c>
      <c r="K6118" s="15" t="s">
        <v>22</v>
      </c>
    </row>
    <row r="6119" spans="1:11" ht="42" customHeight="1">
      <c r="A6119" s="4" t="s">
        <v>14047</v>
      </c>
      <c r="B6119" s="5" t="s">
        <v>14048</v>
      </c>
      <c r="C6119" s="5" t="s">
        <v>80</v>
      </c>
      <c r="D6119" s="5" t="s">
        <v>81</v>
      </c>
      <c r="E6119" s="5" t="s">
        <v>132</v>
      </c>
      <c r="F6119" s="9">
        <v>2</v>
      </c>
      <c r="G6119" s="9">
        <v>17</v>
      </c>
      <c r="H6119" s="5" t="s">
        <v>20</v>
      </c>
      <c r="I6119" s="5" t="s">
        <v>14049</v>
      </c>
      <c r="J6119" s="12" t="str">
        <f>HYPERLINK("https://www.boe.es/gazeta/dias/1805/01/04/pdfs/GMD-1805-2.pdf#page=5","Abrir facsímil")</f>
        <v>Abrir facsímil</v>
      </c>
      <c r="K6119" s="15" t="s">
        <v>22</v>
      </c>
    </row>
    <row r="6120" spans="1:11" ht="42" customHeight="1">
      <c r="A6120" s="4" t="s">
        <v>14050</v>
      </c>
      <c r="B6120" s="5" t="s">
        <v>14051</v>
      </c>
      <c r="C6120" s="5" t="s">
        <v>17</v>
      </c>
      <c r="D6120" s="5" t="s">
        <v>18</v>
      </c>
      <c r="E6120" s="5" t="s">
        <v>393</v>
      </c>
      <c r="F6120" s="9">
        <v>44</v>
      </c>
      <c r="G6120" s="9">
        <v>469</v>
      </c>
      <c r="H6120" s="5" t="s">
        <v>20</v>
      </c>
      <c r="I6120" s="5" t="s">
        <v>14052</v>
      </c>
      <c r="J6120" s="12" t="str">
        <f>HYPERLINK("https://www.boe.es/gazeta/dias/1805/05/31/pdfs/GMD-1805-44.pdf#page=5","Abrir facsímil")</f>
        <v>Abrir facsímil</v>
      </c>
      <c r="K6120" s="15" t="s">
        <v>22</v>
      </c>
    </row>
    <row r="6121" spans="1:11" ht="42" customHeight="1">
      <c r="A6121" s="4" t="s">
        <v>14053</v>
      </c>
      <c r="B6121" s="5" t="s">
        <v>14054</v>
      </c>
      <c r="C6121" s="5" t="s">
        <v>52</v>
      </c>
      <c r="D6121" s="5" t="s">
        <v>53</v>
      </c>
      <c r="E6121" s="5" t="s">
        <v>82</v>
      </c>
      <c r="F6121" s="9">
        <v>25</v>
      </c>
      <c r="G6121" s="9" t="s">
        <v>222</v>
      </c>
      <c r="H6121" s="5" t="s">
        <v>20</v>
      </c>
      <c r="I6121" s="5" t="s">
        <v>14055</v>
      </c>
      <c r="J6121" s="12" t="str">
        <f>HYPERLINK("https://www.boe.es/gazeta/dias/1805/03/26/pdfs/GMD-C-1805-25.pdf#page=1","Abrir facsímil")</f>
        <v>Abrir facsímil</v>
      </c>
      <c r="K6121" s="15" t="s">
        <v>22</v>
      </c>
    </row>
    <row r="6122" spans="1:11" ht="42" customHeight="1">
      <c r="A6122" s="4" t="s">
        <v>14056</v>
      </c>
      <c r="B6122" s="5" t="s">
        <v>14057</v>
      </c>
      <c r="C6122" s="5" t="s">
        <v>35</v>
      </c>
      <c r="D6122" s="5" t="s">
        <v>36</v>
      </c>
      <c r="E6122" s="5" t="s">
        <v>59</v>
      </c>
      <c r="F6122" s="9">
        <v>21</v>
      </c>
      <c r="G6122" s="9">
        <v>223</v>
      </c>
      <c r="H6122" s="5" t="s">
        <v>20</v>
      </c>
      <c r="I6122" s="5" t="s">
        <v>14058</v>
      </c>
      <c r="J6122" s="12" t="str">
        <f>HYPERLINK("https://www.boe.es/gazeta/dias/1805/03/12/pdfs/GMD-1805-21.pdf#page=11","Abrir facsímil")</f>
        <v>Abrir facsímil</v>
      </c>
      <c r="K6122" s="15" t="s">
        <v>22</v>
      </c>
    </row>
    <row r="6123" spans="1:11" ht="42" customHeight="1">
      <c r="A6123" s="4" t="s">
        <v>14059</v>
      </c>
      <c r="B6123" s="5" t="s">
        <v>14060</v>
      </c>
      <c r="C6123" s="5" t="s">
        <v>184</v>
      </c>
      <c r="D6123" s="5" t="s">
        <v>86</v>
      </c>
      <c r="E6123" s="5" t="s">
        <v>91</v>
      </c>
      <c r="F6123" s="9">
        <v>28</v>
      </c>
      <c r="G6123" s="9">
        <v>303</v>
      </c>
      <c r="H6123" s="5" t="s">
        <v>20</v>
      </c>
      <c r="I6123" s="5" t="s">
        <v>14061</v>
      </c>
      <c r="J6123" s="12" t="str">
        <f>HYPERLINK("https://www.boe.es/gazeta/dias/1805/04/05/pdfs/GMD-1805-28.pdf#page=11","Abrir facsímil")</f>
        <v>Abrir facsímil</v>
      </c>
      <c r="K6123" s="15" t="s">
        <v>22</v>
      </c>
    </row>
    <row r="6124" spans="1:11" ht="42" customHeight="1">
      <c r="A6124" s="4" t="s">
        <v>14059</v>
      </c>
      <c r="B6124" s="5" t="s">
        <v>14060</v>
      </c>
      <c r="C6124" s="5" t="s">
        <v>184</v>
      </c>
      <c r="D6124" s="5" t="s">
        <v>86</v>
      </c>
      <c r="E6124" s="5" t="s">
        <v>399</v>
      </c>
      <c r="F6124" s="9">
        <v>39</v>
      </c>
      <c r="G6124" s="9">
        <v>424</v>
      </c>
      <c r="H6124" s="5" t="s">
        <v>20</v>
      </c>
      <c r="I6124" s="5" t="s">
        <v>14062</v>
      </c>
      <c r="J6124" s="12" t="str">
        <f>HYPERLINK("https://www.boe.es/gazeta/dias/1805/05/14/pdfs/GMD-1805-39.pdf#page=12","Abrir facsímil")</f>
        <v>Abrir facsímil</v>
      </c>
      <c r="K6124" s="15" t="s">
        <v>22</v>
      </c>
    </row>
    <row r="6125" spans="1:11" ht="42" customHeight="1">
      <c r="A6125" s="4" t="s">
        <v>14063</v>
      </c>
      <c r="B6125" s="5" t="s">
        <v>14064</v>
      </c>
      <c r="C6125" s="5" t="s">
        <v>17</v>
      </c>
      <c r="D6125" s="5" t="s">
        <v>18</v>
      </c>
      <c r="E6125" s="5" t="s">
        <v>365</v>
      </c>
      <c r="F6125" s="9">
        <v>3</v>
      </c>
      <c r="G6125" s="9">
        <v>31</v>
      </c>
      <c r="H6125" s="5" t="s">
        <v>20</v>
      </c>
      <c r="I6125" s="5" t="s">
        <v>14065</v>
      </c>
      <c r="J6125" s="12" t="str">
        <f>HYPERLINK("https://www.boe.es/gazeta/dias/1805/01/08/pdfs/GMD-1805-3.pdf#page=7","Abrir facsímil")</f>
        <v>Abrir facsímil</v>
      </c>
      <c r="K6125" s="15" t="s">
        <v>22</v>
      </c>
    </row>
    <row r="6126" spans="1:11" ht="42" customHeight="1">
      <c r="A6126" s="4" t="s">
        <v>14066</v>
      </c>
      <c r="B6126" s="5" t="s">
        <v>14067</v>
      </c>
      <c r="C6126" s="5" t="s">
        <v>35</v>
      </c>
      <c r="D6126" s="5" t="s">
        <v>36</v>
      </c>
      <c r="E6126" s="5" t="s">
        <v>864</v>
      </c>
      <c r="F6126" s="9">
        <v>88</v>
      </c>
      <c r="G6126" s="9">
        <v>938</v>
      </c>
      <c r="H6126" s="5" t="s">
        <v>20</v>
      </c>
      <c r="I6126" s="5" t="s">
        <v>14068</v>
      </c>
      <c r="J6126" s="12" t="str">
        <f>HYPERLINK("https://www.boe.es/gazeta/dias/1805/11/01/pdfs/GMD-1805-88.pdf#page=10","Abrir facsímil")</f>
        <v>Abrir facsímil</v>
      </c>
      <c r="K6126" s="15" t="s">
        <v>22</v>
      </c>
    </row>
    <row r="6127" spans="1:11" ht="42" customHeight="1">
      <c r="A6127" s="4" t="s">
        <v>14069</v>
      </c>
      <c r="B6127" s="5" t="s">
        <v>14070</v>
      </c>
      <c r="C6127" s="5" t="s">
        <v>29</v>
      </c>
      <c r="D6127" s="5" t="s">
        <v>30</v>
      </c>
      <c r="E6127" s="5" t="s">
        <v>290</v>
      </c>
      <c r="F6127" s="9">
        <v>36</v>
      </c>
      <c r="G6127" s="9">
        <v>392</v>
      </c>
      <c r="H6127" s="5" t="s">
        <v>20</v>
      </c>
      <c r="I6127" s="5" t="s">
        <v>14071</v>
      </c>
      <c r="J6127" s="12" t="str">
        <f>HYPERLINK("https://www.boe.es/gazeta/dias/1805/05/03/pdfs/GMD-1805-36.pdf#page=12","Abrir facsímil")</f>
        <v>Abrir facsímil</v>
      </c>
      <c r="K6127" s="15" t="s">
        <v>22</v>
      </c>
    </row>
    <row r="6128" spans="1:11" ht="42" customHeight="1">
      <c r="A6128" s="4" t="s">
        <v>14072</v>
      </c>
      <c r="B6128" s="5" t="s">
        <v>14073</v>
      </c>
      <c r="C6128" s="5" t="s">
        <v>35</v>
      </c>
      <c r="D6128" s="5" t="s">
        <v>36</v>
      </c>
      <c r="E6128" s="5" t="s">
        <v>327</v>
      </c>
      <c r="F6128" s="9">
        <v>10</v>
      </c>
      <c r="G6128" s="9">
        <v>109</v>
      </c>
      <c r="H6128" s="5" t="s">
        <v>20</v>
      </c>
      <c r="I6128" s="5" t="s">
        <v>14074</v>
      </c>
      <c r="J6128" s="12" t="str">
        <f>HYPERLINK("https://www.boe.es/gazeta/dias/1805/02/01/pdfs/GMD-1805-10.pdf#page=5","Abrir facsímil")</f>
        <v>Abrir facsímil</v>
      </c>
      <c r="K6128" s="15" t="s">
        <v>22</v>
      </c>
    </row>
    <row r="6129" spans="1:11" ht="42" customHeight="1">
      <c r="A6129" s="4" t="s">
        <v>14075</v>
      </c>
      <c r="B6129" s="5" t="s">
        <v>14076</v>
      </c>
      <c r="C6129" s="5" t="s">
        <v>17</v>
      </c>
      <c r="D6129" s="5" t="s">
        <v>18</v>
      </c>
      <c r="E6129" s="5" t="s">
        <v>506</v>
      </c>
      <c r="F6129" s="9">
        <v>80</v>
      </c>
      <c r="G6129" s="9">
        <v>848</v>
      </c>
      <c r="H6129" s="5" t="s">
        <v>20</v>
      </c>
      <c r="I6129" s="5" t="s">
        <v>14077</v>
      </c>
      <c r="J6129" s="12" t="str">
        <f>HYPERLINK("https://www.boe.es/gazeta/dias/1805/10/04/pdfs/GMD-1805-80.pdf#page=8","Abrir facsímil")</f>
        <v>Abrir facsímil</v>
      </c>
      <c r="K6129" s="15" t="s">
        <v>22</v>
      </c>
    </row>
    <row r="6130" spans="1:11" ht="42" customHeight="1">
      <c r="A6130" s="4" t="s">
        <v>14078</v>
      </c>
      <c r="B6130" s="5" t="s">
        <v>14079</v>
      </c>
      <c r="C6130" s="5" t="s">
        <v>35</v>
      </c>
      <c r="D6130" s="5" t="s">
        <v>36</v>
      </c>
      <c r="E6130" s="5" t="s">
        <v>67</v>
      </c>
      <c r="F6130" s="9">
        <v>98</v>
      </c>
      <c r="G6130" s="9">
        <v>1058</v>
      </c>
      <c r="H6130" s="5" t="s">
        <v>20</v>
      </c>
      <c r="I6130" s="5" t="s">
        <v>14080</v>
      </c>
      <c r="J6130" s="12" t="str">
        <f>HYPERLINK("https://www.boe.es/gazeta/dias/1805/12/06/pdfs/GMD-1805-98.pdf#page=10","Abrir facsímil")</f>
        <v>Abrir facsímil</v>
      </c>
      <c r="K6130" s="15" t="s">
        <v>22</v>
      </c>
    </row>
    <row r="6131" spans="1:11" ht="42" customHeight="1">
      <c r="A6131" s="4" t="s">
        <v>14081</v>
      </c>
      <c r="B6131" s="5" t="s">
        <v>14082</v>
      </c>
      <c r="C6131" s="5" t="s">
        <v>17</v>
      </c>
      <c r="D6131" s="5" t="s">
        <v>18</v>
      </c>
      <c r="E6131" s="5" t="s">
        <v>506</v>
      </c>
      <c r="F6131" s="9">
        <v>80</v>
      </c>
      <c r="G6131" s="9">
        <v>848</v>
      </c>
      <c r="H6131" s="5" t="s">
        <v>20</v>
      </c>
      <c r="I6131" s="5" t="s">
        <v>14083</v>
      </c>
      <c r="J6131" s="12" t="str">
        <f>HYPERLINK("https://www.boe.es/gazeta/dias/1805/10/04/pdfs/GMD-1805-80.pdf#page=8","Abrir facsímil")</f>
        <v>Abrir facsímil</v>
      </c>
      <c r="K6131" s="15" t="s">
        <v>22</v>
      </c>
    </row>
    <row r="6132" spans="1:11" ht="42" customHeight="1">
      <c r="A6132" s="4" t="s">
        <v>14084</v>
      </c>
      <c r="B6132" s="5" t="s">
        <v>14085</v>
      </c>
      <c r="C6132" s="5" t="s">
        <v>52</v>
      </c>
      <c r="D6132" s="5" t="s">
        <v>53</v>
      </c>
      <c r="E6132" s="5" t="s">
        <v>54</v>
      </c>
      <c r="F6132" s="9">
        <v>99</v>
      </c>
      <c r="G6132" s="9" t="s">
        <v>145</v>
      </c>
      <c r="H6132" s="5" t="s">
        <v>20</v>
      </c>
      <c r="I6132" s="5" t="s">
        <v>14086</v>
      </c>
      <c r="J6132" s="12" t="str">
        <f>HYPERLINK("https://www.boe.es/gazeta/dias/1805/12/10/pdfs/GMD-C-1805-99.pdf#page=2","Abrir facsímil")</f>
        <v>Abrir facsímil</v>
      </c>
      <c r="K6132" s="15" t="s">
        <v>22</v>
      </c>
    </row>
    <row r="6133" spans="1:11" ht="42" customHeight="1">
      <c r="A6133" s="4" t="s">
        <v>14087</v>
      </c>
      <c r="B6133" s="5" t="s">
        <v>14088</v>
      </c>
      <c r="C6133" s="5" t="s">
        <v>35</v>
      </c>
      <c r="D6133" s="5" t="s">
        <v>36</v>
      </c>
      <c r="E6133" s="5" t="s">
        <v>387</v>
      </c>
      <c r="F6133" s="9">
        <v>4</v>
      </c>
      <c r="G6133" s="9">
        <v>42</v>
      </c>
      <c r="H6133" s="5" t="s">
        <v>20</v>
      </c>
      <c r="I6133" s="5" t="s">
        <v>14089</v>
      </c>
      <c r="J6133" s="12" t="str">
        <f>HYPERLINK("https://www.boe.es/gazeta/dias/1805/01/11/pdfs/GMD-1805-4.pdf#page=10","Abrir facsímil")</f>
        <v>Abrir facsímil</v>
      </c>
      <c r="K6133" s="15" t="s">
        <v>22</v>
      </c>
    </row>
    <row r="6134" spans="1:11" ht="42" customHeight="1">
      <c r="A6134" s="4" t="s">
        <v>14090</v>
      </c>
      <c r="B6134" s="5" t="s">
        <v>14091</v>
      </c>
      <c r="C6134" s="5" t="s">
        <v>17</v>
      </c>
      <c r="D6134" s="5" t="s">
        <v>18</v>
      </c>
      <c r="E6134" s="5" t="s">
        <v>209</v>
      </c>
      <c r="F6134" s="9">
        <v>89</v>
      </c>
      <c r="G6134" s="9">
        <v>954</v>
      </c>
      <c r="H6134" s="5" t="s">
        <v>20</v>
      </c>
      <c r="I6134" s="5" t="s">
        <v>14092</v>
      </c>
      <c r="J6134" s="12" t="str">
        <f>HYPERLINK("https://www.boe.es/gazeta/dias/1805/11/05/pdfs/GMD-1805-89.pdf#page=14","Abrir facsímil")</f>
        <v>Abrir facsímil</v>
      </c>
      <c r="K6134" s="15" t="s">
        <v>22</v>
      </c>
    </row>
    <row r="6135" spans="1:11" ht="42" customHeight="1">
      <c r="A6135" s="4" t="s">
        <v>14090</v>
      </c>
      <c r="B6135" s="5" t="s">
        <v>14091</v>
      </c>
      <c r="C6135" s="5" t="s">
        <v>17</v>
      </c>
      <c r="D6135" s="5" t="s">
        <v>18</v>
      </c>
      <c r="E6135" s="5" t="s">
        <v>209</v>
      </c>
      <c r="F6135" s="9">
        <v>89</v>
      </c>
      <c r="G6135" s="9">
        <v>955</v>
      </c>
      <c r="H6135" s="5" t="s">
        <v>20</v>
      </c>
      <c r="I6135" s="5" t="s">
        <v>14093</v>
      </c>
      <c r="J6135" s="12" t="str">
        <f>HYPERLINK("https://www.boe.es/gazeta/dias/1805/11/05/pdfs/GMD-1805-89.pdf#page=15","Abrir facsímil")</f>
        <v>Abrir facsímil</v>
      </c>
      <c r="K6135" s="15" t="s">
        <v>22</v>
      </c>
    </row>
    <row r="6136" spans="1:11" ht="42" customHeight="1">
      <c r="A6136" s="4" t="s">
        <v>14090</v>
      </c>
      <c r="B6136" s="5" t="s">
        <v>14091</v>
      </c>
      <c r="C6136" s="5" t="s">
        <v>17</v>
      </c>
      <c r="D6136" s="5" t="s">
        <v>18</v>
      </c>
      <c r="E6136" s="5" t="s">
        <v>200</v>
      </c>
      <c r="F6136" s="9">
        <v>91</v>
      </c>
      <c r="G6136" s="9">
        <v>978</v>
      </c>
      <c r="H6136" s="5" t="s">
        <v>20</v>
      </c>
      <c r="I6136" s="5" t="s">
        <v>14094</v>
      </c>
      <c r="J6136" s="12" t="str">
        <f>HYPERLINK("https://www.boe.es/gazeta/dias/1805/11/12/pdfs/GMD-1805-91.pdf#page=10","Abrir facsímil")</f>
        <v>Abrir facsímil</v>
      </c>
      <c r="K6136" s="15" t="s">
        <v>22</v>
      </c>
    </row>
    <row r="6137" spans="1:11" ht="42" customHeight="1">
      <c r="A6137" s="4" t="s">
        <v>14095</v>
      </c>
      <c r="B6137" s="5" t="s">
        <v>14096</v>
      </c>
      <c r="C6137" s="5" t="s">
        <v>184</v>
      </c>
      <c r="D6137" s="5" t="s">
        <v>86</v>
      </c>
      <c r="E6137" s="5" t="s">
        <v>456</v>
      </c>
      <c r="F6137" s="9">
        <v>70</v>
      </c>
      <c r="G6137" s="9">
        <v>743</v>
      </c>
      <c r="H6137" s="5" t="s">
        <v>20</v>
      </c>
      <c r="I6137" s="5" t="s">
        <v>14097</v>
      </c>
      <c r="J6137" s="12" t="str">
        <f>HYPERLINK("https://www.boe.es/gazeta/dias/1805/08/30/pdfs/GMD-1805-70.pdf#page=3","Abrir facsímil")</f>
        <v>Abrir facsímil</v>
      </c>
      <c r="K6137" s="15" t="s">
        <v>22</v>
      </c>
    </row>
    <row r="6138" spans="1:11" ht="42" customHeight="1">
      <c r="A6138" s="4" t="s">
        <v>14095</v>
      </c>
      <c r="B6138" s="5" t="s">
        <v>14096</v>
      </c>
      <c r="C6138" s="5" t="s">
        <v>17</v>
      </c>
      <c r="D6138" s="5" t="s">
        <v>18</v>
      </c>
      <c r="E6138" s="5" t="s">
        <v>1132</v>
      </c>
      <c r="F6138" s="9">
        <v>72</v>
      </c>
      <c r="G6138" s="9">
        <v>765</v>
      </c>
      <c r="H6138" s="5" t="s">
        <v>20</v>
      </c>
      <c r="I6138" s="5" t="s">
        <v>14098</v>
      </c>
      <c r="J6138" s="12" t="str">
        <f>HYPERLINK("https://www.boe.es/gazeta/dias/1805/09/06/pdfs/GMD-1805-72.pdf#page=5","Abrir facsímil")</f>
        <v>Abrir facsímil</v>
      </c>
      <c r="K6138" s="15" t="s">
        <v>22</v>
      </c>
    </row>
    <row r="6139" spans="1:11" ht="42" customHeight="1">
      <c r="A6139" s="4" t="s">
        <v>14095</v>
      </c>
      <c r="B6139" s="5" t="s">
        <v>14096</v>
      </c>
      <c r="C6139" s="5" t="s">
        <v>17</v>
      </c>
      <c r="D6139" s="5" t="s">
        <v>18</v>
      </c>
      <c r="E6139" s="5" t="s">
        <v>1132</v>
      </c>
      <c r="F6139" s="9">
        <v>72</v>
      </c>
      <c r="G6139" s="9">
        <v>767</v>
      </c>
      <c r="H6139" s="5" t="s">
        <v>20</v>
      </c>
      <c r="I6139" s="5" t="s">
        <v>14099</v>
      </c>
      <c r="J6139" s="12" t="str">
        <f>HYPERLINK("https://www.boe.es/gazeta/dias/1805/09/06/pdfs/GMD-1805-72.pdf#page=7","Abrir facsímil")</f>
        <v>Abrir facsímil</v>
      </c>
      <c r="K6139" s="15" t="s">
        <v>22</v>
      </c>
    </row>
    <row r="6140" spans="1:11" ht="42" customHeight="1">
      <c r="A6140" s="4" t="s">
        <v>14100</v>
      </c>
      <c r="B6140" s="5" t="s">
        <v>14100</v>
      </c>
      <c r="C6140" s="5" t="s">
        <v>35</v>
      </c>
      <c r="D6140" s="5" t="s">
        <v>36</v>
      </c>
      <c r="E6140" s="5" t="s">
        <v>59</v>
      </c>
      <c r="F6140" s="9">
        <v>21</v>
      </c>
      <c r="G6140" s="9">
        <v>218</v>
      </c>
      <c r="H6140" s="5" t="s">
        <v>20</v>
      </c>
      <c r="I6140" s="5" t="s">
        <v>14101</v>
      </c>
      <c r="J6140" s="12" t="str">
        <f>HYPERLINK("https://www.boe.es/gazeta/dias/1805/03/12/pdfs/GMD-1805-21.pdf#page=6","Abrir facsímil")</f>
        <v>Abrir facsímil</v>
      </c>
      <c r="K6140" s="15" t="s">
        <v>22</v>
      </c>
    </row>
    <row r="6141" spans="1:11" ht="42" customHeight="1">
      <c r="A6141" s="4" t="s">
        <v>14102</v>
      </c>
      <c r="B6141" s="5" t="s">
        <v>14103</v>
      </c>
      <c r="C6141" s="5" t="s">
        <v>52</v>
      </c>
      <c r="D6141" s="5" t="s">
        <v>53</v>
      </c>
      <c r="E6141" s="5" t="s">
        <v>54</v>
      </c>
      <c r="F6141" s="9">
        <v>99</v>
      </c>
      <c r="G6141" s="9" t="s">
        <v>145</v>
      </c>
      <c r="H6141" s="5" t="s">
        <v>20</v>
      </c>
      <c r="I6141" s="5" t="s">
        <v>14104</v>
      </c>
      <c r="J6141" s="12" t="str">
        <f>HYPERLINK("https://www.boe.es/gazeta/dias/1805/12/10/pdfs/GMD-C-1805-99.pdf#page=2","Abrir facsímil")</f>
        <v>Abrir facsímil</v>
      </c>
      <c r="K6141" s="15" t="s">
        <v>22</v>
      </c>
    </row>
    <row r="6142" spans="1:11" ht="42" customHeight="1">
      <c r="A6142" s="4" t="s">
        <v>14105</v>
      </c>
      <c r="B6142" s="5" t="s">
        <v>14106</v>
      </c>
      <c r="C6142" s="5" t="s">
        <v>35</v>
      </c>
      <c r="D6142" s="5" t="s">
        <v>36</v>
      </c>
      <c r="E6142" s="5" t="s">
        <v>303</v>
      </c>
      <c r="F6142" s="9">
        <v>57</v>
      </c>
      <c r="G6142" s="9">
        <v>612</v>
      </c>
      <c r="H6142" s="5" t="s">
        <v>20</v>
      </c>
      <c r="I6142" s="5" t="s">
        <v>14107</v>
      </c>
      <c r="J6142" s="12" t="str">
        <f>HYPERLINK("https://www.boe.es/gazeta/dias/1805/07/16/pdfs/GMD-1805-57.pdf#page=8","Abrir facsímil")</f>
        <v>Abrir facsímil</v>
      </c>
      <c r="K6142" s="15" t="s">
        <v>22</v>
      </c>
    </row>
    <row r="6143" spans="1:11" ht="42" customHeight="1">
      <c r="A6143" s="4" t="s">
        <v>14108</v>
      </c>
      <c r="B6143" s="5" t="s">
        <v>14109</v>
      </c>
      <c r="C6143" s="5" t="s">
        <v>35</v>
      </c>
      <c r="D6143" s="5" t="s">
        <v>36</v>
      </c>
      <c r="E6143" s="5" t="s">
        <v>141</v>
      </c>
      <c r="F6143" s="9">
        <v>82</v>
      </c>
      <c r="G6143" s="9">
        <v>870</v>
      </c>
      <c r="H6143" s="5" t="s">
        <v>20</v>
      </c>
      <c r="I6143" s="5" t="s">
        <v>14110</v>
      </c>
      <c r="J6143" s="12" t="str">
        <f>HYPERLINK("https://www.boe.es/gazeta/dias/1805/10/11/pdfs/GMD-1805-82.pdf#page=10","Abrir facsímil")</f>
        <v>Abrir facsímil</v>
      </c>
      <c r="K6143" s="15" t="s">
        <v>22</v>
      </c>
    </row>
    <row r="6144" spans="1:11" ht="42" customHeight="1">
      <c r="A6144" s="4" t="s">
        <v>14111</v>
      </c>
      <c r="B6144" s="5" t="s">
        <v>14112</v>
      </c>
      <c r="C6144" s="5" t="s">
        <v>29</v>
      </c>
      <c r="D6144" s="5" t="s">
        <v>30</v>
      </c>
      <c r="E6144" s="5" t="s">
        <v>135</v>
      </c>
      <c r="F6144" s="9">
        <v>71</v>
      </c>
      <c r="G6144" s="9">
        <v>750</v>
      </c>
      <c r="H6144" s="5" t="s">
        <v>20</v>
      </c>
      <c r="I6144" s="5" t="s">
        <v>14113</v>
      </c>
      <c r="J6144" s="12" t="str">
        <f>HYPERLINK("https://www.boe.es/gazeta/dias/1805/09/03/pdfs/GMD-1805-71.pdf#page=2","Abrir facsímil")</f>
        <v>Abrir facsímil</v>
      </c>
      <c r="K6144" s="15" t="s">
        <v>22</v>
      </c>
    </row>
    <row r="6145" spans="1:11" ht="42" customHeight="1">
      <c r="A6145" s="4" t="s">
        <v>14114</v>
      </c>
      <c r="B6145" s="5" t="s">
        <v>14115</v>
      </c>
      <c r="C6145" s="5" t="s">
        <v>17</v>
      </c>
      <c r="D6145" s="5" t="s">
        <v>18</v>
      </c>
      <c r="E6145" s="5" t="s">
        <v>63</v>
      </c>
      <c r="F6145" s="9">
        <v>101</v>
      </c>
      <c r="G6145" s="9">
        <v>1093</v>
      </c>
      <c r="H6145" s="5" t="s">
        <v>20</v>
      </c>
      <c r="I6145" s="5" t="s">
        <v>14116</v>
      </c>
      <c r="J6145" s="12" t="str">
        <f>HYPERLINK("https://www.boe.es/gazeta/dias/1805/12/17/pdfs/GMD-1805-101.pdf#page=9","Abrir facsímil")</f>
        <v>Abrir facsímil</v>
      </c>
      <c r="K6145" s="15" t="s">
        <v>22</v>
      </c>
    </row>
    <row r="6146" spans="1:11" ht="42" customHeight="1">
      <c r="A6146" s="4" t="s">
        <v>14117</v>
      </c>
      <c r="B6146" s="5" t="s">
        <v>14118</v>
      </c>
      <c r="C6146" s="5" t="s">
        <v>35</v>
      </c>
      <c r="D6146" s="5" t="s">
        <v>36</v>
      </c>
      <c r="E6146" s="5" t="s">
        <v>303</v>
      </c>
      <c r="F6146" s="9">
        <v>57</v>
      </c>
      <c r="G6146" s="9">
        <v>611</v>
      </c>
      <c r="H6146" s="5" t="s">
        <v>20</v>
      </c>
      <c r="I6146" s="5" t="s">
        <v>14119</v>
      </c>
      <c r="J6146" s="12" t="str">
        <f>HYPERLINK("https://www.boe.es/gazeta/dias/1805/07/16/pdfs/GMD-1805-57.pdf#page=7","Abrir facsímil")</f>
        <v>Abrir facsímil</v>
      </c>
      <c r="K6146" s="15" t="s">
        <v>22</v>
      </c>
    </row>
    <row r="6147" spans="1:11" ht="42" customHeight="1">
      <c r="A6147" s="4" t="s">
        <v>14120</v>
      </c>
      <c r="B6147" s="5" t="s">
        <v>14121</v>
      </c>
      <c r="C6147" s="5" t="s">
        <v>35</v>
      </c>
      <c r="D6147" s="5" t="s">
        <v>36</v>
      </c>
      <c r="E6147" s="5" t="s">
        <v>669</v>
      </c>
      <c r="F6147" s="9">
        <v>84</v>
      </c>
      <c r="G6147" s="9">
        <v>890</v>
      </c>
      <c r="H6147" s="5" t="s">
        <v>20</v>
      </c>
      <c r="I6147" s="5" t="s">
        <v>14122</v>
      </c>
      <c r="J6147" s="12" t="str">
        <f>HYPERLINK("https://www.boe.es/gazeta/dias/1805/10/18/pdfs/GMD-1805-84.pdf#page=6","Abrir facsímil")</f>
        <v>Abrir facsímil</v>
      </c>
      <c r="K6147" s="15" t="s">
        <v>22</v>
      </c>
    </row>
    <row r="6148" spans="1:11" ht="42" customHeight="1">
      <c r="A6148" s="4" t="s">
        <v>14123</v>
      </c>
      <c r="B6148" s="5" t="s">
        <v>14124</v>
      </c>
      <c r="C6148" s="5" t="s">
        <v>80</v>
      </c>
      <c r="D6148" s="5" t="s">
        <v>81</v>
      </c>
      <c r="E6148" s="5" t="s">
        <v>303</v>
      </c>
      <c r="F6148" s="9">
        <v>57</v>
      </c>
      <c r="G6148" s="9">
        <v>607</v>
      </c>
      <c r="H6148" s="5" t="s">
        <v>20</v>
      </c>
      <c r="I6148" s="5" t="s">
        <v>14125</v>
      </c>
      <c r="J6148" s="12" t="str">
        <f>HYPERLINK("https://www.boe.es/gazeta/dias/1805/07/16/pdfs/GMD-1805-57.pdf#page=3","Abrir facsímil")</f>
        <v>Abrir facsímil</v>
      </c>
      <c r="K6148" s="15" t="s">
        <v>22</v>
      </c>
    </row>
    <row r="6149" spans="1:11" ht="42" customHeight="1">
      <c r="A6149" s="4" t="s">
        <v>14126</v>
      </c>
      <c r="B6149" s="5" t="s">
        <v>14127</v>
      </c>
      <c r="C6149" s="5" t="s">
        <v>35</v>
      </c>
      <c r="D6149" s="5" t="s">
        <v>36</v>
      </c>
      <c r="E6149" s="5" t="s">
        <v>831</v>
      </c>
      <c r="F6149" s="9">
        <v>62</v>
      </c>
      <c r="G6149" s="9">
        <v>659</v>
      </c>
      <c r="H6149" s="5" t="s">
        <v>20</v>
      </c>
      <c r="I6149" s="5" t="s">
        <v>14128</v>
      </c>
      <c r="J6149" s="12" t="str">
        <f>HYPERLINK("https://www.boe.es/gazeta/dias/1805/08/02/pdfs/GMD-1805-62.pdf#page=3","Abrir facsímil")</f>
        <v>Abrir facsímil</v>
      </c>
      <c r="K6149" s="15" t="s">
        <v>22</v>
      </c>
    </row>
    <row r="6150" spans="1:11" ht="42" customHeight="1">
      <c r="A6150" s="4" t="s">
        <v>14129</v>
      </c>
      <c r="B6150" s="5" t="s">
        <v>14130</v>
      </c>
      <c r="C6150" s="5" t="s">
        <v>35</v>
      </c>
      <c r="D6150" s="5" t="s">
        <v>36</v>
      </c>
      <c r="E6150" s="5" t="s">
        <v>286</v>
      </c>
      <c r="F6150" s="9">
        <v>48</v>
      </c>
      <c r="G6150" s="9">
        <v>517</v>
      </c>
      <c r="H6150" s="5" t="s">
        <v>20</v>
      </c>
      <c r="I6150" s="5" t="s">
        <v>14131</v>
      </c>
      <c r="J6150" s="12" t="str">
        <f>HYPERLINK("https://www.boe.es/gazeta/dias/1805/06/14/pdfs/GMD-1805-48.pdf#page=5","Abrir facsímil")</f>
        <v>Abrir facsímil</v>
      </c>
      <c r="K6150" s="15" t="s">
        <v>22</v>
      </c>
    </row>
    <row r="6151" spans="1:11" ht="42" customHeight="1">
      <c r="A6151" s="4" t="s">
        <v>14132</v>
      </c>
      <c r="B6151" s="5" t="s">
        <v>14133</v>
      </c>
      <c r="C6151" s="5" t="s">
        <v>80</v>
      </c>
      <c r="D6151" s="5" t="s">
        <v>81</v>
      </c>
      <c r="E6151" s="5" t="s">
        <v>585</v>
      </c>
      <c r="F6151" s="9">
        <v>64</v>
      </c>
      <c r="G6151" s="9">
        <v>679</v>
      </c>
      <c r="H6151" s="5" t="s">
        <v>20</v>
      </c>
      <c r="I6151" s="5" t="s">
        <v>14134</v>
      </c>
      <c r="J6151" s="12" t="str">
        <f>HYPERLINK("https://www.boe.es/gazeta/dias/1805/08/09/pdfs/GMD-1805-64.pdf#page=3","Abrir facsímil")</f>
        <v>Abrir facsímil</v>
      </c>
      <c r="K6151" s="15" t="s">
        <v>22</v>
      </c>
    </row>
    <row r="6152" spans="1:11" ht="42" customHeight="1">
      <c r="A6152" s="4" t="s">
        <v>14135</v>
      </c>
      <c r="B6152" s="5" t="s">
        <v>14135</v>
      </c>
      <c r="C6152" s="5" t="s">
        <v>80</v>
      </c>
      <c r="D6152" s="5" t="s">
        <v>81</v>
      </c>
      <c r="E6152" s="5" t="s">
        <v>273</v>
      </c>
      <c r="F6152" s="9">
        <v>8</v>
      </c>
      <c r="G6152" s="9">
        <v>84</v>
      </c>
      <c r="H6152" s="5" t="s">
        <v>20</v>
      </c>
      <c r="I6152" s="5" t="s">
        <v>14136</v>
      </c>
      <c r="J6152" s="12" t="str">
        <f>HYPERLINK("https://www.boe.es/gazeta/dias/1805/01/25/pdfs/GMD-1805-8.pdf#page=4","Abrir facsímil")</f>
        <v>Abrir facsímil</v>
      </c>
      <c r="K6152" s="15" t="s">
        <v>22</v>
      </c>
    </row>
    <row r="6153" spans="1:11" ht="42" customHeight="1">
      <c r="A6153" s="4" t="s">
        <v>14137</v>
      </c>
      <c r="B6153" s="5" t="s">
        <v>14137</v>
      </c>
      <c r="C6153" s="5" t="s">
        <v>80</v>
      </c>
      <c r="D6153" s="5" t="s">
        <v>81</v>
      </c>
      <c r="E6153" s="5" t="s">
        <v>399</v>
      </c>
      <c r="F6153" s="9">
        <v>39</v>
      </c>
      <c r="G6153" s="9">
        <v>420</v>
      </c>
      <c r="H6153" s="5" t="s">
        <v>20</v>
      </c>
      <c r="I6153" s="5" t="s">
        <v>14138</v>
      </c>
      <c r="J6153" s="12" t="str">
        <f>HYPERLINK("https://www.boe.es/gazeta/dias/1805/05/14/pdfs/GMD-1805-39.pdf#page=8","Abrir facsímil")</f>
        <v>Abrir facsímil</v>
      </c>
      <c r="K6153" s="15" t="s">
        <v>22</v>
      </c>
    </row>
    <row r="6154" spans="1:11" ht="42" customHeight="1">
      <c r="A6154" s="4" t="s">
        <v>14139</v>
      </c>
      <c r="B6154" s="5" t="s">
        <v>14139</v>
      </c>
      <c r="C6154" s="5" t="s">
        <v>35</v>
      </c>
      <c r="D6154" s="5" t="s">
        <v>36</v>
      </c>
      <c r="E6154" s="5" t="s">
        <v>300</v>
      </c>
      <c r="F6154" s="9">
        <v>81</v>
      </c>
      <c r="G6154" s="9">
        <v>857</v>
      </c>
      <c r="H6154" s="5" t="s">
        <v>20</v>
      </c>
      <c r="I6154" s="5" t="s">
        <v>14140</v>
      </c>
      <c r="J6154" s="12" t="str">
        <f>HYPERLINK("https://www.boe.es/gazeta/dias/1805/10/08/pdfs/GMD-1805-81.pdf#page=5","Abrir facsímil")</f>
        <v>Abrir facsímil</v>
      </c>
      <c r="K6154" s="15" t="s">
        <v>22</v>
      </c>
    </row>
    <row r="6155" spans="1:11" ht="42" customHeight="1">
      <c r="A6155" s="4" t="s">
        <v>14141</v>
      </c>
      <c r="B6155" s="5" t="s">
        <v>14141</v>
      </c>
      <c r="C6155" s="5" t="s">
        <v>29</v>
      </c>
      <c r="D6155" s="5" t="s">
        <v>30</v>
      </c>
      <c r="E6155" s="5" t="s">
        <v>585</v>
      </c>
      <c r="F6155" s="9">
        <v>64</v>
      </c>
      <c r="G6155" s="9">
        <v>678</v>
      </c>
      <c r="H6155" s="5" t="s">
        <v>20</v>
      </c>
      <c r="I6155" s="5" t="s">
        <v>14142</v>
      </c>
      <c r="J6155" s="12" t="str">
        <f>HYPERLINK("https://www.boe.es/gazeta/dias/1805/08/09/pdfs/GMD-1805-64.pdf#page=2","Abrir facsímil")</f>
        <v>Abrir facsímil</v>
      </c>
      <c r="K6155" s="15" t="s">
        <v>22</v>
      </c>
    </row>
    <row r="6156" spans="1:11" ht="42" customHeight="1">
      <c r="A6156" s="4" t="s">
        <v>14143</v>
      </c>
      <c r="B6156" s="5" t="s">
        <v>14143</v>
      </c>
      <c r="C6156" s="5" t="s">
        <v>35</v>
      </c>
      <c r="D6156" s="5" t="s">
        <v>36</v>
      </c>
      <c r="E6156" s="5" t="s">
        <v>303</v>
      </c>
      <c r="F6156" s="9">
        <v>57</v>
      </c>
      <c r="G6156" s="9">
        <v>608</v>
      </c>
      <c r="H6156" s="5" t="s">
        <v>20</v>
      </c>
      <c r="I6156" s="5" t="s">
        <v>14144</v>
      </c>
      <c r="J6156" s="12" t="str">
        <f>HYPERLINK("https://www.boe.es/gazeta/dias/1805/07/16/pdfs/GMD-1805-57.pdf#page=4","Abrir facsímil")</f>
        <v>Abrir facsímil</v>
      </c>
      <c r="K6156" s="15" t="s">
        <v>22</v>
      </c>
    </row>
    <row r="6157" spans="1:11" ht="42" customHeight="1">
      <c r="A6157" s="4" t="s">
        <v>14145</v>
      </c>
      <c r="B6157" s="5" t="s">
        <v>14146</v>
      </c>
      <c r="C6157" s="5" t="s">
        <v>35</v>
      </c>
      <c r="D6157" s="5" t="s">
        <v>36</v>
      </c>
      <c r="E6157" s="5" t="s">
        <v>645</v>
      </c>
      <c r="F6157" s="9">
        <v>55</v>
      </c>
      <c r="G6157" s="9">
        <v>585</v>
      </c>
      <c r="H6157" s="5" t="s">
        <v>20</v>
      </c>
      <c r="I6157" s="5" t="s">
        <v>14147</v>
      </c>
      <c r="J6157" s="12" t="str">
        <f>HYPERLINK("https://www.boe.es/gazeta/dias/1805/07/09/pdfs/GMD-1805-55.pdf#page=5","Abrir facsímil")</f>
        <v>Abrir facsímil</v>
      </c>
      <c r="K6157" s="15" t="s">
        <v>7058</v>
      </c>
    </row>
    <row r="6158" spans="1:11" ht="42" customHeight="1">
      <c r="A6158" s="4" t="s">
        <v>14148</v>
      </c>
      <c r="B6158" s="5" t="s">
        <v>14149</v>
      </c>
      <c r="C6158" s="5" t="s">
        <v>80</v>
      </c>
      <c r="D6158" s="5" t="s">
        <v>81</v>
      </c>
      <c r="E6158" s="5" t="s">
        <v>711</v>
      </c>
      <c r="F6158" s="9">
        <v>63</v>
      </c>
      <c r="G6158" s="9">
        <v>670</v>
      </c>
      <c r="H6158" s="5" t="s">
        <v>20</v>
      </c>
      <c r="I6158" s="5" t="s">
        <v>14150</v>
      </c>
      <c r="J6158" s="12" t="str">
        <f>HYPERLINK("https://www.boe.es/gazeta/dias/1805/08/06/pdfs/GMD-1805-63.pdf#page=6","Abrir facsímil")</f>
        <v>Abrir facsímil</v>
      </c>
      <c r="K6158" s="15" t="s">
        <v>22</v>
      </c>
    </row>
    <row r="6159" spans="1:11" ht="42" customHeight="1">
      <c r="A6159" s="4" t="s">
        <v>14151</v>
      </c>
      <c r="B6159" s="5" t="s">
        <v>14151</v>
      </c>
      <c r="C6159" s="5" t="s">
        <v>35</v>
      </c>
      <c r="D6159" s="5" t="s">
        <v>36</v>
      </c>
      <c r="E6159" s="5" t="s">
        <v>1292</v>
      </c>
      <c r="F6159" s="9">
        <v>43</v>
      </c>
      <c r="G6159" s="9">
        <v>459</v>
      </c>
      <c r="H6159" s="5" t="s">
        <v>20</v>
      </c>
      <c r="I6159" s="5" t="s">
        <v>14152</v>
      </c>
      <c r="J6159" s="12" t="str">
        <f>HYPERLINK("https://www.boe.es/gazeta/dias/1805/05/28/pdfs/GMD-1805-43.pdf#page=3","Abrir facsímil")</f>
        <v>Abrir facsímil</v>
      </c>
      <c r="K6159" s="15" t="s">
        <v>22</v>
      </c>
    </row>
    <row r="6160" spans="1:11" ht="42" customHeight="1">
      <c r="A6160" s="4" t="s">
        <v>14153</v>
      </c>
      <c r="B6160" s="5" t="s">
        <v>14153</v>
      </c>
      <c r="C6160" s="5" t="s">
        <v>17</v>
      </c>
      <c r="D6160" s="5" t="s">
        <v>18</v>
      </c>
      <c r="E6160" s="5" t="s">
        <v>1445</v>
      </c>
      <c r="F6160" s="9">
        <v>6</v>
      </c>
      <c r="G6160" s="9">
        <v>59</v>
      </c>
      <c r="H6160" s="5" t="s">
        <v>20</v>
      </c>
      <c r="I6160" s="5" t="s">
        <v>14154</v>
      </c>
      <c r="J6160" s="12" t="str">
        <f>HYPERLINK("https://www.boe.es/gazeta/dias/1805/01/18/pdfs/GMD-1805-6.pdf#page=3","Abrir facsímil")</f>
        <v>Abrir facsímil</v>
      </c>
      <c r="K6160" s="15" t="s">
        <v>22</v>
      </c>
    </row>
    <row r="6161" spans="1:11" ht="42" customHeight="1">
      <c r="A6161" s="4" t="s">
        <v>14155</v>
      </c>
      <c r="B6161" s="5" t="s">
        <v>14156</v>
      </c>
      <c r="C6161" s="5" t="s">
        <v>35</v>
      </c>
      <c r="D6161" s="5" t="s">
        <v>36</v>
      </c>
      <c r="E6161" s="5" t="s">
        <v>138</v>
      </c>
      <c r="F6161" s="9">
        <v>102</v>
      </c>
      <c r="G6161" s="9">
        <v>1098</v>
      </c>
      <c r="H6161" s="5" t="s">
        <v>20</v>
      </c>
      <c r="I6161" s="5" t="s">
        <v>14157</v>
      </c>
      <c r="J6161" s="12" t="str">
        <f>HYPERLINK("https://www.boe.es/gazeta/dias/1805/12/20/pdfs/GMD-1805-102.pdf#page=2","Abrir facsímil")</f>
        <v>Abrir facsímil</v>
      </c>
      <c r="K6161" s="15" t="s">
        <v>22</v>
      </c>
    </row>
    <row r="6162" spans="1:11" ht="42" customHeight="1">
      <c r="A6162" s="4" t="s">
        <v>14158</v>
      </c>
      <c r="B6162" s="5" t="s">
        <v>14159</v>
      </c>
      <c r="C6162" s="5" t="s">
        <v>17</v>
      </c>
      <c r="D6162" s="5" t="s">
        <v>18</v>
      </c>
      <c r="E6162" s="5" t="s">
        <v>787</v>
      </c>
      <c r="F6162" s="9">
        <v>95</v>
      </c>
      <c r="G6162" s="9">
        <v>1018</v>
      </c>
      <c r="H6162" s="5" t="s">
        <v>20</v>
      </c>
      <c r="I6162" s="5" t="s">
        <v>14160</v>
      </c>
      <c r="J6162" s="12" t="str">
        <f>HYPERLINK("https://www.boe.es/gazeta/dias/1805/11/26/pdfs/GMD-1805-95.pdf#page=6","Abrir facsímil")</f>
        <v>Abrir facsímil</v>
      </c>
      <c r="K6162" s="15" t="s">
        <v>22</v>
      </c>
    </row>
    <row r="6163" spans="1:11" ht="42" customHeight="1">
      <c r="A6163" s="4" t="s">
        <v>14158</v>
      </c>
      <c r="B6163" s="5" t="s">
        <v>14159</v>
      </c>
      <c r="C6163" s="5" t="s">
        <v>35</v>
      </c>
      <c r="D6163" s="5" t="s">
        <v>36</v>
      </c>
      <c r="E6163" s="5" t="s">
        <v>217</v>
      </c>
      <c r="F6163" s="9">
        <v>96</v>
      </c>
      <c r="G6163" s="9">
        <v>1027</v>
      </c>
      <c r="H6163" s="5" t="s">
        <v>20</v>
      </c>
      <c r="I6163" s="5" t="s">
        <v>14161</v>
      </c>
      <c r="J6163" s="12" t="str">
        <f>HYPERLINK("https://www.boe.es/gazeta/dias/1805/11/29/pdfs/GMD-1805-96.pdf#page=3","Abrir facsímil")</f>
        <v>Abrir facsímil</v>
      </c>
      <c r="K6163" s="15" t="s">
        <v>22</v>
      </c>
    </row>
    <row r="6164" spans="1:11" ht="42" customHeight="1">
      <c r="A6164" s="4" t="s">
        <v>14162</v>
      </c>
      <c r="B6164" s="5" t="s">
        <v>14163</v>
      </c>
      <c r="C6164" s="5" t="s">
        <v>35</v>
      </c>
      <c r="D6164" s="5" t="s">
        <v>36</v>
      </c>
      <c r="E6164" s="5" t="s">
        <v>729</v>
      </c>
      <c r="F6164" s="9">
        <v>61</v>
      </c>
      <c r="G6164" s="9">
        <v>653</v>
      </c>
      <c r="H6164" s="5" t="s">
        <v>20</v>
      </c>
      <c r="I6164" s="5" t="s">
        <v>14164</v>
      </c>
      <c r="J6164" s="12" t="str">
        <f>HYPERLINK("https://www.boe.es/gazeta/dias/1805/07/30/pdfs/GMD-1805-61.pdf#page=5","Abrir facsímil")</f>
        <v>Abrir facsímil</v>
      </c>
      <c r="K6164" s="15" t="s">
        <v>22</v>
      </c>
    </row>
    <row r="6165" spans="1:11" ht="42" customHeight="1">
      <c r="A6165" s="4" t="s">
        <v>14165</v>
      </c>
      <c r="B6165" s="5" t="s">
        <v>14166</v>
      </c>
      <c r="C6165" s="5" t="s">
        <v>80</v>
      </c>
      <c r="D6165" s="5" t="s">
        <v>81</v>
      </c>
      <c r="E6165" s="5" t="s">
        <v>512</v>
      </c>
      <c r="F6165" s="9">
        <v>100</v>
      </c>
      <c r="G6165" s="9">
        <v>1079</v>
      </c>
      <c r="H6165" s="5" t="s">
        <v>20</v>
      </c>
      <c r="I6165" s="5" t="s">
        <v>14167</v>
      </c>
      <c r="J6165" s="12" t="str">
        <f>HYPERLINK("https://www.boe.es/gazeta/dias/1805/12/13/pdfs/GMD-1805-100.pdf#page=7","Abrir facsímil")</f>
        <v>Abrir facsímil</v>
      </c>
      <c r="K6165" s="15" t="s">
        <v>22</v>
      </c>
    </row>
    <row r="6166" spans="1:11" ht="42" customHeight="1">
      <c r="A6166" s="4" t="s">
        <v>14168</v>
      </c>
      <c r="B6166" s="5" t="s">
        <v>14169</v>
      </c>
      <c r="C6166" s="5" t="s">
        <v>85</v>
      </c>
      <c r="D6166" s="5" t="s">
        <v>86</v>
      </c>
      <c r="E6166" s="5" t="s">
        <v>117</v>
      </c>
      <c r="F6166" s="9">
        <v>20</v>
      </c>
      <c r="G6166" s="9">
        <v>201</v>
      </c>
      <c r="H6166" s="5" t="s">
        <v>20</v>
      </c>
      <c r="I6166" s="5" t="s">
        <v>14170</v>
      </c>
      <c r="J6166" s="12" t="str">
        <f>HYPERLINK("https://www.boe.es/gazeta/dias/1805/03/08/pdfs/GMD-1805-20.pdf#page=1","Abrir facsímil")</f>
        <v>Abrir facsímil</v>
      </c>
      <c r="K6166" s="15" t="s">
        <v>22</v>
      </c>
    </row>
    <row r="6167" spans="1:11" ht="42" customHeight="1">
      <c r="A6167" s="4" t="s">
        <v>14168</v>
      </c>
      <c r="B6167" s="5" t="s">
        <v>14169</v>
      </c>
      <c r="C6167" s="5" t="s">
        <v>85</v>
      </c>
      <c r="D6167" s="5" t="s">
        <v>86</v>
      </c>
      <c r="E6167" s="5" t="s">
        <v>286</v>
      </c>
      <c r="F6167" s="9">
        <v>48</v>
      </c>
      <c r="G6167" s="9">
        <v>513</v>
      </c>
      <c r="H6167" s="5" t="s">
        <v>20</v>
      </c>
      <c r="I6167" s="5" t="s">
        <v>14171</v>
      </c>
      <c r="J6167" s="12" t="str">
        <f>HYPERLINK("https://www.boe.es/gazeta/dias/1805/06/14/pdfs/GMD-1805-48.pdf#page=1","Abrir facsímil")</f>
        <v>Abrir facsímil</v>
      </c>
      <c r="K6167" s="15" t="s">
        <v>22</v>
      </c>
    </row>
    <row r="6168" spans="1:11" ht="42" customHeight="1">
      <c r="A6168" s="4" t="s">
        <v>14172</v>
      </c>
      <c r="B6168" s="5" t="s">
        <v>14173</v>
      </c>
      <c r="C6168" s="5" t="s">
        <v>80</v>
      </c>
      <c r="D6168" s="5" t="s">
        <v>81</v>
      </c>
      <c r="E6168" s="5" t="s">
        <v>215</v>
      </c>
      <c r="F6168" s="9">
        <v>87</v>
      </c>
      <c r="G6168" s="9">
        <v>925</v>
      </c>
      <c r="H6168" s="5" t="s">
        <v>20</v>
      </c>
      <c r="I6168" s="5" t="s">
        <v>14174</v>
      </c>
      <c r="J6168" s="12" t="str">
        <f>HYPERLINK("https://www.boe.es/gazeta/dias/1805/10/29/pdfs/GMD-1805-87.pdf#page=9","Abrir facsímil")</f>
        <v>Abrir facsímil</v>
      </c>
      <c r="K6168" s="15" t="s">
        <v>22</v>
      </c>
    </row>
    <row r="6169" spans="1:11" ht="42" customHeight="1">
      <c r="A6169" s="4" t="s">
        <v>14175</v>
      </c>
      <c r="B6169" s="5" t="s">
        <v>14176</v>
      </c>
      <c r="C6169" s="5" t="s">
        <v>17</v>
      </c>
      <c r="D6169" s="5" t="s">
        <v>18</v>
      </c>
      <c r="E6169" s="5" t="s">
        <v>789</v>
      </c>
      <c r="F6169" s="9">
        <v>104</v>
      </c>
      <c r="G6169" s="9">
        <v>1128</v>
      </c>
      <c r="H6169" s="5" t="s">
        <v>20</v>
      </c>
      <c r="I6169" s="5" t="s">
        <v>14177</v>
      </c>
      <c r="J6169" s="12" t="str">
        <f>HYPERLINK("https://www.boe.es/gazeta/dias/1805/12/27/pdfs/GMD-1805-104.pdf#page=12","Abrir facsímil")</f>
        <v>Abrir facsímil</v>
      </c>
      <c r="K6169" s="15" t="s">
        <v>22</v>
      </c>
    </row>
    <row r="6170" spans="1:11" ht="42" customHeight="1">
      <c r="A6170" s="4" t="s">
        <v>14178</v>
      </c>
      <c r="B6170" s="5" t="s">
        <v>14179</v>
      </c>
      <c r="C6170" s="5" t="s">
        <v>80</v>
      </c>
      <c r="D6170" s="5" t="s">
        <v>81</v>
      </c>
      <c r="E6170" s="5" t="s">
        <v>215</v>
      </c>
      <c r="F6170" s="9">
        <v>87</v>
      </c>
      <c r="G6170" s="9">
        <v>925</v>
      </c>
      <c r="H6170" s="5" t="s">
        <v>20</v>
      </c>
      <c r="I6170" s="5" t="s">
        <v>14180</v>
      </c>
      <c r="J6170" s="12" t="str">
        <f>HYPERLINK("https://www.boe.es/gazeta/dias/1805/10/29/pdfs/GMD-1805-87.pdf#page=9","Abrir facsímil")</f>
        <v>Abrir facsímil</v>
      </c>
      <c r="K6170" s="15" t="s">
        <v>22</v>
      </c>
    </row>
    <row r="6171" spans="1:11" ht="42" customHeight="1">
      <c r="A6171" s="4" t="s">
        <v>14181</v>
      </c>
      <c r="B6171" s="5" t="s">
        <v>14181</v>
      </c>
      <c r="C6171" s="5" t="s">
        <v>35</v>
      </c>
      <c r="D6171" s="5" t="s">
        <v>36</v>
      </c>
      <c r="E6171" s="5" t="s">
        <v>19</v>
      </c>
      <c r="F6171" s="9">
        <v>86</v>
      </c>
      <c r="G6171" s="9">
        <v>910</v>
      </c>
      <c r="H6171" s="5" t="s">
        <v>20</v>
      </c>
      <c r="I6171" s="5" t="s">
        <v>14182</v>
      </c>
      <c r="J6171" s="12" t="str">
        <f>HYPERLINK("https://www.boe.es/gazeta/dias/1805/10/25/pdfs/GMD-1805-86.pdf#page=6","Abrir facsímil")</f>
        <v>Abrir facsímil</v>
      </c>
      <c r="K6171" s="15" t="s">
        <v>22</v>
      </c>
    </row>
    <row r="6172" spans="1:11" ht="42" customHeight="1">
      <c r="A6172" s="4" t="s">
        <v>14183</v>
      </c>
      <c r="B6172" s="5" t="s">
        <v>14184</v>
      </c>
      <c r="C6172" s="5" t="s">
        <v>35</v>
      </c>
      <c r="D6172" s="5" t="s">
        <v>36</v>
      </c>
      <c r="E6172" s="5" t="s">
        <v>67</v>
      </c>
      <c r="F6172" s="9">
        <v>98</v>
      </c>
      <c r="G6172" s="9">
        <v>1051</v>
      </c>
      <c r="H6172" s="5" t="s">
        <v>20</v>
      </c>
      <c r="I6172" s="5" t="s">
        <v>14185</v>
      </c>
      <c r="J6172" s="12" t="str">
        <f>HYPERLINK("https://www.boe.es/gazeta/dias/1805/12/06/pdfs/GMD-1805-98.pdf#page=3","Abrir facsímil")</f>
        <v>Abrir facsímil</v>
      </c>
      <c r="K6172" s="15" t="s">
        <v>22</v>
      </c>
    </row>
    <row r="6173" spans="1:11" ht="42" customHeight="1">
      <c r="A6173" s="4" t="s">
        <v>14183</v>
      </c>
      <c r="B6173" s="5" t="s">
        <v>14184</v>
      </c>
      <c r="C6173" s="5" t="s">
        <v>80</v>
      </c>
      <c r="D6173" s="5" t="s">
        <v>81</v>
      </c>
      <c r="E6173" s="5" t="s">
        <v>67</v>
      </c>
      <c r="F6173" s="9">
        <v>98</v>
      </c>
      <c r="G6173" s="9">
        <v>1054</v>
      </c>
      <c r="H6173" s="5" t="s">
        <v>20</v>
      </c>
      <c r="I6173" s="5" t="s">
        <v>14186</v>
      </c>
      <c r="J6173" s="12" t="str">
        <f>HYPERLINK("https://www.boe.es/gazeta/dias/1805/12/06/pdfs/GMD-1805-98.pdf#page=6","Abrir facsímil")</f>
        <v>Abrir facsímil</v>
      </c>
      <c r="K6173" s="15" t="s">
        <v>22</v>
      </c>
    </row>
    <row r="6174" spans="1:11" ht="42" customHeight="1">
      <c r="A6174" s="4" t="s">
        <v>14187</v>
      </c>
      <c r="B6174" s="5" t="s">
        <v>14188</v>
      </c>
      <c r="C6174" s="5" t="s">
        <v>35</v>
      </c>
      <c r="D6174" s="5" t="s">
        <v>36</v>
      </c>
      <c r="E6174" s="5" t="s">
        <v>24</v>
      </c>
      <c r="F6174" s="9">
        <v>11</v>
      </c>
      <c r="G6174" s="9">
        <v>117</v>
      </c>
      <c r="H6174" s="5" t="s">
        <v>20</v>
      </c>
      <c r="I6174" s="5" t="s">
        <v>14189</v>
      </c>
      <c r="J6174" s="12" t="str">
        <f>HYPERLINK("https://www.boe.es/gazeta/dias/1805/02/05/pdfs/GMD-1805-11.pdf#page=5","Abrir facsímil")</f>
        <v>Abrir facsímil</v>
      </c>
      <c r="K6174" s="15" t="s">
        <v>22</v>
      </c>
    </row>
    <row r="6175" spans="1:11" ht="42" customHeight="1">
      <c r="A6175" s="4" t="s">
        <v>14190</v>
      </c>
      <c r="B6175" s="5" t="s">
        <v>14191</v>
      </c>
      <c r="C6175" s="5" t="s">
        <v>80</v>
      </c>
      <c r="D6175" s="5" t="s">
        <v>81</v>
      </c>
      <c r="E6175" s="5" t="s">
        <v>103</v>
      </c>
      <c r="F6175" s="9">
        <v>30</v>
      </c>
      <c r="G6175" s="9">
        <v>320</v>
      </c>
      <c r="H6175" s="5" t="s">
        <v>20</v>
      </c>
      <c r="I6175" s="5" t="s">
        <v>14192</v>
      </c>
      <c r="J6175" s="12" t="str">
        <f>HYPERLINK("https://www.boe.es/gazeta/dias/1805/04/12/pdfs/GMD-1805-30.pdf#page=4","Abrir facsímil")</f>
        <v>Abrir facsímil</v>
      </c>
      <c r="K6175" s="15" t="s">
        <v>22</v>
      </c>
    </row>
    <row r="6176" spans="1:11" ht="42" customHeight="1">
      <c r="A6176" s="4" t="s">
        <v>14193</v>
      </c>
      <c r="B6176" s="5" t="s">
        <v>14193</v>
      </c>
      <c r="C6176" s="5" t="s">
        <v>80</v>
      </c>
      <c r="D6176" s="5" t="s">
        <v>81</v>
      </c>
      <c r="E6176" s="5" t="s">
        <v>1494</v>
      </c>
      <c r="F6176" s="9">
        <v>31</v>
      </c>
      <c r="G6176" s="9">
        <v>327</v>
      </c>
      <c r="H6176" s="5" t="s">
        <v>20</v>
      </c>
      <c r="I6176" s="5" t="s">
        <v>14194</v>
      </c>
      <c r="J6176" s="12" t="str">
        <f>HYPERLINK("https://www.boe.es/gazeta/dias/1805/04/16/pdfs/GMD-1805-31.pdf#page=3","Abrir facsímil")</f>
        <v>Abrir facsímil</v>
      </c>
      <c r="K6176" s="15" t="s">
        <v>22</v>
      </c>
    </row>
    <row r="6177" spans="1:11" ht="42" customHeight="1">
      <c r="A6177" s="4" t="s">
        <v>14195</v>
      </c>
      <c r="B6177" s="5" t="s">
        <v>14196</v>
      </c>
      <c r="C6177" s="5" t="s">
        <v>80</v>
      </c>
      <c r="D6177" s="5" t="s">
        <v>81</v>
      </c>
      <c r="E6177" s="5" t="s">
        <v>649</v>
      </c>
      <c r="F6177" s="9">
        <v>7</v>
      </c>
      <c r="G6177" s="9">
        <v>70</v>
      </c>
      <c r="H6177" s="5" t="s">
        <v>20</v>
      </c>
      <c r="I6177" s="5" t="s">
        <v>14197</v>
      </c>
      <c r="J6177" s="12" t="str">
        <f>HYPERLINK("https://www.boe.es/gazeta/dias/1805/01/22/pdfs/GMD-1805-7.pdf#page=2","Abrir facsímil")</f>
        <v>Abrir facsímil</v>
      </c>
      <c r="K6177" s="15" t="s">
        <v>22</v>
      </c>
    </row>
    <row r="6178" spans="1:11" ht="42" customHeight="1">
      <c r="A6178" s="4" t="s">
        <v>14198</v>
      </c>
      <c r="B6178" s="5" t="s">
        <v>14199</v>
      </c>
      <c r="C6178" s="5" t="s">
        <v>17</v>
      </c>
      <c r="D6178" s="5" t="s">
        <v>18</v>
      </c>
      <c r="E6178" s="5" t="s">
        <v>787</v>
      </c>
      <c r="F6178" s="9">
        <v>95</v>
      </c>
      <c r="G6178" s="9">
        <v>1018</v>
      </c>
      <c r="H6178" s="5" t="s">
        <v>20</v>
      </c>
      <c r="I6178" s="5" t="s">
        <v>14200</v>
      </c>
      <c r="J6178" s="12" t="str">
        <f>HYPERLINK("https://www.boe.es/gazeta/dias/1805/11/26/pdfs/GMD-1805-95.pdf#page=6","Abrir facsímil")</f>
        <v>Abrir facsímil</v>
      </c>
      <c r="K6178" s="15" t="s">
        <v>22</v>
      </c>
    </row>
    <row r="6179" spans="1:11" ht="42" customHeight="1">
      <c r="A6179" s="4" t="s">
        <v>14201</v>
      </c>
      <c r="B6179" s="5" t="s">
        <v>14202</v>
      </c>
      <c r="C6179" s="5" t="s">
        <v>35</v>
      </c>
      <c r="D6179" s="5" t="s">
        <v>36</v>
      </c>
      <c r="E6179" s="5" t="s">
        <v>711</v>
      </c>
      <c r="F6179" s="9">
        <v>63</v>
      </c>
      <c r="G6179" s="9">
        <v>673</v>
      </c>
      <c r="H6179" s="5" t="s">
        <v>20</v>
      </c>
      <c r="I6179" s="5" t="s">
        <v>14203</v>
      </c>
      <c r="J6179" s="12" t="str">
        <f>HYPERLINK("https://www.boe.es/gazeta/dias/1805/08/06/pdfs/GMD-1805-63.pdf#page=9","Abrir facsímil")</f>
        <v>Abrir facsímil</v>
      </c>
      <c r="K6179" s="15" t="s">
        <v>22</v>
      </c>
    </row>
    <row r="6180" spans="1:11" ht="42" customHeight="1">
      <c r="A6180" s="4" t="s">
        <v>14201</v>
      </c>
      <c r="B6180" s="5" t="s">
        <v>14202</v>
      </c>
      <c r="C6180" s="5" t="s">
        <v>35</v>
      </c>
      <c r="D6180" s="5" t="s">
        <v>36</v>
      </c>
      <c r="E6180" s="5" t="s">
        <v>1132</v>
      </c>
      <c r="F6180" s="9">
        <v>72</v>
      </c>
      <c r="G6180" s="9">
        <v>767</v>
      </c>
      <c r="H6180" s="5" t="s">
        <v>20</v>
      </c>
      <c r="I6180" s="5" t="s">
        <v>14204</v>
      </c>
      <c r="J6180" s="12" t="str">
        <f>HYPERLINK("https://www.boe.es/gazeta/dias/1805/09/06/pdfs/GMD-1805-72.pdf#page=7","Abrir facsímil")</f>
        <v>Abrir facsímil</v>
      </c>
      <c r="K6180" s="15" t="s">
        <v>22</v>
      </c>
    </row>
    <row r="6181" spans="1:11" ht="42" customHeight="1">
      <c r="A6181" s="4" t="s">
        <v>14205</v>
      </c>
      <c r="B6181" s="5" t="s">
        <v>14206</v>
      </c>
      <c r="C6181" s="5" t="s">
        <v>17</v>
      </c>
      <c r="D6181" s="5" t="s">
        <v>18</v>
      </c>
      <c r="E6181" s="5" t="s">
        <v>787</v>
      </c>
      <c r="F6181" s="9">
        <v>95</v>
      </c>
      <c r="G6181" s="9">
        <v>1016</v>
      </c>
      <c r="H6181" s="5" t="s">
        <v>20</v>
      </c>
      <c r="I6181" s="5" t="s">
        <v>14207</v>
      </c>
      <c r="J6181" s="12" t="str">
        <f>HYPERLINK("https://www.boe.es/gazeta/dias/1805/11/26/pdfs/GMD-1805-95.pdf#page=4","Abrir facsímil")</f>
        <v>Abrir facsímil</v>
      </c>
      <c r="K6181" s="15" t="s">
        <v>22</v>
      </c>
    </row>
    <row r="6182" spans="1:11" ht="42" customHeight="1">
      <c r="A6182" s="4" t="s">
        <v>14208</v>
      </c>
      <c r="B6182" s="5" t="s">
        <v>14209</v>
      </c>
      <c r="C6182" s="5" t="s">
        <v>35</v>
      </c>
      <c r="D6182" s="5" t="s">
        <v>36</v>
      </c>
      <c r="E6182" s="5" t="s">
        <v>200</v>
      </c>
      <c r="F6182" s="9">
        <v>91</v>
      </c>
      <c r="G6182" s="9">
        <v>971</v>
      </c>
      <c r="H6182" s="5" t="s">
        <v>20</v>
      </c>
      <c r="I6182" s="5" t="s">
        <v>14210</v>
      </c>
      <c r="J6182" s="12" t="str">
        <f>HYPERLINK("https://www.boe.es/gazeta/dias/1805/11/12/pdfs/GMD-1805-91.pdf#page=3","Abrir facsímil")</f>
        <v>Abrir facsímil</v>
      </c>
      <c r="K6182" s="15" t="s">
        <v>22</v>
      </c>
    </row>
    <row r="6183" spans="1:11" ht="42" customHeight="1">
      <c r="A6183" s="4" t="s">
        <v>14208</v>
      </c>
      <c r="B6183" s="5" t="s">
        <v>14209</v>
      </c>
      <c r="C6183" s="5" t="s">
        <v>80</v>
      </c>
      <c r="D6183" s="5" t="s">
        <v>81</v>
      </c>
      <c r="E6183" s="5" t="s">
        <v>200</v>
      </c>
      <c r="F6183" s="9">
        <v>91</v>
      </c>
      <c r="G6183" s="9">
        <v>974</v>
      </c>
      <c r="H6183" s="5" t="s">
        <v>20</v>
      </c>
      <c r="I6183" s="5" t="s">
        <v>14211</v>
      </c>
      <c r="J6183" s="12" t="str">
        <f>HYPERLINK("https://www.boe.es/gazeta/dias/1805/11/12/pdfs/GMD-1805-91.pdf#page=6","Abrir facsímil")</f>
        <v>Abrir facsímil</v>
      </c>
      <c r="K6183" s="15" t="s">
        <v>22</v>
      </c>
    </row>
    <row r="6184" spans="1:11" ht="42" customHeight="1">
      <c r="A6184" s="4" t="s">
        <v>14208</v>
      </c>
      <c r="B6184" s="5" t="s">
        <v>14209</v>
      </c>
      <c r="C6184" s="5" t="s">
        <v>80</v>
      </c>
      <c r="D6184" s="5" t="s">
        <v>81</v>
      </c>
      <c r="E6184" s="5" t="s">
        <v>200</v>
      </c>
      <c r="F6184" s="9">
        <v>91</v>
      </c>
      <c r="G6184" s="9">
        <v>975</v>
      </c>
      <c r="H6184" s="5" t="s">
        <v>20</v>
      </c>
      <c r="I6184" s="5" t="s">
        <v>14212</v>
      </c>
      <c r="J6184" s="12" t="str">
        <f>HYPERLINK("https://www.boe.es/gazeta/dias/1805/11/12/pdfs/GMD-1805-91.pdf#page=7","Abrir facsímil")</f>
        <v>Abrir facsímil</v>
      </c>
      <c r="K6184" s="15" t="s">
        <v>22</v>
      </c>
    </row>
    <row r="6185" spans="1:11" ht="42" customHeight="1">
      <c r="A6185" s="4" t="s">
        <v>14213</v>
      </c>
      <c r="B6185" s="5" t="s">
        <v>14214</v>
      </c>
      <c r="C6185" s="5" t="s">
        <v>35</v>
      </c>
      <c r="D6185" s="5" t="s">
        <v>36</v>
      </c>
      <c r="E6185" s="5" t="s">
        <v>200</v>
      </c>
      <c r="F6185" s="9">
        <v>91</v>
      </c>
      <c r="G6185" s="9">
        <v>971</v>
      </c>
      <c r="H6185" s="5" t="s">
        <v>20</v>
      </c>
      <c r="I6185" s="5" t="s">
        <v>14215</v>
      </c>
      <c r="J6185" s="12" t="str">
        <f>HYPERLINK("https://www.boe.es/gazeta/dias/1805/11/12/pdfs/GMD-1805-91.pdf#page=3","Abrir facsímil")</f>
        <v>Abrir facsímil</v>
      </c>
      <c r="K6185" s="15" t="s">
        <v>22</v>
      </c>
    </row>
    <row r="6186" spans="1:11" ht="42" customHeight="1">
      <c r="A6186" s="4" t="s">
        <v>14216</v>
      </c>
      <c r="B6186" s="5" t="s">
        <v>14217</v>
      </c>
      <c r="C6186" s="5" t="s">
        <v>35</v>
      </c>
      <c r="D6186" s="5" t="s">
        <v>36</v>
      </c>
      <c r="E6186" s="5" t="s">
        <v>91</v>
      </c>
      <c r="F6186" s="9">
        <v>28</v>
      </c>
      <c r="G6186" s="9">
        <v>300</v>
      </c>
      <c r="H6186" s="5" t="s">
        <v>20</v>
      </c>
      <c r="I6186" s="5" t="s">
        <v>14218</v>
      </c>
      <c r="J6186" s="12" t="str">
        <f>HYPERLINK("https://www.boe.es/gazeta/dias/1805/04/05/pdfs/GMD-1805-28.pdf#page=8","Abrir facsímil")</f>
        <v>Abrir facsímil</v>
      </c>
      <c r="K6186" s="15" t="s">
        <v>22</v>
      </c>
    </row>
    <row r="6187" spans="1:11" ht="42" customHeight="1">
      <c r="A6187" s="4" t="s">
        <v>14219</v>
      </c>
      <c r="B6187" s="5" t="s">
        <v>14220</v>
      </c>
      <c r="C6187" s="5" t="s">
        <v>85</v>
      </c>
      <c r="D6187" s="5" t="s">
        <v>86</v>
      </c>
      <c r="E6187" s="5" t="s">
        <v>19</v>
      </c>
      <c r="F6187" s="9">
        <v>86</v>
      </c>
      <c r="G6187" s="9">
        <v>908</v>
      </c>
      <c r="H6187" s="5" t="s">
        <v>20</v>
      </c>
      <c r="I6187" s="5" t="s">
        <v>14221</v>
      </c>
      <c r="J6187" s="12" t="str">
        <f>HYPERLINK("https://www.boe.es/gazeta/dias/1805/10/25/pdfs/GMD-1805-86.pdf#page=4","Abrir facsímil")</f>
        <v>Abrir facsímil</v>
      </c>
      <c r="K6187" s="15" t="s">
        <v>22</v>
      </c>
    </row>
    <row r="6188" spans="1:11" ht="42" customHeight="1">
      <c r="A6188" s="4" t="s">
        <v>14219</v>
      </c>
      <c r="B6188" s="5" t="s">
        <v>14220</v>
      </c>
      <c r="C6188" s="5" t="s">
        <v>35</v>
      </c>
      <c r="D6188" s="5" t="s">
        <v>36</v>
      </c>
      <c r="E6188" s="5" t="s">
        <v>138</v>
      </c>
      <c r="F6188" s="9">
        <v>102</v>
      </c>
      <c r="G6188" s="9">
        <v>1097</v>
      </c>
      <c r="H6188" s="5" t="s">
        <v>20</v>
      </c>
      <c r="I6188" s="5" t="s">
        <v>14222</v>
      </c>
      <c r="J6188" s="12" t="str">
        <f>HYPERLINK("https://www.boe.es/gazeta/dias/1805/12/20/pdfs/GMD-1805-102.pdf#page=1","Abrir facsímil")</f>
        <v>Abrir facsímil</v>
      </c>
      <c r="K6188" s="15" t="s">
        <v>22</v>
      </c>
    </row>
    <row r="6189" spans="1:11" ht="42" customHeight="1">
      <c r="A6189" s="4" t="s">
        <v>14223</v>
      </c>
      <c r="B6189" s="5" t="s">
        <v>14223</v>
      </c>
      <c r="C6189" s="5" t="s">
        <v>80</v>
      </c>
      <c r="D6189" s="5" t="s">
        <v>81</v>
      </c>
      <c r="E6189" s="5" t="s">
        <v>303</v>
      </c>
      <c r="F6189" s="9">
        <v>57</v>
      </c>
      <c r="G6189" s="9">
        <v>607</v>
      </c>
      <c r="H6189" s="5" t="s">
        <v>20</v>
      </c>
      <c r="I6189" s="5" t="s">
        <v>14224</v>
      </c>
      <c r="J6189" s="12" t="str">
        <f>HYPERLINK("https://www.boe.es/gazeta/dias/1805/07/16/pdfs/GMD-1805-57.pdf#page=3","Abrir facsímil")</f>
        <v>Abrir facsímil</v>
      </c>
      <c r="K6189" s="15" t="s">
        <v>22</v>
      </c>
    </row>
    <row r="6190" spans="1:11" ht="42" customHeight="1">
      <c r="A6190" s="4" t="s">
        <v>14225</v>
      </c>
      <c r="B6190" s="5" t="s">
        <v>14225</v>
      </c>
      <c r="C6190" s="5" t="s">
        <v>80</v>
      </c>
      <c r="D6190" s="5" t="s">
        <v>81</v>
      </c>
      <c r="E6190" s="5" t="s">
        <v>1221</v>
      </c>
      <c r="F6190" s="9">
        <v>41</v>
      </c>
      <c r="G6190" s="9">
        <v>437</v>
      </c>
      <c r="H6190" s="5" t="s">
        <v>20</v>
      </c>
      <c r="I6190" s="5" t="s">
        <v>14226</v>
      </c>
      <c r="J6190" s="12" t="str">
        <f>HYPERLINK("https://www.boe.es/gazeta/dias/1805/05/21/pdfs/GMD-1805-41.pdf#page=5","Abrir facsímil")</f>
        <v>Abrir facsímil</v>
      </c>
      <c r="K6190" s="15" t="s">
        <v>22</v>
      </c>
    </row>
    <row r="6191" spans="1:11" ht="42" customHeight="1">
      <c r="A6191" s="4" t="s">
        <v>14225</v>
      </c>
      <c r="B6191" s="5" t="s">
        <v>14225</v>
      </c>
      <c r="C6191" s="5" t="s">
        <v>17</v>
      </c>
      <c r="D6191" s="5" t="s">
        <v>18</v>
      </c>
      <c r="E6191" s="5" t="s">
        <v>850</v>
      </c>
      <c r="F6191" s="9">
        <v>42</v>
      </c>
      <c r="G6191" s="9">
        <v>448</v>
      </c>
      <c r="H6191" s="5" t="s">
        <v>20</v>
      </c>
      <c r="I6191" s="5" t="s">
        <v>14227</v>
      </c>
      <c r="J6191" s="12" t="str">
        <f>HYPERLINK("https://www.boe.es/gazeta/dias/1805/05/24/pdfs/GMD-1805-42.pdf#page=4","Abrir facsímil")</f>
        <v>Abrir facsímil</v>
      </c>
      <c r="K6191" s="15" t="s">
        <v>22</v>
      </c>
    </row>
    <row r="6192" spans="1:11" ht="42" customHeight="1">
      <c r="A6192" s="4" t="s">
        <v>14225</v>
      </c>
      <c r="B6192" s="5" t="s">
        <v>14225</v>
      </c>
      <c r="C6192" s="5" t="s">
        <v>35</v>
      </c>
      <c r="D6192" s="5" t="s">
        <v>36</v>
      </c>
      <c r="E6192" s="5" t="s">
        <v>904</v>
      </c>
      <c r="F6192" s="9">
        <v>47</v>
      </c>
      <c r="G6192" s="9">
        <v>503</v>
      </c>
      <c r="H6192" s="5" t="s">
        <v>20</v>
      </c>
      <c r="I6192" s="5" t="s">
        <v>14228</v>
      </c>
      <c r="J6192" s="12" t="str">
        <f>HYPERLINK("https://www.boe.es/gazeta/dias/1805/06/11/pdfs/GMD-1805-47.pdf#page=3","Abrir facsímil")</f>
        <v>Abrir facsímil</v>
      </c>
      <c r="K6192" s="15" t="s">
        <v>22</v>
      </c>
    </row>
    <row r="6193" spans="1:11" ht="42" customHeight="1">
      <c r="A6193" s="4" t="s">
        <v>14225</v>
      </c>
      <c r="B6193" s="5" t="s">
        <v>14225</v>
      </c>
      <c r="C6193" s="5" t="s">
        <v>80</v>
      </c>
      <c r="D6193" s="5" t="s">
        <v>81</v>
      </c>
      <c r="E6193" s="5" t="s">
        <v>904</v>
      </c>
      <c r="F6193" s="9">
        <v>47</v>
      </c>
      <c r="G6193" s="9">
        <v>504</v>
      </c>
      <c r="H6193" s="5" t="s">
        <v>20</v>
      </c>
      <c r="I6193" s="5" t="s">
        <v>14229</v>
      </c>
      <c r="J6193" s="12" t="str">
        <f>HYPERLINK("https://www.boe.es/gazeta/dias/1805/06/11/pdfs/GMD-1805-47.pdf#page=4","Abrir facsímil")</f>
        <v>Abrir facsímil</v>
      </c>
      <c r="K6193" s="15" t="s">
        <v>22</v>
      </c>
    </row>
    <row r="6194" spans="1:11" ht="42" customHeight="1">
      <c r="A6194" s="4" t="s">
        <v>14225</v>
      </c>
      <c r="B6194" s="5" t="s">
        <v>14225</v>
      </c>
      <c r="C6194" s="5" t="s">
        <v>80</v>
      </c>
      <c r="D6194" s="5" t="s">
        <v>81</v>
      </c>
      <c r="E6194" s="5" t="s">
        <v>37</v>
      </c>
      <c r="F6194" s="9">
        <v>54</v>
      </c>
      <c r="G6194" s="9">
        <v>575</v>
      </c>
      <c r="H6194" s="5" t="s">
        <v>20</v>
      </c>
      <c r="I6194" s="5" t="s">
        <v>14230</v>
      </c>
      <c r="J6194" s="12" t="str">
        <f>HYPERLINK("https://www.boe.es/gazeta/dias/1805/07/05/pdfs/GMD-1805-54.pdf#page=3","Abrir facsímil")</f>
        <v>Abrir facsímil</v>
      </c>
      <c r="K6194" s="15" t="s">
        <v>22</v>
      </c>
    </row>
    <row r="6195" spans="1:11" ht="42" customHeight="1">
      <c r="A6195" s="4" t="s">
        <v>14225</v>
      </c>
      <c r="B6195" s="5" t="s">
        <v>14225</v>
      </c>
      <c r="C6195" s="5" t="s">
        <v>80</v>
      </c>
      <c r="D6195" s="5" t="s">
        <v>81</v>
      </c>
      <c r="E6195" s="5" t="s">
        <v>831</v>
      </c>
      <c r="F6195" s="9">
        <v>62</v>
      </c>
      <c r="G6195" s="9">
        <v>659</v>
      </c>
      <c r="H6195" s="5" t="s">
        <v>20</v>
      </c>
      <c r="I6195" s="5" t="s">
        <v>14231</v>
      </c>
      <c r="J6195" s="12" t="str">
        <f>HYPERLINK("https://www.boe.es/gazeta/dias/1805/08/02/pdfs/GMD-1805-62.pdf#page=3","Abrir facsímil")</f>
        <v>Abrir facsímil</v>
      </c>
      <c r="K6195" s="15" t="s">
        <v>22</v>
      </c>
    </row>
    <row r="6196" spans="1:11" ht="42" customHeight="1">
      <c r="A6196" s="4" t="s">
        <v>14225</v>
      </c>
      <c r="B6196" s="5" t="s">
        <v>14225</v>
      </c>
      <c r="C6196" s="5" t="s">
        <v>80</v>
      </c>
      <c r="D6196" s="5" t="s">
        <v>81</v>
      </c>
      <c r="E6196" s="5" t="s">
        <v>585</v>
      </c>
      <c r="F6196" s="9">
        <v>64</v>
      </c>
      <c r="G6196" s="9">
        <v>679</v>
      </c>
      <c r="H6196" s="5" t="s">
        <v>20</v>
      </c>
      <c r="I6196" s="5" t="s">
        <v>14232</v>
      </c>
      <c r="J6196" s="12" t="str">
        <f>HYPERLINK("https://www.boe.es/gazeta/dias/1805/08/09/pdfs/GMD-1805-64.pdf#page=3","Abrir facsímil")</f>
        <v>Abrir facsímil</v>
      </c>
      <c r="K6196" s="15" t="s">
        <v>22</v>
      </c>
    </row>
    <row r="6197" spans="1:11" ht="42" customHeight="1">
      <c r="A6197" s="4" t="s">
        <v>14233</v>
      </c>
      <c r="B6197" s="5" t="s">
        <v>14233</v>
      </c>
      <c r="C6197" s="5" t="s">
        <v>80</v>
      </c>
      <c r="D6197" s="5" t="s">
        <v>81</v>
      </c>
      <c r="E6197" s="5" t="s">
        <v>1221</v>
      </c>
      <c r="F6197" s="9">
        <v>41</v>
      </c>
      <c r="G6197" s="9">
        <v>436</v>
      </c>
      <c r="H6197" s="5" t="s">
        <v>20</v>
      </c>
      <c r="I6197" s="5" t="s">
        <v>14234</v>
      </c>
      <c r="J6197" s="12" t="str">
        <f>HYPERLINK("https://www.boe.es/gazeta/dias/1805/05/21/pdfs/GMD-1805-41.pdf#page=4","Abrir facsímil")</f>
        <v>Abrir facsímil</v>
      </c>
      <c r="K6197" s="15" t="s">
        <v>22</v>
      </c>
    </row>
    <row r="6198" spans="1:11" ht="42" customHeight="1">
      <c r="A6198" s="4" t="s">
        <v>14235</v>
      </c>
      <c r="B6198" s="5" t="s">
        <v>14236</v>
      </c>
      <c r="C6198" s="5" t="s">
        <v>35</v>
      </c>
      <c r="D6198" s="5" t="s">
        <v>36</v>
      </c>
      <c r="E6198" s="5" t="s">
        <v>40</v>
      </c>
      <c r="F6198" s="9">
        <v>59</v>
      </c>
      <c r="G6198" s="9">
        <v>631</v>
      </c>
      <c r="H6198" s="5" t="s">
        <v>20</v>
      </c>
      <c r="I6198" s="5" t="s">
        <v>14237</v>
      </c>
      <c r="J6198" s="12" t="str">
        <f>HYPERLINK("https://www.boe.es/gazeta/dias/1805/07/23/pdfs/GMD-1805-59.pdf#page=7","Abrir facsímil")</f>
        <v>Abrir facsímil</v>
      </c>
      <c r="K6198" s="15" t="s">
        <v>22</v>
      </c>
    </row>
    <row r="6199" spans="1:11" ht="42" customHeight="1">
      <c r="A6199" s="4" t="s">
        <v>14238</v>
      </c>
      <c r="B6199" s="5" t="s">
        <v>14238</v>
      </c>
      <c r="C6199" s="5" t="s">
        <v>80</v>
      </c>
      <c r="D6199" s="5" t="s">
        <v>81</v>
      </c>
      <c r="E6199" s="5" t="s">
        <v>399</v>
      </c>
      <c r="F6199" s="9">
        <v>39</v>
      </c>
      <c r="G6199" s="9">
        <v>415</v>
      </c>
      <c r="H6199" s="5" t="s">
        <v>20</v>
      </c>
      <c r="I6199" s="5" t="s">
        <v>14239</v>
      </c>
      <c r="J6199" s="12" t="str">
        <f>HYPERLINK("https://www.boe.es/gazeta/dias/1805/05/14/pdfs/GMD-1805-39.pdf#page=3","Abrir facsímil")</f>
        <v>Abrir facsímil</v>
      </c>
      <c r="K6199" s="15" t="s">
        <v>22</v>
      </c>
    </row>
    <row r="6200" spans="1:11" ht="42" customHeight="1">
      <c r="A6200" s="4" t="s">
        <v>14240</v>
      </c>
      <c r="B6200" s="5" t="s">
        <v>14241</v>
      </c>
      <c r="C6200" s="5" t="s">
        <v>80</v>
      </c>
      <c r="D6200" s="5" t="s">
        <v>81</v>
      </c>
      <c r="E6200" s="5" t="s">
        <v>426</v>
      </c>
      <c r="F6200" s="9">
        <v>75</v>
      </c>
      <c r="G6200" s="9">
        <v>795</v>
      </c>
      <c r="H6200" s="5" t="s">
        <v>20</v>
      </c>
      <c r="I6200" s="5" t="s">
        <v>14242</v>
      </c>
      <c r="J6200" s="12" t="str">
        <f>HYPERLINK("https://www.boe.es/gazeta/dias/1805/09/17/pdfs/GMD-1805-75.pdf#page=7","Abrir facsímil")</f>
        <v>Abrir facsímil</v>
      </c>
      <c r="K6200" s="15" t="s">
        <v>22</v>
      </c>
    </row>
    <row r="6201" spans="1:11" ht="42" customHeight="1">
      <c r="A6201" s="4" t="s">
        <v>14243</v>
      </c>
      <c r="B6201" s="5" t="s">
        <v>14244</v>
      </c>
      <c r="C6201" s="5" t="s">
        <v>35</v>
      </c>
      <c r="D6201" s="5" t="s">
        <v>36</v>
      </c>
      <c r="E6201" s="5" t="s">
        <v>31</v>
      </c>
      <c r="F6201" s="9">
        <v>65</v>
      </c>
      <c r="G6201" s="9">
        <v>692</v>
      </c>
      <c r="H6201" s="5" t="s">
        <v>20</v>
      </c>
      <c r="I6201" s="5" t="s">
        <v>14245</v>
      </c>
      <c r="J6201" s="12" t="str">
        <f>HYPERLINK("https://www.boe.es/gazeta/dias/1805/08/13/pdfs/GMD-1805-65.pdf#page=4","Abrir facsímil")</f>
        <v>Abrir facsímil</v>
      </c>
      <c r="K6201" s="15" t="s">
        <v>22</v>
      </c>
    </row>
    <row r="6202" spans="1:11" ht="42" customHeight="1">
      <c r="A6202" s="4" t="s">
        <v>14246</v>
      </c>
      <c r="B6202" s="5" t="s">
        <v>14246</v>
      </c>
      <c r="C6202" s="5" t="s">
        <v>29</v>
      </c>
      <c r="D6202" s="5" t="s">
        <v>30</v>
      </c>
      <c r="E6202" s="5" t="s">
        <v>303</v>
      </c>
      <c r="F6202" s="9">
        <v>57</v>
      </c>
      <c r="G6202" s="9">
        <v>612</v>
      </c>
      <c r="H6202" s="5" t="s">
        <v>20</v>
      </c>
      <c r="I6202" s="5" t="s">
        <v>14247</v>
      </c>
      <c r="J6202" s="12" t="str">
        <f>HYPERLINK("https://www.boe.es/gazeta/dias/1805/07/16/pdfs/GMD-1805-57.pdf#page=8","Abrir facsímil")</f>
        <v>Abrir facsímil</v>
      </c>
      <c r="K6202" s="15" t="s">
        <v>22</v>
      </c>
    </row>
    <row r="6203" spans="1:11" ht="42" customHeight="1">
      <c r="A6203" s="4" t="s">
        <v>14248</v>
      </c>
      <c r="B6203" s="5" t="s">
        <v>14249</v>
      </c>
      <c r="C6203" s="5" t="s">
        <v>17</v>
      </c>
      <c r="D6203" s="5" t="s">
        <v>18</v>
      </c>
      <c r="E6203" s="5" t="s">
        <v>850</v>
      </c>
      <c r="F6203" s="9">
        <v>42</v>
      </c>
      <c r="G6203" s="9">
        <v>456</v>
      </c>
      <c r="H6203" s="5" t="s">
        <v>20</v>
      </c>
      <c r="I6203" s="5" t="s">
        <v>14250</v>
      </c>
      <c r="J6203" s="12" t="str">
        <f>HYPERLINK("https://www.boe.es/gazeta/dias/1805/05/24/pdfs/GMD-1805-42.pdf#page=12","Abrir facsímil")</f>
        <v>Abrir facsímil</v>
      </c>
      <c r="K6203" s="15" t="s">
        <v>22</v>
      </c>
    </row>
    <row r="6204" spans="1:11" ht="42" customHeight="1">
      <c r="A6204" s="4" t="s">
        <v>14251</v>
      </c>
      <c r="B6204" s="5" t="s">
        <v>14251</v>
      </c>
      <c r="C6204" s="5" t="s">
        <v>80</v>
      </c>
      <c r="D6204" s="5" t="s">
        <v>81</v>
      </c>
      <c r="E6204" s="5" t="s">
        <v>122</v>
      </c>
      <c r="F6204" s="9">
        <v>38</v>
      </c>
      <c r="G6204" s="9">
        <v>408</v>
      </c>
      <c r="H6204" s="5" t="s">
        <v>20</v>
      </c>
      <c r="I6204" s="5" t="s">
        <v>14252</v>
      </c>
      <c r="J6204" s="12" t="str">
        <f>HYPERLINK("https://www.boe.es/gazeta/dias/1805/05/10/pdfs/GMD-1805-38.pdf#page=4","Abrir facsímil")</f>
        <v>Abrir facsímil</v>
      </c>
      <c r="K6204" s="15" t="s">
        <v>22</v>
      </c>
    </row>
    <row r="6205" spans="1:11" ht="42" customHeight="1">
      <c r="A6205" s="4" t="s">
        <v>14253</v>
      </c>
      <c r="B6205" s="5" t="s">
        <v>14253</v>
      </c>
      <c r="C6205" s="5" t="s">
        <v>80</v>
      </c>
      <c r="D6205" s="5" t="s">
        <v>81</v>
      </c>
      <c r="E6205" s="5" t="s">
        <v>711</v>
      </c>
      <c r="F6205" s="9">
        <v>63</v>
      </c>
      <c r="G6205" s="9">
        <v>669</v>
      </c>
      <c r="H6205" s="5" t="s">
        <v>20</v>
      </c>
      <c r="I6205" s="5" t="s">
        <v>14254</v>
      </c>
      <c r="J6205" s="12" t="str">
        <f>HYPERLINK("https://www.boe.es/gazeta/dias/1805/08/06/pdfs/GMD-1805-63.pdf#page=5","Abrir facsímil")</f>
        <v>Abrir facsímil</v>
      </c>
      <c r="K6205" s="15" t="s">
        <v>22</v>
      </c>
    </row>
    <row r="6206" spans="1:11" ht="42" customHeight="1">
      <c r="A6206" s="4" t="s">
        <v>14255</v>
      </c>
      <c r="B6206" s="5" t="s">
        <v>14255</v>
      </c>
      <c r="C6206" s="5" t="s">
        <v>80</v>
      </c>
      <c r="D6206" s="5" t="s">
        <v>81</v>
      </c>
      <c r="E6206" s="5" t="s">
        <v>82</v>
      </c>
      <c r="F6206" s="9">
        <v>25</v>
      </c>
      <c r="G6206" s="9">
        <v>263</v>
      </c>
      <c r="H6206" s="5" t="s">
        <v>20</v>
      </c>
      <c r="I6206" s="5" t="s">
        <v>14256</v>
      </c>
      <c r="J6206" s="12" t="str">
        <f>HYPERLINK("https://www.boe.es/gazeta/dias/1805/03/26/pdfs/GMD-1805-25.pdf#page=3","Abrir facsímil")</f>
        <v>Abrir facsímil</v>
      </c>
      <c r="K6206" s="15" t="s">
        <v>22</v>
      </c>
    </row>
    <row r="6207" spans="1:11" ht="42" customHeight="1">
      <c r="A6207" s="4" t="s">
        <v>14255</v>
      </c>
      <c r="B6207" s="5" t="s">
        <v>14255</v>
      </c>
      <c r="C6207" s="5" t="s">
        <v>17</v>
      </c>
      <c r="D6207" s="5" t="s">
        <v>18</v>
      </c>
      <c r="E6207" s="5" t="s">
        <v>352</v>
      </c>
      <c r="F6207" s="9">
        <v>60</v>
      </c>
      <c r="G6207" s="9">
        <v>642</v>
      </c>
      <c r="H6207" s="5" t="s">
        <v>20</v>
      </c>
      <c r="I6207" s="5" t="s">
        <v>14257</v>
      </c>
      <c r="J6207" s="12" t="str">
        <f>HYPERLINK("https://www.boe.es/gazeta/dias/1805/07/26/pdfs/GMD-1805-60.pdf#page=6","Abrir facsímil")</f>
        <v>Abrir facsímil</v>
      </c>
      <c r="K6207" s="15" t="s">
        <v>22</v>
      </c>
    </row>
    <row r="6208" spans="1:11" ht="42" customHeight="1">
      <c r="A6208" s="4" t="s">
        <v>14258</v>
      </c>
      <c r="B6208" s="5" t="s">
        <v>14259</v>
      </c>
      <c r="C6208" s="5" t="s">
        <v>35</v>
      </c>
      <c r="D6208" s="5" t="s">
        <v>36</v>
      </c>
      <c r="E6208" s="5" t="s">
        <v>711</v>
      </c>
      <c r="F6208" s="9">
        <v>63</v>
      </c>
      <c r="G6208" s="9">
        <v>673</v>
      </c>
      <c r="H6208" s="5" t="s">
        <v>20</v>
      </c>
      <c r="I6208" s="5" t="s">
        <v>14260</v>
      </c>
      <c r="J6208" s="12" t="str">
        <f>HYPERLINK("https://www.boe.es/gazeta/dias/1805/08/06/pdfs/GMD-1805-63.pdf#page=9","Abrir facsímil")</f>
        <v>Abrir facsímil</v>
      </c>
      <c r="K6208" s="15" t="s">
        <v>22</v>
      </c>
    </row>
    <row r="6209" spans="1:11" ht="42" customHeight="1">
      <c r="A6209" s="4" t="s">
        <v>14261</v>
      </c>
      <c r="B6209" s="5" t="s">
        <v>14261</v>
      </c>
      <c r="C6209" s="5" t="s">
        <v>17</v>
      </c>
      <c r="D6209" s="5" t="s">
        <v>18</v>
      </c>
      <c r="E6209" s="5" t="s">
        <v>1292</v>
      </c>
      <c r="F6209" s="9">
        <v>43</v>
      </c>
      <c r="G6209" s="9">
        <v>459</v>
      </c>
      <c r="H6209" s="5" t="s">
        <v>20</v>
      </c>
      <c r="I6209" s="5" t="s">
        <v>14262</v>
      </c>
      <c r="J6209" s="12" t="str">
        <f>HYPERLINK("https://www.boe.es/gazeta/dias/1805/05/28/pdfs/GMD-1805-43.pdf#page=3","Abrir facsímil")</f>
        <v>Abrir facsímil</v>
      </c>
      <c r="K6209" s="15" t="s">
        <v>22</v>
      </c>
    </row>
    <row r="6210" spans="1:11" ht="42" customHeight="1">
      <c r="A6210" s="4" t="s">
        <v>14263</v>
      </c>
      <c r="B6210" s="5" t="s">
        <v>14264</v>
      </c>
      <c r="C6210" s="5" t="s">
        <v>80</v>
      </c>
      <c r="D6210" s="5" t="s">
        <v>81</v>
      </c>
      <c r="E6210" s="5" t="s">
        <v>144</v>
      </c>
      <c r="F6210" s="9">
        <v>85</v>
      </c>
      <c r="G6210" s="9">
        <v>899</v>
      </c>
      <c r="H6210" s="5" t="s">
        <v>20</v>
      </c>
      <c r="I6210" s="5" t="s">
        <v>14265</v>
      </c>
      <c r="J6210" s="12" t="str">
        <f>HYPERLINK("https://www.boe.es/gazeta/dias/1805/10/22/pdfs/GMD-1805-85.pdf#page=7","Abrir facsímil")</f>
        <v>Abrir facsímil</v>
      </c>
      <c r="K6210" s="15" t="s">
        <v>22</v>
      </c>
    </row>
    <row r="6211" spans="1:11" ht="42" customHeight="1">
      <c r="A6211" s="4" t="s">
        <v>14266</v>
      </c>
      <c r="B6211" s="5" t="s">
        <v>14267</v>
      </c>
      <c r="C6211" s="5" t="s">
        <v>80</v>
      </c>
      <c r="D6211" s="5" t="s">
        <v>81</v>
      </c>
      <c r="E6211" s="5" t="s">
        <v>99</v>
      </c>
      <c r="F6211" s="9">
        <v>83</v>
      </c>
      <c r="G6211" s="9">
        <v>874</v>
      </c>
      <c r="H6211" s="5" t="s">
        <v>20</v>
      </c>
      <c r="I6211" s="5" t="s">
        <v>14268</v>
      </c>
      <c r="J6211" s="12" t="str">
        <f>HYPERLINK("https://www.boe.es/gazeta/dias/1805/10/15/pdfs/GMD-1805-83.pdf#page=2","Abrir facsímil")</f>
        <v>Abrir facsímil</v>
      </c>
      <c r="K6211" s="15" t="s">
        <v>22</v>
      </c>
    </row>
    <row r="6212" spans="1:11" ht="42" customHeight="1">
      <c r="A6212" s="4" t="s">
        <v>14269</v>
      </c>
      <c r="B6212" s="5" t="s">
        <v>14270</v>
      </c>
      <c r="C6212" s="5" t="s">
        <v>80</v>
      </c>
      <c r="D6212" s="5" t="s">
        <v>81</v>
      </c>
      <c r="E6212" s="5" t="s">
        <v>99</v>
      </c>
      <c r="F6212" s="9">
        <v>83</v>
      </c>
      <c r="G6212" s="9">
        <v>874</v>
      </c>
      <c r="H6212" s="5" t="s">
        <v>20</v>
      </c>
      <c r="I6212" s="5" t="s">
        <v>14271</v>
      </c>
      <c r="J6212" s="12" t="str">
        <f>HYPERLINK("https://www.boe.es/gazeta/dias/1805/10/15/pdfs/GMD-1805-83.pdf#page=2","Abrir facsímil")</f>
        <v>Abrir facsímil</v>
      </c>
      <c r="K6212" s="15" t="s">
        <v>22</v>
      </c>
    </row>
    <row r="6213" spans="1:11" ht="42" customHeight="1">
      <c r="A6213" s="4" t="s">
        <v>14272</v>
      </c>
      <c r="B6213" s="5" t="s">
        <v>14272</v>
      </c>
      <c r="C6213" s="5" t="s">
        <v>35</v>
      </c>
      <c r="D6213" s="5" t="s">
        <v>36</v>
      </c>
      <c r="E6213" s="5" t="s">
        <v>281</v>
      </c>
      <c r="F6213" s="9">
        <v>15</v>
      </c>
      <c r="G6213" s="9">
        <v>155</v>
      </c>
      <c r="H6213" s="5" t="s">
        <v>20</v>
      </c>
      <c r="I6213" s="5" t="s">
        <v>14273</v>
      </c>
      <c r="J6213" s="12" t="str">
        <f>HYPERLINK("https://www.boe.es/gazeta/dias/1805/02/19/pdfs/GMD-1805-15.pdf#page=7","Abrir facsímil")</f>
        <v>Abrir facsímil</v>
      </c>
      <c r="K6213" s="15" t="s">
        <v>22</v>
      </c>
    </row>
    <row r="6214" spans="1:11" ht="42" customHeight="1">
      <c r="A6214" s="4" t="s">
        <v>14274</v>
      </c>
      <c r="B6214" s="5" t="s">
        <v>14275</v>
      </c>
      <c r="C6214" s="5" t="s">
        <v>80</v>
      </c>
      <c r="D6214" s="5" t="s">
        <v>81</v>
      </c>
      <c r="E6214" s="5" t="s">
        <v>886</v>
      </c>
      <c r="F6214" s="9">
        <v>93</v>
      </c>
      <c r="G6214" s="9">
        <v>993</v>
      </c>
      <c r="H6214" s="5" t="s">
        <v>20</v>
      </c>
      <c r="I6214" s="5" t="s">
        <v>14276</v>
      </c>
      <c r="J6214" s="12" t="str">
        <f>HYPERLINK("https://www.boe.es/gazeta/dias/1805/11/19/pdfs/GMD-1805-93.pdf#page=5","Abrir facsímil")</f>
        <v>Abrir facsímil</v>
      </c>
      <c r="K6214" s="15" t="s">
        <v>22</v>
      </c>
    </row>
    <row r="6215" spans="1:11" ht="42" customHeight="1">
      <c r="A6215" s="4" t="s">
        <v>14274</v>
      </c>
      <c r="B6215" s="5" t="s">
        <v>14275</v>
      </c>
      <c r="C6215" s="5" t="s">
        <v>184</v>
      </c>
      <c r="D6215" s="5" t="s">
        <v>86</v>
      </c>
      <c r="E6215" s="5" t="s">
        <v>512</v>
      </c>
      <c r="F6215" s="9">
        <v>100</v>
      </c>
      <c r="G6215" s="9">
        <v>1080</v>
      </c>
      <c r="H6215" s="5" t="s">
        <v>20</v>
      </c>
      <c r="I6215" s="5" t="s">
        <v>14277</v>
      </c>
      <c r="J6215" s="12" t="str">
        <f>HYPERLINK("https://www.boe.es/gazeta/dias/1805/12/13/pdfs/GMD-1805-100.pdf#page=8","Abrir facsímil")</f>
        <v>Abrir facsímil</v>
      </c>
      <c r="K6215" s="15" t="s">
        <v>22</v>
      </c>
    </row>
    <row r="6216" spans="1:11" ht="42" customHeight="1">
      <c r="A6216" s="4" t="s">
        <v>14274</v>
      </c>
      <c r="B6216" s="5" t="s">
        <v>14275</v>
      </c>
      <c r="C6216" s="5" t="s">
        <v>80</v>
      </c>
      <c r="D6216" s="5" t="s">
        <v>81</v>
      </c>
      <c r="E6216" s="5" t="s">
        <v>192</v>
      </c>
      <c r="F6216" s="9">
        <v>105</v>
      </c>
      <c r="G6216" s="9">
        <v>1135</v>
      </c>
      <c r="H6216" s="5" t="s">
        <v>20</v>
      </c>
      <c r="I6216" s="5" t="s">
        <v>14278</v>
      </c>
      <c r="J6216" s="12" t="str">
        <f>HYPERLINK("https://www.boe.es/gazeta/dias/1805/12/31/pdfs/GMD-1805-105.pdf#page=7","Abrir facsímil")</f>
        <v>Abrir facsímil</v>
      </c>
      <c r="K6216" s="15" t="s">
        <v>22</v>
      </c>
    </row>
    <row r="6217" spans="1:11" ht="42" customHeight="1">
      <c r="A6217" s="4" t="s">
        <v>14279</v>
      </c>
      <c r="B6217" s="5" t="s">
        <v>14280</v>
      </c>
      <c r="C6217" s="5" t="s">
        <v>29</v>
      </c>
      <c r="D6217" s="5" t="s">
        <v>30</v>
      </c>
      <c r="E6217" s="5" t="s">
        <v>729</v>
      </c>
      <c r="F6217" s="9">
        <v>61</v>
      </c>
      <c r="G6217" s="9">
        <v>656</v>
      </c>
      <c r="H6217" s="5" t="s">
        <v>20</v>
      </c>
      <c r="I6217" s="5" t="s">
        <v>14281</v>
      </c>
      <c r="J6217" s="12" t="str">
        <f>HYPERLINK("https://www.boe.es/gazeta/dias/1805/07/30/pdfs/GMD-1805-61.pdf#page=8","Abrir facsímil")</f>
        <v>Abrir facsímil</v>
      </c>
      <c r="K6217" s="15" t="s">
        <v>22</v>
      </c>
    </row>
    <row r="6218" spans="1:11" ht="42" customHeight="1">
      <c r="A6218" s="4" t="s">
        <v>14282</v>
      </c>
      <c r="B6218" s="5" t="s">
        <v>14283</v>
      </c>
      <c r="C6218" s="5" t="s">
        <v>29</v>
      </c>
      <c r="D6218" s="5" t="s">
        <v>30</v>
      </c>
      <c r="E6218" s="5" t="s">
        <v>209</v>
      </c>
      <c r="F6218" s="9">
        <v>89</v>
      </c>
      <c r="G6218" s="9">
        <v>946</v>
      </c>
      <c r="H6218" s="5" t="s">
        <v>20</v>
      </c>
      <c r="I6218" s="5" t="s">
        <v>14284</v>
      </c>
      <c r="J6218" s="12" t="str">
        <f>HYPERLINK("https://www.boe.es/gazeta/dias/1805/11/05/pdfs/GMD-1805-89.pdf#page=6","Abrir facsímil")</f>
        <v>Abrir facsímil</v>
      </c>
      <c r="K6218" s="15" t="s">
        <v>22</v>
      </c>
    </row>
    <row r="6219" spans="1:11" ht="42" customHeight="1">
      <c r="A6219" s="4" t="s">
        <v>14285</v>
      </c>
      <c r="B6219" s="5" t="s">
        <v>14286</v>
      </c>
      <c r="C6219" s="5" t="s">
        <v>80</v>
      </c>
      <c r="D6219" s="5" t="s">
        <v>81</v>
      </c>
      <c r="E6219" s="5" t="s">
        <v>67</v>
      </c>
      <c r="F6219" s="9">
        <v>98</v>
      </c>
      <c r="G6219" s="9">
        <v>1054</v>
      </c>
      <c r="H6219" s="5" t="s">
        <v>20</v>
      </c>
      <c r="I6219" s="5" t="s">
        <v>14287</v>
      </c>
      <c r="J6219" s="12" t="str">
        <f>HYPERLINK("https://www.boe.es/gazeta/dias/1805/12/06/pdfs/GMD-1805-98.pdf#page=6","Abrir facsímil")</f>
        <v>Abrir facsímil</v>
      </c>
      <c r="K6219" s="15" t="s">
        <v>22</v>
      </c>
    </row>
    <row r="6220" spans="1:11" ht="42" customHeight="1">
      <c r="A6220" s="4" t="s">
        <v>14288</v>
      </c>
      <c r="B6220" s="5" t="s">
        <v>14289</v>
      </c>
      <c r="C6220" s="5" t="s">
        <v>35</v>
      </c>
      <c r="D6220" s="5" t="s">
        <v>36</v>
      </c>
      <c r="E6220" s="5" t="s">
        <v>59</v>
      </c>
      <c r="F6220" s="9">
        <v>21</v>
      </c>
      <c r="G6220" s="9">
        <v>220</v>
      </c>
      <c r="H6220" s="5" t="s">
        <v>20</v>
      </c>
      <c r="I6220" s="5" t="s">
        <v>14290</v>
      </c>
      <c r="J6220" s="12" t="str">
        <f>HYPERLINK("https://www.boe.es/gazeta/dias/1805/03/12/pdfs/GMD-1805-21.pdf#page=8","Abrir facsímil")</f>
        <v>Abrir facsímil</v>
      </c>
      <c r="K6220" s="15" t="s">
        <v>22</v>
      </c>
    </row>
    <row r="6221" spans="1:11" ht="42" customHeight="1">
      <c r="A6221" s="4" t="s">
        <v>14291</v>
      </c>
      <c r="B6221" s="5" t="s">
        <v>14291</v>
      </c>
      <c r="C6221" s="5" t="s">
        <v>80</v>
      </c>
      <c r="D6221" s="5" t="s">
        <v>81</v>
      </c>
      <c r="E6221" s="5" t="s">
        <v>286</v>
      </c>
      <c r="F6221" s="9">
        <v>48</v>
      </c>
      <c r="G6221" s="9">
        <v>519</v>
      </c>
      <c r="H6221" s="5" t="s">
        <v>20</v>
      </c>
      <c r="I6221" s="5" t="s">
        <v>14292</v>
      </c>
      <c r="J6221" s="12" t="str">
        <f>HYPERLINK("https://www.boe.es/gazeta/dias/1805/06/14/pdfs/GMD-1805-48.pdf#page=7","Abrir facsímil")</f>
        <v>Abrir facsímil</v>
      </c>
      <c r="K6221" s="15" t="s">
        <v>22</v>
      </c>
    </row>
    <row r="6222" spans="1:11" ht="42" customHeight="1">
      <c r="A6222" s="4" t="s">
        <v>14293</v>
      </c>
      <c r="B6222" s="5" t="s">
        <v>14294</v>
      </c>
      <c r="C6222" s="5" t="s">
        <v>35</v>
      </c>
      <c r="D6222" s="5" t="s">
        <v>36</v>
      </c>
      <c r="E6222" s="5" t="s">
        <v>506</v>
      </c>
      <c r="F6222" s="9">
        <v>80</v>
      </c>
      <c r="G6222" s="9">
        <v>850</v>
      </c>
      <c r="H6222" s="5" t="s">
        <v>20</v>
      </c>
      <c r="I6222" s="5" t="s">
        <v>14295</v>
      </c>
      <c r="J6222" s="12" t="str">
        <f>HYPERLINK("https://www.boe.es/gazeta/dias/1805/10/04/pdfs/GMD-1805-80.pdf#page=10","Abrir facsímil")</f>
        <v>Abrir facsímil</v>
      </c>
      <c r="K6222" s="15" t="s">
        <v>22</v>
      </c>
    </row>
    <row r="6223" spans="1:11" ht="42" customHeight="1">
      <c r="A6223" s="4" t="s">
        <v>14296</v>
      </c>
      <c r="B6223" s="5" t="s">
        <v>14297</v>
      </c>
      <c r="C6223" s="5" t="s">
        <v>17</v>
      </c>
      <c r="D6223" s="5" t="s">
        <v>18</v>
      </c>
      <c r="E6223" s="5" t="s">
        <v>276</v>
      </c>
      <c r="F6223" s="9">
        <v>51</v>
      </c>
      <c r="G6223" s="9">
        <v>550</v>
      </c>
      <c r="H6223" s="5" t="s">
        <v>20</v>
      </c>
      <c r="I6223" s="5" t="s">
        <v>14298</v>
      </c>
      <c r="J6223" s="12" t="str">
        <f>HYPERLINK("https://www.boe.es/gazeta/dias/1805/06/25/pdfs/GMD-1805-51.pdf#page=6","Abrir facsímil")</f>
        <v>Abrir facsímil</v>
      </c>
      <c r="K6223" s="15" t="s">
        <v>22</v>
      </c>
    </row>
    <row r="6224" spans="1:11" ht="42" customHeight="1">
      <c r="A6224" s="4" t="s">
        <v>14299</v>
      </c>
      <c r="B6224" s="5" t="s">
        <v>14300</v>
      </c>
      <c r="C6224" s="5" t="s">
        <v>85</v>
      </c>
      <c r="D6224" s="5" t="s">
        <v>86</v>
      </c>
      <c r="E6224" s="5" t="s">
        <v>1471</v>
      </c>
      <c r="F6224" s="9">
        <v>34</v>
      </c>
      <c r="G6224" s="9">
        <v>361</v>
      </c>
      <c r="H6224" s="5" t="s">
        <v>20</v>
      </c>
      <c r="I6224" s="5" t="s">
        <v>14301</v>
      </c>
      <c r="J6224" s="12" t="str">
        <f>HYPERLINK("https://www.boe.es/gazeta/dias/1805/04/26/pdfs/GMD-1805-34.pdf#page=5","Abrir facsímil")</f>
        <v>Abrir facsímil</v>
      </c>
      <c r="K6224" s="15" t="s">
        <v>22</v>
      </c>
    </row>
    <row r="6225" spans="1:11" ht="42" customHeight="1">
      <c r="A6225" s="4" t="s">
        <v>14302</v>
      </c>
      <c r="B6225" s="5" t="s">
        <v>14303</v>
      </c>
      <c r="C6225" s="5" t="s">
        <v>17</v>
      </c>
      <c r="D6225" s="5" t="s">
        <v>18</v>
      </c>
      <c r="E6225" s="5" t="s">
        <v>327</v>
      </c>
      <c r="F6225" s="9">
        <v>10</v>
      </c>
      <c r="G6225" s="9">
        <v>109</v>
      </c>
      <c r="H6225" s="5" t="s">
        <v>20</v>
      </c>
      <c r="I6225" s="5" t="s">
        <v>14304</v>
      </c>
      <c r="J6225" s="12" t="str">
        <f>HYPERLINK("https://www.boe.es/gazeta/dias/1805/02/01/pdfs/GMD-1805-10.pdf#page=5","Abrir facsímil")</f>
        <v>Abrir facsímil</v>
      </c>
      <c r="K6225" s="15" t="s">
        <v>22</v>
      </c>
    </row>
    <row r="6226" spans="1:11" ht="42" customHeight="1">
      <c r="A6226" s="4" t="s">
        <v>14305</v>
      </c>
      <c r="B6226" s="5" t="s">
        <v>14306</v>
      </c>
      <c r="C6226" s="5" t="s">
        <v>264</v>
      </c>
      <c r="D6226" s="5" t="s">
        <v>265</v>
      </c>
      <c r="E6226" s="5" t="s">
        <v>261</v>
      </c>
      <c r="F6226" s="9">
        <v>18</v>
      </c>
      <c r="G6226" s="9" t="s">
        <v>55</v>
      </c>
      <c r="H6226" s="5" t="s">
        <v>20</v>
      </c>
      <c r="I6226" s="5" t="s">
        <v>14307</v>
      </c>
      <c r="J6226" s="12" t="str">
        <f>HYPERLINK("https://www.boe.es/gazeta/dias/1805/03/01/pdfs/GMD-C-1805-18.pdf#page=4","Abrir facsímil")</f>
        <v>Abrir facsímil</v>
      </c>
      <c r="K6226" s="15" t="s">
        <v>22</v>
      </c>
    </row>
    <row r="6227" spans="1:11" ht="42" customHeight="1">
      <c r="A6227" s="4" t="s">
        <v>14308</v>
      </c>
      <c r="B6227" s="5" t="s">
        <v>14309</v>
      </c>
      <c r="C6227" s="5" t="s">
        <v>35</v>
      </c>
      <c r="D6227" s="5" t="s">
        <v>36</v>
      </c>
      <c r="E6227" s="5" t="s">
        <v>512</v>
      </c>
      <c r="F6227" s="9">
        <v>100</v>
      </c>
      <c r="G6227" s="9">
        <v>1081</v>
      </c>
      <c r="H6227" s="5" t="s">
        <v>20</v>
      </c>
      <c r="I6227" s="5" t="s">
        <v>14310</v>
      </c>
      <c r="J6227" s="12" t="str">
        <f>HYPERLINK("https://www.boe.es/gazeta/dias/1805/12/13/pdfs/GMD-1805-100.pdf#page=9","Abrir facsímil")</f>
        <v>Abrir facsímil</v>
      </c>
      <c r="K6227" s="15" t="s">
        <v>22</v>
      </c>
    </row>
    <row r="6228" spans="1:11" ht="42" customHeight="1">
      <c r="A6228" s="4" t="s">
        <v>14311</v>
      </c>
      <c r="B6228" s="5" t="s">
        <v>14312</v>
      </c>
      <c r="C6228" s="5" t="s">
        <v>35</v>
      </c>
      <c r="D6228" s="5" t="s">
        <v>36</v>
      </c>
      <c r="E6228" s="5" t="s">
        <v>67</v>
      </c>
      <c r="F6228" s="9">
        <v>98</v>
      </c>
      <c r="G6228" s="9">
        <v>1059</v>
      </c>
      <c r="H6228" s="5" t="s">
        <v>20</v>
      </c>
      <c r="I6228" s="5" t="s">
        <v>14313</v>
      </c>
      <c r="J6228" s="12" t="str">
        <f>HYPERLINK("https://www.boe.es/gazeta/dias/1805/12/06/pdfs/GMD-1805-98.pdf#page=11","Abrir facsímil")</f>
        <v>Abrir facsímil</v>
      </c>
      <c r="K6228" s="15" t="s">
        <v>22</v>
      </c>
    </row>
    <row r="6229" spans="1:11" ht="42" customHeight="1">
      <c r="A6229" s="4" t="s">
        <v>14314</v>
      </c>
      <c r="B6229" s="5" t="s">
        <v>14315</v>
      </c>
      <c r="C6229" s="5" t="s">
        <v>35</v>
      </c>
      <c r="D6229" s="5" t="s">
        <v>36</v>
      </c>
      <c r="E6229" s="5" t="s">
        <v>44</v>
      </c>
      <c r="F6229" s="9">
        <v>29</v>
      </c>
      <c r="G6229" s="9">
        <v>311</v>
      </c>
      <c r="H6229" s="5" t="s">
        <v>20</v>
      </c>
      <c r="I6229" s="5" t="s">
        <v>14316</v>
      </c>
      <c r="J6229" s="12" t="str">
        <f>HYPERLINK("https://www.boe.es/gazeta/dias/1805/04/09/pdfs/GMD-1805-29.pdf#page=7","Abrir facsímil")</f>
        <v>Abrir facsímil</v>
      </c>
      <c r="K6229" s="15" t="s">
        <v>22</v>
      </c>
    </row>
    <row r="6230" spans="1:11" ht="42" customHeight="1">
      <c r="A6230" s="4" t="s">
        <v>14317</v>
      </c>
      <c r="B6230" s="5" t="s">
        <v>14318</v>
      </c>
      <c r="C6230" s="5" t="s">
        <v>29</v>
      </c>
      <c r="D6230" s="5" t="s">
        <v>30</v>
      </c>
      <c r="E6230" s="5" t="s">
        <v>440</v>
      </c>
      <c r="F6230" s="9">
        <v>27</v>
      </c>
      <c r="G6230" s="9">
        <v>290</v>
      </c>
      <c r="H6230" s="5" t="s">
        <v>20</v>
      </c>
      <c r="I6230" s="5" t="s">
        <v>14319</v>
      </c>
      <c r="J6230" s="12" t="str">
        <f>HYPERLINK("https://www.boe.es/gazeta/dias/1805/04/02/pdfs/GMD-1805-27.pdf#page=10","Abrir facsímil")</f>
        <v>Abrir facsímil</v>
      </c>
      <c r="K6230" s="15" t="s">
        <v>22</v>
      </c>
    </row>
    <row r="6231" spans="1:11" ht="42" customHeight="1">
      <c r="A6231" s="4" t="s">
        <v>14320</v>
      </c>
      <c r="B6231" s="5" t="s">
        <v>14321</v>
      </c>
      <c r="C6231" s="5" t="s">
        <v>35</v>
      </c>
      <c r="D6231" s="5" t="s">
        <v>36</v>
      </c>
      <c r="E6231" s="5" t="s">
        <v>303</v>
      </c>
      <c r="F6231" s="9">
        <v>57</v>
      </c>
      <c r="G6231" s="9">
        <v>611</v>
      </c>
      <c r="H6231" s="5" t="s">
        <v>20</v>
      </c>
      <c r="I6231" s="5" t="s">
        <v>14322</v>
      </c>
      <c r="J6231" s="12" t="str">
        <f>HYPERLINK("https://www.boe.es/gazeta/dias/1805/07/16/pdfs/GMD-1805-57.pdf#page=7","Abrir facsímil")</f>
        <v>Abrir facsímil</v>
      </c>
      <c r="K6231" s="15" t="s">
        <v>22</v>
      </c>
    </row>
    <row r="6232" spans="1:11" ht="42" customHeight="1">
      <c r="A6232" s="4" t="s">
        <v>14323</v>
      </c>
      <c r="B6232" s="5" t="s">
        <v>14324</v>
      </c>
      <c r="C6232" s="5" t="s">
        <v>35</v>
      </c>
      <c r="D6232" s="5" t="s">
        <v>36</v>
      </c>
      <c r="E6232" s="5" t="s">
        <v>303</v>
      </c>
      <c r="F6232" s="9">
        <v>57</v>
      </c>
      <c r="G6232" s="9">
        <v>611</v>
      </c>
      <c r="H6232" s="5" t="s">
        <v>20</v>
      </c>
      <c r="I6232" s="5" t="s">
        <v>14325</v>
      </c>
      <c r="J6232" s="12" t="str">
        <f>HYPERLINK("https://www.boe.es/gazeta/dias/1805/07/16/pdfs/GMD-1805-57.pdf#page=7","Abrir facsímil")</f>
        <v>Abrir facsímil</v>
      </c>
      <c r="K6232" s="15" t="s">
        <v>22</v>
      </c>
    </row>
    <row r="6233" spans="1:11" ht="42" customHeight="1">
      <c r="A6233" s="4" t="s">
        <v>14326</v>
      </c>
      <c r="B6233" s="5" t="s">
        <v>14327</v>
      </c>
      <c r="C6233" s="5" t="s">
        <v>35</v>
      </c>
      <c r="D6233" s="5" t="s">
        <v>36</v>
      </c>
      <c r="E6233" s="5" t="s">
        <v>303</v>
      </c>
      <c r="F6233" s="9">
        <v>57</v>
      </c>
      <c r="G6233" s="9">
        <v>611</v>
      </c>
      <c r="H6233" s="5" t="s">
        <v>20</v>
      </c>
      <c r="I6233" s="5" t="s">
        <v>14328</v>
      </c>
      <c r="J6233" s="12" t="str">
        <f>HYPERLINK("https://www.boe.es/gazeta/dias/1805/07/16/pdfs/GMD-1805-57.pdf#page=7","Abrir facsímil")</f>
        <v>Abrir facsímil</v>
      </c>
      <c r="K6233" s="15" t="s">
        <v>22</v>
      </c>
    </row>
    <row r="6234" spans="1:11" ht="42" customHeight="1">
      <c r="A6234" s="4" t="s">
        <v>14329</v>
      </c>
      <c r="B6234" s="5" t="s">
        <v>14330</v>
      </c>
      <c r="C6234" s="5" t="s">
        <v>35</v>
      </c>
      <c r="D6234" s="5" t="s">
        <v>36</v>
      </c>
      <c r="E6234" s="5" t="s">
        <v>303</v>
      </c>
      <c r="F6234" s="9">
        <v>57</v>
      </c>
      <c r="G6234" s="9">
        <v>611</v>
      </c>
      <c r="H6234" s="5" t="s">
        <v>20</v>
      </c>
      <c r="I6234" s="5" t="s">
        <v>14331</v>
      </c>
      <c r="J6234" s="12" t="str">
        <f>HYPERLINK("https://www.boe.es/gazeta/dias/1805/07/16/pdfs/GMD-1805-57.pdf#page=7","Abrir facsímil")</f>
        <v>Abrir facsímil</v>
      </c>
      <c r="K6234" s="15" t="s">
        <v>22</v>
      </c>
    </row>
    <row r="6235" spans="1:11" ht="42" customHeight="1">
      <c r="A6235" s="4" t="s">
        <v>14332</v>
      </c>
      <c r="B6235" s="5" t="s">
        <v>14333</v>
      </c>
      <c r="C6235" s="5" t="s">
        <v>85</v>
      </c>
      <c r="D6235" s="5" t="s">
        <v>86</v>
      </c>
      <c r="E6235" s="5" t="s">
        <v>471</v>
      </c>
      <c r="F6235" s="9">
        <v>22</v>
      </c>
      <c r="G6235" s="9">
        <v>233</v>
      </c>
      <c r="H6235" s="5" t="s">
        <v>20</v>
      </c>
      <c r="I6235" s="5" t="s">
        <v>14334</v>
      </c>
      <c r="J6235" s="12" t="str">
        <f>HYPERLINK("https://www.boe.es/gazeta/dias/1805/03/15/pdfs/GMD-1805-22.pdf#page=9","Abrir facsímil")</f>
        <v>Abrir facsímil</v>
      </c>
      <c r="K6235" s="15" t="s">
        <v>22</v>
      </c>
    </row>
    <row r="6236" spans="1:11" ht="42" customHeight="1">
      <c r="A6236" s="4" t="s">
        <v>14332</v>
      </c>
      <c r="B6236" s="5" t="s">
        <v>14333</v>
      </c>
      <c r="C6236" s="5" t="s">
        <v>35</v>
      </c>
      <c r="D6236" s="5" t="s">
        <v>36</v>
      </c>
      <c r="E6236" s="5" t="s">
        <v>67</v>
      </c>
      <c r="F6236" s="9">
        <v>98</v>
      </c>
      <c r="G6236" s="9">
        <v>1058</v>
      </c>
      <c r="H6236" s="5" t="s">
        <v>20</v>
      </c>
      <c r="I6236" s="5" t="s">
        <v>14335</v>
      </c>
      <c r="J6236" s="12" t="str">
        <f>HYPERLINK("https://www.boe.es/gazeta/dias/1805/12/06/pdfs/GMD-1805-98.pdf#page=10","Abrir facsímil")</f>
        <v>Abrir facsímil</v>
      </c>
      <c r="K6236" s="15" t="s">
        <v>22</v>
      </c>
    </row>
    <row r="6237" spans="1:11" ht="42" customHeight="1">
      <c r="A6237" s="4" t="s">
        <v>14336</v>
      </c>
      <c r="B6237" s="5" t="s">
        <v>14337</v>
      </c>
      <c r="C6237" s="5" t="s">
        <v>17</v>
      </c>
      <c r="D6237" s="5" t="s">
        <v>18</v>
      </c>
      <c r="E6237" s="5" t="s">
        <v>120</v>
      </c>
      <c r="F6237" s="9">
        <v>24</v>
      </c>
      <c r="G6237" s="9">
        <v>258</v>
      </c>
      <c r="H6237" s="5" t="s">
        <v>20</v>
      </c>
      <c r="I6237" s="5" t="s">
        <v>14338</v>
      </c>
      <c r="J6237" s="12" t="str">
        <f>HYPERLINK("https://www.boe.es/gazeta/dias/1805/03/22/pdfs/GMD-1805-24.pdf#page=10","Abrir facsímil")</f>
        <v>Abrir facsímil</v>
      </c>
      <c r="K6237" s="15" t="s">
        <v>22</v>
      </c>
    </row>
    <row r="6238" spans="1:11" ht="42" customHeight="1">
      <c r="A6238" s="4" t="s">
        <v>14336</v>
      </c>
      <c r="B6238" s="5" t="s">
        <v>14337</v>
      </c>
      <c r="C6238" s="5" t="s">
        <v>17</v>
      </c>
      <c r="D6238" s="5" t="s">
        <v>18</v>
      </c>
      <c r="E6238" s="5" t="s">
        <v>958</v>
      </c>
      <c r="F6238" s="9">
        <v>58</v>
      </c>
      <c r="G6238" s="9">
        <v>621</v>
      </c>
      <c r="H6238" s="5" t="s">
        <v>20</v>
      </c>
      <c r="I6238" s="5" t="s">
        <v>14339</v>
      </c>
      <c r="J6238" s="12" t="str">
        <f>HYPERLINK("https://www.boe.es/gazeta/dias/1805/07/19/pdfs/GMD-1805-58.pdf#page=5","Abrir facsímil")</f>
        <v>Abrir facsímil</v>
      </c>
      <c r="K6238" s="15" t="s">
        <v>22</v>
      </c>
    </row>
    <row r="6239" spans="1:11" ht="42" customHeight="1">
      <c r="A6239" s="4" t="s">
        <v>14340</v>
      </c>
      <c r="B6239" s="5" t="s">
        <v>14341</v>
      </c>
      <c r="C6239" s="5" t="s">
        <v>35</v>
      </c>
      <c r="D6239" s="5" t="s">
        <v>36</v>
      </c>
      <c r="E6239" s="5" t="s">
        <v>300</v>
      </c>
      <c r="F6239" s="9">
        <v>81</v>
      </c>
      <c r="G6239" s="9">
        <v>858</v>
      </c>
      <c r="H6239" s="5" t="s">
        <v>20</v>
      </c>
      <c r="I6239" s="5" t="s">
        <v>14342</v>
      </c>
      <c r="J6239" s="12" t="str">
        <f>HYPERLINK("https://www.boe.es/gazeta/dias/1805/10/08/pdfs/GMD-1805-81.pdf#page=6","Abrir facsímil")</f>
        <v>Abrir facsímil</v>
      </c>
      <c r="K6239" s="15" t="s">
        <v>22</v>
      </c>
    </row>
    <row r="6240" spans="1:11" ht="42" customHeight="1">
      <c r="A6240" s="4" t="s">
        <v>14343</v>
      </c>
      <c r="B6240" s="5" t="s">
        <v>14344</v>
      </c>
      <c r="C6240" s="5" t="s">
        <v>184</v>
      </c>
      <c r="D6240" s="5" t="s">
        <v>86</v>
      </c>
      <c r="E6240" s="5" t="s">
        <v>471</v>
      </c>
      <c r="F6240" s="9">
        <v>22</v>
      </c>
      <c r="G6240" s="9">
        <v>234</v>
      </c>
      <c r="H6240" s="5" t="s">
        <v>20</v>
      </c>
      <c r="I6240" s="5" t="s">
        <v>14345</v>
      </c>
      <c r="J6240" s="12" t="str">
        <f>HYPERLINK("https://www.boe.es/gazeta/dias/1805/03/15/pdfs/GMD-1805-22.pdf#page=10","Abrir facsímil")</f>
        <v>Abrir facsímil</v>
      </c>
      <c r="K6240" s="15" t="s">
        <v>22</v>
      </c>
    </row>
    <row r="6241" spans="1:11" ht="42" customHeight="1">
      <c r="A6241" s="4" t="s">
        <v>14346</v>
      </c>
      <c r="B6241" s="5" t="s">
        <v>14347</v>
      </c>
      <c r="C6241" s="5" t="s">
        <v>17</v>
      </c>
      <c r="D6241" s="5" t="s">
        <v>18</v>
      </c>
      <c r="E6241" s="5" t="s">
        <v>649</v>
      </c>
      <c r="F6241" s="9">
        <v>7</v>
      </c>
      <c r="G6241" s="9">
        <v>80</v>
      </c>
      <c r="H6241" s="5" t="s">
        <v>20</v>
      </c>
      <c r="I6241" s="5" t="s">
        <v>14348</v>
      </c>
      <c r="J6241" s="12" t="str">
        <f>HYPERLINK("https://www.boe.es/gazeta/dias/1805/01/22/pdfs/GMD-1805-7.pdf#page=12","Abrir facsímil")</f>
        <v>Abrir facsímil</v>
      </c>
      <c r="K6241" s="15" t="s">
        <v>22</v>
      </c>
    </row>
    <row r="6242" spans="1:11" ht="42" customHeight="1">
      <c r="A6242" s="4" t="s">
        <v>14346</v>
      </c>
      <c r="B6242" s="5" t="s">
        <v>14347</v>
      </c>
      <c r="C6242" s="5" t="s">
        <v>184</v>
      </c>
      <c r="D6242" s="5" t="s">
        <v>86</v>
      </c>
      <c r="E6242" s="5" t="s">
        <v>1471</v>
      </c>
      <c r="F6242" s="9">
        <v>34</v>
      </c>
      <c r="G6242" s="9">
        <v>363</v>
      </c>
      <c r="H6242" s="5" t="s">
        <v>20</v>
      </c>
      <c r="I6242" s="5" t="s">
        <v>14349</v>
      </c>
      <c r="J6242" s="12" t="str">
        <f>HYPERLINK("https://www.boe.es/gazeta/dias/1805/04/26/pdfs/GMD-1805-34.pdf#page=7","Abrir facsímil")</f>
        <v>Abrir facsímil</v>
      </c>
      <c r="K6242" s="15" t="s">
        <v>22</v>
      </c>
    </row>
    <row r="6243" spans="1:11" ht="42" customHeight="1">
      <c r="A6243" s="4" t="s">
        <v>14350</v>
      </c>
      <c r="B6243" s="5" t="s">
        <v>14351</v>
      </c>
      <c r="C6243" s="5" t="s">
        <v>17</v>
      </c>
      <c r="D6243" s="5" t="s">
        <v>18</v>
      </c>
      <c r="E6243" s="5" t="s">
        <v>290</v>
      </c>
      <c r="F6243" s="9">
        <v>36</v>
      </c>
      <c r="G6243" s="9">
        <v>391</v>
      </c>
      <c r="H6243" s="5" t="s">
        <v>20</v>
      </c>
      <c r="I6243" s="5" t="s">
        <v>14352</v>
      </c>
      <c r="J6243" s="12" t="str">
        <f>HYPERLINK("https://www.boe.es/gazeta/dias/1805/05/03/pdfs/GMD-1805-36.pdf#page=11","Abrir facsímil")</f>
        <v>Abrir facsímil</v>
      </c>
      <c r="K6243" s="15" t="s">
        <v>22</v>
      </c>
    </row>
    <row r="6244" spans="1:11" ht="42" customHeight="1">
      <c r="A6244" s="4" t="s">
        <v>14353</v>
      </c>
      <c r="B6244" s="5" t="s">
        <v>14354</v>
      </c>
      <c r="C6244" s="5" t="s">
        <v>29</v>
      </c>
      <c r="D6244" s="5" t="s">
        <v>30</v>
      </c>
      <c r="E6244" s="5" t="s">
        <v>506</v>
      </c>
      <c r="F6244" s="9">
        <v>80</v>
      </c>
      <c r="G6244" s="9">
        <v>852</v>
      </c>
      <c r="H6244" s="5" t="s">
        <v>20</v>
      </c>
      <c r="I6244" s="5" t="s">
        <v>14355</v>
      </c>
      <c r="J6244" s="12" t="str">
        <f>HYPERLINK("https://www.boe.es/gazeta/dias/1805/10/04/pdfs/GMD-1805-80.pdf#page=12","Abrir facsímil")</f>
        <v>Abrir facsímil</v>
      </c>
      <c r="K6244" s="15" t="s">
        <v>22</v>
      </c>
    </row>
    <row r="6245" spans="1:11" ht="42" customHeight="1">
      <c r="A6245" s="4" t="s">
        <v>14353</v>
      </c>
      <c r="B6245" s="5" t="s">
        <v>14354</v>
      </c>
      <c r="C6245" s="5" t="s">
        <v>29</v>
      </c>
      <c r="D6245" s="5" t="s">
        <v>30</v>
      </c>
      <c r="E6245" s="5" t="s">
        <v>512</v>
      </c>
      <c r="F6245" s="9">
        <v>100</v>
      </c>
      <c r="G6245" s="9">
        <v>1083</v>
      </c>
      <c r="H6245" s="5" t="s">
        <v>20</v>
      </c>
      <c r="I6245" s="5" t="s">
        <v>14356</v>
      </c>
      <c r="J6245" s="12" t="str">
        <f>HYPERLINK("https://www.boe.es/gazeta/dias/1805/12/13/pdfs/GMD-1805-100.pdf#page=11","Abrir facsímil")</f>
        <v>Abrir facsímil</v>
      </c>
      <c r="K6245" s="15" t="s">
        <v>22</v>
      </c>
    </row>
    <row r="6246" spans="1:11" ht="42" customHeight="1">
      <c r="A6246" s="4" t="s">
        <v>14357</v>
      </c>
      <c r="B6246" s="5" t="s">
        <v>14358</v>
      </c>
      <c r="C6246" s="5" t="s">
        <v>35</v>
      </c>
      <c r="D6246" s="5" t="s">
        <v>36</v>
      </c>
      <c r="E6246" s="5" t="s">
        <v>539</v>
      </c>
      <c r="F6246" s="9">
        <v>97</v>
      </c>
      <c r="G6246" s="9">
        <v>1044</v>
      </c>
      <c r="H6246" s="5" t="s">
        <v>20</v>
      </c>
      <c r="I6246" s="5" t="s">
        <v>14359</v>
      </c>
      <c r="J6246" s="12" t="str">
        <f>HYPERLINK("https://www.boe.es/gazeta/dias/1805/12/03/pdfs/GMD-1805-97.pdf#page=8","Abrir facsímil")</f>
        <v>Abrir facsímil</v>
      </c>
      <c r="K6246" s="15" t="s">
        <v>22</v>
      </c>
    </row>
    <row r="6247" spans="1:11" ht="42" customHeight="1">
      <c r="A6247" s="4" t="s">
        <v>14360</v>
      </c>
      <c r="B6247" s="5" t="s">
        <v>14361</v>
      </c>
      <c r="C6247" s="5" t="s">
        <v>17</v>
      </c>
      <c r="D6247" s="5" t="s">
        <v>18</v>
      </c>
      <c r="E6247" s="5" t="s">
        <v>290</v>
      </c>
      <c r="F6247" s="9">
        <v>36</v>
      </c>
      <c r="G6247" s="9">
        <v>389</v>
      </c>
      <c r="H6247" s="5" t="s">
        <v>20</v>
      </c>
      <c r="I6247" s="5" t="s">
        <v>14362</v>
      </c>
      <c r="J6247" s="12" t="str">
        <f>HYPERLINK("https://www.boe.es/gazeta/dias/1805/05/03/pdfs/GMD-1805-36.pdf#page=9","Abrir facsímil")</f>
        <v>Abrir facsímil</v>
      </c>
      <c r="K6247" s="15" t="s">
        <v>22</v>
      </c>
    </row>
    <row r="6248" spans="1:11" ht="42" customHeight="1">
      <c r="A6248" s="4" t="s">
        <v>14363</v>
      </c>
      <c r="B6248" s="5" t="s">
        <v>14364</v>
      </c>
      <c r="C6248" s="5" t="s">
        <v>17</v>
      </c>
      <c r="D6248" s="5" t="s">
        <v>18</v>
      </c>
      <c r="E6248" s="5" t="s">
        <v>31</v>
      </c>
      <c r="F6248" s="9">
        <v>65</v>
      </c>
      <c r="G6248" s="9">
        <v>697</v>
      </c>
      <c r="H6248" s="5" t="s">
        <v>20</v>
      </c>
      <c r="I6248" s="5" t="s">
        <v>14365</v>
      </c>
      <c r="J6248" s="12" t="str">
        <f>HYPERLINK("https://www.boe.es/gazeta/dias/1805/08/13/pdfs/GMD-1805-65.pdf#page=9","Abrir facsímil")</f>
        <v>Abrir facsímil</v>
      </c>
      <c r="K6248" s="15" t="s">
        <v>22</v>
      </c>
    </row>
    <row r="6249" spans="1:11" ht="42" customHeight="1">
      <c r="A6249" s="4" t="s">
        <v>14366</v>
      </c>
      <c r="B6249" s="5" t="s">
        <v>14367</v>
      </c>
      <c r="C6249" s="5" t="s">
        <v>35</v>
      </c>
      <c r="D6249" s="5" t="s">
        <v>36</v>
      </c>
      <c r="E6249" s="5" t="s">
        <v>138</v>
      </c>
      <c r="F6249" s="9">
        <v>102</v>
      </c>
      <c r="G6249" s="9">
        <v>1104</v>
      </c>
      <c r="H6249" s="5" t="s">
        <v>20</v>
      </c>
      <c r="I6249" s="5" t="s">
        <v>14368</v>
      </c>
      <c r="J6249" s="12" t="str">
        <f>HYPERLINK("https://www.boe.es/gazeta/dias/1805/12/20/pdfs/GMD-1805-102.pdf#page=8","Abrir facsímil")</f>
        <v>Abrir facsímil</v>
      </c>
      <c r="K6249" s="15" t="s">
        <v>22</v>
      </c>
    </row>
    <row r="6250" spans="1:11" ht="42" customHeight="1">
      <c r="A6250" s="4" t="s">
        <v>14369</v>
      </c>
      <c r="B6250" s="5" t="s">
        <v>14370</v>
      </c>
      <c r="C6250" s="5" t="s">
        <v>35</v>
      </c>
      <c r="D6250" s="5" t="s">
        <v>36</v>
      </c>
      <c r="E6250" s="5" t="s">
        <v>649</v>
      </c>
      <c r="F6250" s="9">
        <v>7</v>
      </c>
      <c r="G6250" s="9">
        <v>74</v>
      </c>
      <c r="H6250" s="5" t="s">
        <v>20</v>
      </c>
      <c r="I6250" s="5" t="s">
        <v>14371</v>
      </c>
      <c r="J6250" s="12" t="str">
        <f>HYPERLINK("https://www.boe.es/gazeta/dias/1805/01/22/pdfs/GMD-1805-7.pdf#page=6","Abrir facsímil")</f>
        <v>Abrir facsímil</v>
      </c>
      <c r="K6250" s="15" t="s">
        <v>22</v>
      </c>
    </row>
    <row r="6251" spans="1:11" ht="42" customHeight="1">
      <c r="A6251" s="4" t="s">
        <v>14372</v>
      </c>
      <c r="B6251" s="5" t="s">
        <v>14373</v>
      </c>
      <c r="C6251" s="5" t="s">
        <v>35</v>
      </c>
      <c r="D6251" s="5" t="s">
        <v>36</v>
      </c>
      <c r="E6251" s="5" t="s">
        <v>399</v>
      </c>
      <c r="F6251" s="9">
        <v>39</v>
      </c>
      <c r="G6251" s="9">
        <v>422</v>
      </c>
      <c r="H6251" s="5" t="s">
        <v>20</v>
      </c>
      <c r="I6251" s="5" t="s">
        <v>14374</v>
      </c>
      <c r="J6251" s="12" t="str">
        <f>HYPERLINK("https://www.boe.es/gazeta/dias/1805/05/14/pdfs/GMD-1805-39.pdf#page=10","Abrir facsímil")</f>
        <v>Abrir facsímil</v>
      </c>
      <c r="K6251" s="15" t="s">
        <v>22</v>
      </c>
    </row>
    <row r="6252" spans="1:11" ht="42" customHeight="1">
      <c r="A6252" s="4" t="s">
        <v>14375</v>
      </c>
      <c r="B6252" s="5" t="s">
        <v>14375</v>
      </c>
      <c r="C6252" s="5" t="s">
        <v>80</v>
      </c>
      <c r="D6252" s="5" t="s">
        <v>81</v>
      </c>
      <c r="E6252" s="5" t="s">
        <v>1221</v>
      </c>
      <c r="F6252" s="9">
        <v>41</v>
      </c>
      <c r="G6252" s="9">
        <v>437</v>
      </c>
      <c r="H6252" s="5" t="s">
        <v>20</v>
      </c>
      <c r="I6252" s="5" t="s">
        <v>14376</v>
      </c>
      <c r="J6252" s="12" t="str">
        <f>HYPERLINK("https://www.boe.es/gazeta/dias/1805/05/21/pdfs/GMD-1805-41.pdf#page=5","Abrir facsímil")</f>
        <v>Abrir facsímil</v>
      </c>
      <c r="K6252" s="15" t="s">
        <v>22</v>
      </c>
    </row>
    <row r="6253" spans="1:11" ht="42" customHeight="1">
      <c r="A6253" s="4" t="s">
        <v>14377</v>
      </c>
      <c r="B6253" s="5" t="s">
        <v>14378</v>
      </c>
      <c r="C6253" s="5" t="s">
        <v>85</v>
      </c>
      <c r="D6253" s="5" t="s">
        <v>86</v>
      </c>
      <c r="E6253" s="5" t="s">
        <v>440</v>
      </c>
      <c r="F6253" s="9">
        <v>27</v>
      </c>
      <c r="G6253" s="9">
        <v>288</v>
      </c>
      <c r="H6253" s="5" t="s">
        <v>20</v>
      </c>
      <c r="I6253" s="5" t="s">
        <v>14379</v>
      </c>
      <c r="J6253" s="12" t="str">
        <f>HYPERLINK("https://www.boe.es/gazeta/dias/1805/04/02/pdfs/GMD-1805-27.pdf#page=8","Abrir facsímil")</f>
        <v>Abrir facsímil</v>
      </c>
      <c r="K6253" s="15" t="s">
        <v>22</v>
      </c>
    </row>
    <row r="6254" spans="1:11" ht="42" customHeight="1">
      <c r="A6254" s="4" t="s">
        <v>14380</v>
      </c>
      <c r="B6254" s="5" t="s">
        <v>14381</v>
      </c>
      <c r="C6254" s="5" t="s">
        <v>35</v>
      </c>
      <c r="D6254" s="5" t="s">
        <v>36</v>
      </c>
      <c r="E6254" s="5" t="s">
        <v>226</v>
      </c>
      <c r="F6254" s="9">
        <v>73</v>
      </c>
      <c r="G6254" s="9">
        <v>774</v>
      </c>
      <c r="H6254" s="5" t="s">
        <v>20</v>
      </c>
      <c r="I6254" s="5" t="s">
        <v>14382</v>
      </c>
      <c r="J6254" s="12" t="str">
        <f>HYPERLINK("https://www.boe.es/gazeta/dias/1805/09/10/pdfs/GMD-1805-73.pdf#page=6","Abrir facsímil")</f>
        <v>Abrir facsímil</v>
      </c>
      <c r="K6254" s="15" t="s">
        <v>22</v>
      </c>
    </row>
    <row r="6255" spans="1:11" ht="42" customHeight="1">
      <c r="A6255" s="4" t="s">
        <v>14383</v>
      </c>
      <c r="B6255" s="5" t="s">
        <v>14384</v>
      </c>
      <c r="C6255" s="5" t="s">
        <v>35</v>
      </c>
      <c r="D6255" s="5" t="s">
        <v>36</v>
      </c>
      <c r="E6255" s="5" t="s">
        <v>215</v>
      </c>
      <c r="F6255" s="9">
        <v>87</v>
      </c>
      <c r="G6255" s="9">
        <v>922</v>
      </c>
      <c r="H6255" s="5" t="s">
        <v>20</v>
      </c>
      <c r="I6255" s="5" t="s">
        <v>14385</v>
      </c>
      <c r="J6255" s="12" t="str">
        <f>HYPERLINK("https://www.boe.es/gazeta/dias/1805/10/29/pdfs/GMD-1805-87.pdf#page=6","Abrir facsímil")</f>
        <v>Abrir facsímil</v>
      </c>
      <c r="K6255" s="15" t="s">
        <v>22</v>
      </c>
    </row>
    <row r="6256" spans="1:11" ht="42" customHeight="1">
      <c r="A6256" s="4" t="s">
        <v>14386</v>
      </c>
      <c r="B6256" s="5" t="s">
        <v>14387</v>
      </c>
      <c r="C6256" s="5" t="s">
        <v>35</v>
      </c>
      <c r="D6256" s="5" t="s">
        <v>36</v>
      </c>
      <c r="E6256" s="5" t="s">
        <v>669</v>
      </c>
      <c r="F6256" s="9">
        <v>84</v>
      </c>
      <c r="G6256" s="9">
        <v>887</v>
      </c>
      <c r="H6256" s="5" t="s">
        <v>20</v>
      </c>
      <c r="I6256" s="5" t="s">
        <v>14388</v>
      </c>
      <c r="J6256" s="12" t="str">
        <f>HYPERLINK("https://www.boe.es/gazeta/dias/1805/10/18/pdfs/GMD-1805-84.pdf#page=3","Abrir facsímil")</f>
        <v>Abrir facsímil</v>
      </c>
      <c r="K6256" s="15" t="s">
        <v>22</v>
      </c>
    </row>
    <row r="6257" spans="1:11" ht="42" customHeight="1">
      <c r="A6257" s="4" t="s">
        <v>14389</v>
      </c>
      <c r="B6257" s="5" t="s">
        <v>14390</v>
      </c>
      <c r="C6257" s="5" t="s">
        <v>17</v>
      </c>
      <c r="D6257" s="5" t="s">
        <v>18</v>
      </c>
      <c r="E6257" s="5" t="s">
        <v>71</v>
      </c>
      <c r="F6257" s="9">
        <v>33</v>
      </c>
      <c r="G6257" s="9">
        <v>352</v>
      </c>
      <c r="H6257" s="5" t="s">
        <v>20</v>
      </c>
      <c r="I6257" s="5" t="s">
        <v>14391</v>
      </c>
      <c r="J6257" s="12" t="str">
        <f>HYPERLINK("https://www.boe.es/gazeta/dias/1805/04/23/pdfs/GMD-1805-33.pdf#page=8","Abrir facsímil")</f>
        <v>Abrir facsímil</v>
      </c>
      <c r="K6257" s="15" t="s">
        <v>22</v>
      </c>
    </row>
    <row r="6258" spans="1:11" ht="42" customHeight="1">
      <c r="A6258" s="4" t="s">
        <v>14392</v>
      </c>
      <c r="B6258" s="5" t="s">
        <v>14393</v>
      </c>
      <c r="C6258" s="5" t="s">
        <v>35</v>
      </c>
      <c r="D6258" s="5" t="s">
        <v>36</v>
      </c>
      <c r="E6258" s="5" t="s">
        <v>276</v>
      </c>
      <c r="F6258" s="9">
        <v>51</v>
      </c>
      <c r="G6258" s="9">
        <v>551</v>
      </c>
      <c r="H6258" s="5" t="s">
        <v>20</v>
      </c>
      <c r="I6258" s="5" t="s">
        <v>14394</v>
      </c>
      <c r="J6258" s="12" t="str">
        <f>HYPERLINK("https://www.boe.es/gazeta/dias/1805/06/25/pdfs/GMD-1805-51.pdf#page=7","Abrir facsímil")</f>
        <v>Abrir facsímil</v>
      </c>
      <c r="K6258" s="15" t="s">
        <v>22</v>
      </c>
    </row>
    <row r="6259" spans="1:11" ht="42" customHeight="1">
      <c r="A6259" s="4" t="s">
        <v>14395</v>
      </c>
      <c r="B6259" s="5" t="s">
        <v>14396</v>
      </c>
      <c r="C6259" s="5" t="s">
        <v>35</v>
      </c>
      <c r="D6259" s="5" t="s">
        <v>36</v>
      </c>
      <c r="E6259" s="5" t="s">
        <v>76</v>
      </c>
      <c r="F6259" s="9">
        <v>66</v>
      </c>
      <c r="G6259" s="9">
        <v>708</v>
      </c>
      <c r="H6259" s="5" t="s">
        <v>20</v>
      </c>
      <c r="I6259" s="5" t="s">
        <v>14397</v>
      </c>
      <c r="J6259" s="12" t="str">
        <f>HYPERLINK("https://www.boe.es/gazeta/dias/1805/08/16/pdfs/GMD-1805-66.pdf#page=8","Abrir facsímil")</f>
        <v>Abrir facsímil</v>
      </c>
      <c r="K6259" s="15" t="s">
        <v>22</v>
      </c>
    </row>
    <row r="6260" spans="1:11" ht="42" customHeight="1">
      <c r="A6260" s="4" t="s">
        <v>14398</v>
      </c>
      <c r="B6260" s="5" t="s">
        <v>14399</v>
      </c>
      <c r="C6260" s="5" t="s">
        <v>35</v>
      </c>
      <c r="D6260" s="5" t="s">
        <v>36</v>
      </c>
      <c r="E6260" s="5" t="s">
        <v>103</v>
      </c>
      <c r="F6260" s="9">
        <v>30</v>
      </c>
      <c r="G6260" s="9">
        <v>323</v>
      </c>
      <c r="H6260" s="5" t="s">
        <v>20</v>
      </c>
      <c r="I6260" s="5" t="s">
        <v>14400</v>
      </c>
      <c r="J6260" s="12" t="str">
        <f>HYPERLINK("https://www.boe.es/gazeta/dias/1805/04/12/pdfs/GMD-1805-30.pdf#page=7","Abrir facsímil")</f>
        <v>Abrir facsímil</v>
      </c>
      <c r="K6260" s="15" t="s">
        <v>22</v>
      </c>
    </row>
    <row r="6261" spans="1:11" ht="42" customHeight="1">
      <c r="A6261" s="4" t="s">
        <v>14401</v>
      </c>
      <c r="B6261" s="5" t="s">
        <v>14402</v>
      </c>
      <c r="C6261" s="5" t="s">
        <v>29</v>
      </c>
      <c r="D6261" s="5" t="s">
        <v>30</v>
      </c>
      <c r="E6261" s="5" t="s">
        <v>1445</v>
      </c>
      <c r="F6261" s="9">
        <v>6</v>
      </c>
      <c r="G6261" s="9">
        <v>67</v>
      </c>
      <c r="H6261" s="5" t="s">
        <v>20</v>
      </c>
      <c r="I6261" s="5" t="s">
        <v>14403</v>
      </c>
      <c r="J6261" s="12" t="str">
        <f>HYPERLINK("https://www.boe.es/gazeta/dias/1805/01/18/pdfs/GMD-1805-6.pdf#page=11","Abrir facsímil")</f>
        <v>Abrir facsímil</v>
      </c>
      <c r="K6261" s="15" t="s">
        <v>22</v>
      </c>
    </row>
    <row r="6262" spans="1:11" ht="42" customHeight="1">
      <c r="A6262" s="4" t="s">
        <v>14404</v>
      </c>
      <c r="B6262" s="5" t="s">
        <v>14405</v>
      </c>
      <c r="C6262" s="5" t="s">
        <v>35</v>
      </c>
      <c r="D6262" s="5" t="s">
        <v>36</v>
      </c>
      <c r="E6262" s="5" t="s">
        <v>27</v>
      </c>
      <c r="F6262" s="9">
        <v>37</v>
      </c>
      <c r="G6262" s="9">
        <v>400</v>
      </c>
      <c r="H6262" s="5" t="s">
        <v>20</v>
      </c>
      <c r="I6262" s="5" t="s">
        <v>14406</v>
      </c>
      <c r="J6262" s="12" t="str">
        <f>HYPERLINK("https://www.boe.es/gazeta/dias/1805/05/07/pdfs/GMD-1805-37.pdf#page=8","Abrir facsímil")</f>
        <v>Abrir facsímil</v>
      </c>
      <c r="K6262" s="15" t="s">
        <v>22</v>
      </c>
    </row>
    <row r="6263" spans="1:11" ht="42" customHeight="1">
      <c r="A6263" s="4" t="s">
        <v>14407</v>
      </c>
      <c r="B6263" s="5" t="s">
        <v>14408</v>
      </c>
      <c r="C6263" s="5" t="s">
        <v>80</v>
      </c>
      <c r="D6263" s="5" t="s">
        <v>81</v>
      </c>
      <c r="E6263" s="5" t="s">
        <v>585</v>
      </c>
      <c r="F6263" s="9">
        <v>64</v>
      </c>
      <c r="G6263" s="9">
        <v>677</v>
      </c>
      <c r="H6263" s="5" t="s">
        <v>20</v>
      </c>
      <c r="I6263" s="5" t="s">
        <v>14409</v>
      </c>
      <c r="J6263" s="12" t="str">
        <f>HYPERLINK("https://www.boe.es/gazeta/dias/1805/08/09/pdfs/GMD-1805-64.pdf#page=1","Abrir facsímil")</f>
        <v>Abrir facsímil</v>
      </c>
      <c r="K6263" s="15" t="s">
        <v>22</v>
      </c>
    </row>
    <row r="6264" spans="1:11" ht="42" customHeight="1">
      <c r="A6264" s="4" t="s">
        <v>14407</v>
      </c>
      <c r="B6264" s="5" t="s">
        <v>14408</v>
      </c>
      <c r="C6264" s="5" t="s">
        <v>80</v>
      </c>
      <c r="D6264" s="5" t="s">
        <v>81</v>
      </c>
      <c r="E6264" s="5" t="s">
        <v>31</v>
      </c>
      <c r="F6264" s="9">
        <v>65</v>
      </c>
      <c r="G6264" s="9">
        <v>691</v>
      </c>
      <c r="H6264" s="5" t="s">
        <v>20</v>
      </c>
      <c r="I6264" s="5" t="s">
        <v>14410</v>
      </c>
      <c r="J6264" s="12" t="str">
        <f>HYPERLINK("https://www.boe.es/gazeta/dias/1805/08/13/pdfs/GMD-1805-65.pdf#page=3","Abrir facsímil")</f>
        <v>Abrir facsímil</v>
      </c>
      <c r="K6264" s="15" t="s">
        <v>22</v>
      </c>
    </row>
    <row r="6265" spans="1:11" ht="42" customHeight="1">
      <c r="A6265" s="4" t="s">
        <v>14411</v>
      </c>
      <c r="B6265" s="5" t="s">
        <v>14412</v>
      </c>
      <c r="C6265" s="5" t="s">
        <v>35</v>
      </c>
      <c r="D6265" s="5" t="s">
        <v>36</v>
      </c>
      <c r="E6265" s="5" t="s">
        <v>904</v>
      </c>
      <c r="F6265" s="9">
        <v>47</v>
      </c>
      <c r="G6265" s="9">
        <v>510</v>
      </c>
      <c r="H6265" s="5" t="s">
        <v>20</v>
      </c>
      <c r="I6265" s="5" t="s">
        <v>14413</v>
      </c>
      <c r="J6265" s="12" t="str">
        <f>HYPERLINK("https://www.boe.es/gazeta/dias/1805/06/11/pdfs/GMD-1805-47.pdf#page=10","Abrir facsímil")</f>
        <v>Abrir facsímil</v>
      </c>
      <c r="K6265" s="15" t="s">
        <v>22</v>
      </c>
    </row>
    <row r="6266" spans="1:11" ht="42" customHeight="1">
      <c r="A6266" s="4" t="s">
        <v>14414</v>
      </c>
      <c r="B6266" s="5" t="s">
        <v>14415</v>
      </c>
      <c r="C6266" s="5" t="s">
        <v>17</v>
      </c>
      <c r="D6266" s="5" t="s">
        <v>18</v>
      </c>
      <c r="E6266" s="5" t="s">
        <v>711</v>
      </c>
      <c r="F6266" s="9">
        <v>63</v>
      </c>
      <c r="G6266" s="9">
        <v>676</v>
      </c>
      <c r="H6266" s="5" t="s">
        <v>20</v>
      </c>
      <c r="I6266" s="5" t="s">
        <v>14416</v>
      </c>
      <c r="J6266" s="12" t="str">
        <f>HYPERLINK("https://www.boe.es/gazeta/dias/1805/08/06/pdfs/GMD-1805-63.pdf#page=12","Abrir facsímil")</f>
        <v>Abrir facsímil</v>
      </c>
      <c r="K6266" s="15" t="s">
        <v>22</v>
      </c>
    </row>
    <row r="6267" spans="1:11" ht="42" customHeight="1">
      <c r="A6267" s="4" t="s">
        <v>14417</v>
      </c>
      <c r="B6267" s="5" t="s">
        <v>14417</v>
      </c>
      <c r="C6267" s="5" t="s">
        <v>17</v>
      </c>
      <c r="D6267" s="5" t="s">
        <v>18</v>
      </c>
      <c r="E6267" s="5" t="s">
        <v>335</v>
      </c>
      <c r="F6267" s="9">
        <v>79</v>
      </c>
      <c r="G6267" s="9">
        <v>839</v>
      </c>
      <c r="H6267" s="5" t="s">
        <v>20</v>
      </c>
      <c r="I6267" s="5" t="s">
        <v>14418</v>
      </c>
      <c r="J6267" s="12" t="str">
        <f>HYPERLINK("https://www.boe.es/gazeta/dias/1805/10/01/pdfs/GMD-1805-79.pdf#page=11","Abrir facsímil")</f>
        <v>Abrir facsímil</v>
      </c>
      <c r="K6267" s="15" t="s">
        <v>22</v>
      </c>
    </row>
    <row r="6268" spans="1:11" ht="42" customHeight="1">
      <c r="A6268" s="4" t="s">
        <v>14419</v>
      </c>
      <c r="B6268" s="5" t="s">
        <v>14419</v>
      </c>
      <c r="C6268" s="5" t="s">
        <v>85</v>
      </c>
      <c r="D6268" s="5" t="s">
        <v>86</v>
      </c>
      <c r="E6268" s="5" t="s">
        <v>128</v>
      </c>
      <c r="F6268" s="9">
        <v>23</v>
      </c>
      <c r="G6268" s="9">
        <v>246</v>
      </c>
      <c r="H6268" s="5" t="s">
        <v>20</v>
      </c>
      <c r="I6268" s="5" t="s">
        <v>14420</v>
      </c>
      <c r="J6268" s="12" t="str">
        <f>HYPERLINK("https://www.boe.es/gazeta/dias/1805/03/19/pdfs/GMD-1805-23.pdf#page=10","Abrir facsímil")</f>
        <v>Abrir facsímil</v>
      </c>
      <c r="K6268" s="15" t="s">
        <v>22</v>
      </c>
    </row>
    <row r="6269" spans="1:11" ht="42" customHeight="1">
      <c r="A6269" s="4" t="s">
        <v>14421</v>
      </c>
      <c r="B6269" s="5" t="s">
        <v>14422</v>
      </c>
      <c r="C6269" s="5" t="s">
        <v>35</v>
      </c>
      <c r="D6269" s="5" t="s">
        <v>36</v>
      </c>
      <c r="E6269" s="5" t="s">
        <v>163</v>
      </c>
      <c r="F6269" s="9">
        <v>77</v>
      </c>
      <c r="G6269" s="9">
        <v>817</v>
      </c>
      <c r="H6269" s="5" t="s">
        <v>20</v>
      </c>
      <c r="I6269" s="5" t="s">
        <v>14423</v>
      </c>
      <c r="J6269" s="12" t="str">
        <f>HYPERLINK("https://www.boe.es/gazeta/dias/1805/09/24/pdfs/GMD-1805-77.pdf#page=9","Abrir facsímil")</f>
        <v>Abrir facsímil</v>
      </c>
      <c r="K6269" s="15" t="s">
        <v>22</v>
      </c>
    </row>
    <row r="6270" spans="1:11" ht="42" customHeight="1">
      <c r="A6270" s="4" t="s">
        <v>14424</v>
      </c>
      <c r="B6270" s="5" t="s">
        <v>14425</v>
      </c>
      <c r="C6270" s="5" t="s">
        <v>17</v>
      </c>
      <c r="D6270" s="5" t="s">
        <v>18</v>
      </c>
      <c r="E6270" s="5" t="s">
        <v>107</v>
      </c>
      <c r="F6270" s="9">
        <v>19</v>
      </c>
      <c r="G6270" s="9">
        <v>199</v>
      </c>
      <c r="H6270" s="5" t="s">
        <v>20</v>
      </c>
      <c r="I6270" s="5" t="s">
        <v>14426</v>
      </c>
      <c r="J6270" s="12" t="str">
        <f>HYPERLINK("https://www.boe.es/gazeta/dias/1805/03/05/pdfs/GMD-1805-19.pdf#page=11","Abrir facsímil")</f>
        <v>Abrir facsímil</v>
      </c>
      <c r="K6270" s="15" t="s">
        <v>22</v>
      </c>
    </row>
    <row r="6271" spans="1:11" ht="42" customHeight="1">
      <c r="A6271" s="4" t="s">
        <v>14427</v>
      </c>
      <c r="B6271" s="5" t="s">
        <v>14428</v>
      </c>
      <c r="C6271" s="5" t="s">
        <v>35</v>
      </c>
      <c r="D6271" s="5" t="s">
        <v>36</v>
      </c>
      <c r="E6271" s="5" t="s">
        <v>91</v>
      </c>
      <c r="F6271" s="9">
        <v>28</v>
      </c>
      <c r="G6271" s="9">
        <v>300</v>
      </c>
      <c r="H6271" s="5" t="s">
        <v>20</v>
      </c>
      <c r="I6271" s="5" t="s">
        <v>14429</v>
      </c>
      <c r="J6271" s="12" t="str">
        <f>HYPERLINK("https://www.boe.es/gazeta/dias/1805/04/05/pdfs/GMD-1805-28.pdf#page=8","Abrir facsímil")</f>
        <v>Abrir facsímil</v>
      </c>
      <c r="K6271" s="15" t="s">
        <v>22</v>
      </c>
    </row>
    <row r="6272" spans="1:11" ht="42" customHeight="1">
      <c r="A6272" s="4" t="s">
        <v>14430</v>
      </c>
      <c r="B6272" s="5" t="s">
        <v>14431</v>
      </c>
      <c r="C6272" s="5" t="s">
        <v>17</v>
      </c>
      <c r="D6272" s="5" t="s">
        <v>18</v>
      </c>
      <c r="E6272" s="5" t="s">
        <v>24</v>
      </c>
      <c r="F6272" s="9">
        <v>11</v>
      </c>
      <c r="G6272" s="9">
        <v>114</v>
      </c>
      <c r="H6272" s="5" t="s">
        <v>20</v>
      </c>
      <c r="I6272" s="5" t="s">
        <v>14432</v>
      </c>
      <c r="J6272" s="12" t="str">
        <f>HYPERLINK("https://www.boe.es/gazeta/dias/1805/02/05/pdfs/GMD-1805-11.pdf#page=2","Abrir facsímil")</f>
        <v>Abrir facsímil</v>
      </c>
      <c r="K6272" s="15" t="s">
        <v>22</v>
      </c>
    </row>
    <row r="6273" spans="1:11" ht="42" customHeight="1">
      <c r="A6273" s="4" t="s">
        <v>14433</v>
      </c>
      <c r="B6273" s="5" t="s">
        <v>14434</v>
      </c>
      <c r="C6273" s="5" t="s">
        <v>17</v>
      </c>
      <c r="D6273" s="5" t="s">
        <v>18</v>
      </c>
      <c r="E6273" s="5" t="s">
        <v>24</v>
      </c>
      <c r="F6273" s="9">
        <v>11</v>
      </c>
      <c r="G6273" s="9">
        <v>115</v>
      </c>
      <c r="H6273" s="5" t="s">
        <v>20</v>
      </c>
      <c r="I6273" s="5" t="s">
        <v>14435</v>
      </c>
      <c r="J6273" s="12" t="str">
        <f>HYPERLINK("https://www.boe.es/gazeta/dias/1805/02/05/pdfs/GMD-1805-11.pdf#page=3","Abrir facsímil")</f>
        <v>Abrir facsímil</v>
      </c>
      <c r="K6273" s="15" t="s">
        <v>22</v>
      </c>
    </row>
    <row r="6274" spans="1:11" ht="42" customHeight="1">
      <c r="A6274" s="4" t="s">
        <v>14433</v>
      </c>
      <c r="B6274" s="5" t="s">
        <v>14434</v>
      </c>
      <c r="C6274" s="5" t="s">
        <v>35</v>
      </c>
      <c r="D6274" s="5" t="s">
        <v>36</v>
      </c>
      <c r="E6274" s="5" t="s">
        <v>399</v>
      </c>
      <c r="F6274" s="9">
        <v>39</v>
      </c>
      <c r="G6274" s="9">
        <v>414</v>
      </c>
      <c r="H6274" s="5" t="s">
        <v>20</v>
      </c>
      <c r="I6274" s="5" t="s">
        <v>14436</v>
      </c>
      <c r="J6274" s="12" t="str">
        <f>HYPERLINK("https://www.boe.es/gazeta/dias/1805/05/14/pdfs/GMD-1805-39.pdf#page=2","Abrir facsímil")</f>
        <v>Abrir facsímil</v>
      </c>
      <c r="K6274" s="15" t="s">
        <v>22</v>
      </c>
    </row>
    <row r="6275" spans="1:11" ht="42" customHeight="1">
      <c r="A6275" s="4" t="s">
        <v>14433</v>
      </c>
      <c r="B6275" s="5" t="s">
        <v>14434</v>
      </c>
      <c r="C6275" s="5" t="s">
        <v>80</v>
      </c>
      <c r="D6275" s="5" t="s">
        <v>81</v>
      </c>
      <c r="E6275" s="5" t="s">
        <v>300</v>
      </c>
      <c r="F6275" s="9">
        <v>81</v>
      </c>
      <c r="G6275" s="9">
        <v>853</v>
      </c>
      <c r="H6275" s="5" t="s">
        <v>20</v>
      </c>
      <c r="I6275" s="5" t="s">
        <v>14437</v>
      </c>
      <c r="J6275" s="12" t="str">
        <f>HYPERLINK("https://www.boe.es/gazeta/dias/1805/10/08/pdfs/GMD-1805-81.pdf#page=1","Abrir facsímil")</f>
        <v>Abrir facsímil</v>
      </c>
      <c r="K6275" s="15" t="s">
        <v>22</v>
      </c>
    </row>
    <row r="6276" spans="1:11" ht="42" customHeight="1">
      <c r="A6276" s="4" t="s">
        <v>14438</v>
      </c>
      <c r="B6276" s="5" t="s">
        <v>14439</v>
      </c>
      <c r="C6276" s="5" t="s">
        <v>35</v>
      </c>
      <c r="D6276" s="5" t="s">
        <v>36</v>
      </c>
      <c r="E6276" s="5" t="s">
        <v>170</v>
      </c>
      <c r="F6276" s="9">
        <v>9</v>
      </c>
      <c r="G6276" s="9">
        <v>94</v>
      </c>
      <c r="H6276" s="5" t="s">
        <v>20</v>
      </c>
      <c r="I6276" s="5" t="s">
        <v>14440</v>
      </c>
      <c r="J6276" s="12" t="str">
        <f>HYPERLINK("https://www.boe.es/gazeta/dias/1805/01/29/pdfs/GMD-1805-9.pdf#page=2","Abrir facsímil")</f>
        <v>Abrir facsímil</v>
      </c>
      <c r="K6276" s="15" t="s">
        <v>22</v>
      </c>
    </row>
    <row r="6277" spans="1:11" ht="42" customHeight="1">
      <c r="A6277" s="4" t="s">
        <v>14441</v>
      </c>
      <c r="B6277" s="5" t="s">
        <v>14442</v>
      </c>
      <c r="C6277" s="5" t="s">
        <v>17</v>
      </c>
      <c r="D6277" s="5" t="s">
        <v>18</v>
      </c>
      <c r="E6277" s="5" t="s">
        <v>426</v>
      </c>
      <c r="F6277" s="9">
        <v>75</v>
      </c>
      <c r="G6277" s="9">
        <v>799</v>
      </c>
      <c r="H6277" s="5" t="s">
        <v>20</v>
      </c>
      <c r="I6277" s="5" t="s">
        <v>14443</v>
      </c>
      <c r="J6277" s="12" t="str">
        <f>HYPERLINK("https://www.boe.es/gazeta/dias/1805/09/17/pdfs/GMD-1805-75.pdf#page=11","Abrir facsímil")</f>
        <v>Abrir facsímil</v>
      </c>
      <c r="K6277" s="15" t="s">
        <v>22</v>
      </c>
    </row>
    <row r="6278" spans="1:11" ht="42" customHeight="1">
      <c r="A6278" s="4" t="s">
        <v>14444</v>
      </c>
      <c r="B6278" s="5" t="s">
        <v>14445</v>
      </c>
      <c r="C6278" s="5" t="s">
        <v>35</v>
      </c>
      <c r="D6278" s="5" t="s">
        <v>36</v>
      </c>
      <c r="E6278" s="5" t="s">
        <v>226</v>
      </c>
      <c r="F6278" s="9">
        <v>73</v>
      </c>
      <c r="G6278" s="9">
        <v>774</v>
      </c>
      <c r="H6278" s="5" t="s">
        <v>20</v>
      </c>
      <c r="I6278" s="5" t="s">
        <v>14446</v>
      </c>
      <c r="J6278" s="12" t="str">
        <f>HYPERLINK("https://www.boe.es/gazeta/dias/1805/09/10/pdfs/GMD-1805-73.pdf#page=6","Abrir facsímil")</f>
        <v>Abrir facsímil</v>
      </c>
      <c r="K6278" s="15" t="s">
        <v>22</v>
      </c>
    </row>
    <row r="6279" spans="1:11" ht="42" customHeight="1">
      <c r="A6279" s="4" t="s">
        <v>14447</v>
      </c>
      <c r="B6279" s="5" t="s">
        <v>14448</v>
      </c>
      <c r="C6279" s="5" t="s">
        <v>17</v>
      </c>
      <c r="D6279" s="5" t="s">
        <v>18</v>
      </c>
      <c r="E6279" s="5" t="s">
        <v>63</v>
      </c>
      <c r="F6279" s="9">
        <v>101</v>
      </c>
      <c r="G6279" s="9">
        <v>1092</v>
      </c>
      <c r="H6279" s="5" t="s">
        <v>20</v>
      </c>
      <c r="I6279" s="5" t="s">
        <v>14449</v>
      </c>
      <c r="J6279" s="12" t="str">
        <f>HYPERLINK("https://www.boe.es/gazeta/dias/1805/12/17/pdfs/GMD-1805-101.pdf#page=8","Abrir facsímil")</f>
        <v>Abrir facsímil</v>
      </c>
      <c r="K6279" s="15" t="s">
        <v>22</v>
      </c>
    </row>
    <row r="6280" spans="1:11" ht="42" customHeight="1">
      <c r="A6280" s="6" t="s">
        <v>14450</v>
      </c>
      <c r="B6280" s="7" t="s">
        <v>14451</v>
      </c>
      <c r="C6280" s="7" t="s">
        <v>35</v>
      </c>
      <c r="D6280" s="7" t="s">
        <v>36</v>
      </c>
      <c r="E6280" s="7" t="s">
        <v>44</v>
      </c>
      <c r="F6280" s="10">
        <v>29</v>
      </c>
      <c r="G6280" s="10">
        <v>313</v>
      </c>
      <c r="H6280" s="7" t="s">
        <v>20</v>
      </c>
      <c r="I6280" s="7" t="s">
        <v>14452</v>
      </c>
      <c r="J6280" s="13" t="str">
        <f>HYPERLINK("https://www.boe.es/gazeta/dias/1805/04/09/pdfs/GMD-1805-29.pdf#page=9","Abrir facsímil")</f>
        <v>Abrir facsímil</v>
      </c>
      <c r="K6280" s="16" t="s">
        <v>22</v>
      </c>
    </row>
  </sheetData>
  <mergeCells count="5">
    <mergeCell ref="A1:K1"/>
    <mergeCell ref="A2:K2"/>
    <mergeCell ref="A3:C3"/>
    <mergeCell ref="D3:K3"/>
    <mergeCell ref="A4:K4"/>
  </mergeCells>
  <conditionalFormatting sqref="K7:K6280">
    <cfRule type="containsText" dxfId="1" priority="1" operator="containsText" text="Cotejar OCR"/>
    <cfRule type="containsText" dxfId="0" priority="2" operator="containsText" text="Revisado"/>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EAF7"/>
  </sheetPr>
  <dimension ref="A1:E131"/>
  <sheetViews>
    <sheetView showGridLines="0" workbookViewId="0">
      <pane ySplit="3" topLeftCell="A4" activePane="bottomLeft" state="frozen"/>
      <selection pane="bottomLeft"/>
    </sheetView>
  </sheetViews>
  <sheetFormatPr baseColWidth="10" defaultColWidth="9" defaultRowHeight="14.25"/>
  <cols>
    <col min="1" max="1" width="26" customWidth="1"/>
    <col min="2" max="2" width="28" customWidth="1"/>
    <col min="3" max="3" width="26" customWidth="1"/>
    <col min="4" max="4" width="13" customWidth="1"/>
    <col min="5" max="5" width="22" customWidth="1"/>
  </cols>
  <sheetData>
    <row r="1" spans="1:5" ht="32.1" customHeight="1">
      <c r="A1" s="30" t="s">
        <v>14453</v>
      </c>
      <c r="B1" s="30"/>
      <c r="C1" s="30"/>
      <c r="D1" s="30"/>
      <c r="E1" s="30"/>
    </row>
    <row r="3" spans="1:5">
      <c r="A3" s="1" t="s">
        <v>10</v>
      </c>
      <c r="B3" s="1" t="s">
        <v>9</v>
      </c>
      <c r="C3" s="1" t="s">
        <v>14454</v>
      </c>
      <c r="D3" s="1" t="s">
        <v>14455</v>
      </c>
      <c r="E3" s="1" t="s">
        <v>14456</v>
      </c>
    </row>
    <row r="4" spans="1:5">
      <c r="A4" s="20">
        <v>1</v>
      </c>
      <c r="B4" s="17" t="s">
        <v>363</v>
      </c>
      <c r="C4" s="23" t="s">
        <v>14457</v>
      </c>
      <c r="D4" s="23">
        <v>37</v>
      </c>
      <c r="E4" s="26" t="str">
        <f>HYPERLINK("https://www.boe.es/gazeta/dias/1805/01/01/pdfs/GMD-1805-1.pdf","Abrir fascículo")</f>
        <v>Abrir fascículo</v>
      </c>
    </row>
    <row r="5" spans="1:5">
      <c r="A5" s="21">
        <v>2</v>
      </c>
      <c r="B5" s="18" t="s">
        <v>132</v>
      </c>
      <c r="C5" s="24" t="s">
        <v>14458</v>
      </c>
      <c r="D5" s="24">
        <v>59</v>
      </c>
      <c r="E5" s="27" t="str">
        <f>HYPERLINK("https://www.boe.es/gazeta/dias/1805/01/04/pdfs/GMD-1805-2.pdf","Abrir fascículo")</f>
        <v>Abrir fascículo</v>
      </c>
    </row>
    <row r="6" spans="1:5">
      <c r="A6" s="21">
        <v>3</v>
      </c>
      <c r="B6" s="18" t="s">
        <v>365</v>
      </c>
      <c r="C6" s="24" t="s">
        <v>14459</v>
      </c>
      <c r="D6" s="24">
        <v>46</v>
      </c>
      <c r="E6" s="27" t="str">
        <f>HYPERLINK("https://www.boe.es/gazeta/dias/1805/01/08/pdfs/GMD-1805-3.pdf","Abrir fascículo")</f>
        <v>Abrir fascículo</v>
      </c>
    </row>
    <row r="7" spans="1:5">
      <c r="A7" s="21">
        <v>4</v>
      </c>
      <c r="B7" s="18" t="s">
        <v>387</v>
      </c>
      <c r="C7" s="24" t="s">
        <v>14460</v>
      </c>
      <c r="D7" s="24">
        <v>56</v>
      </c>
      <c r="E7" s="27" t="str">
        <f>HYPERLINK("https://www.boe.es/gazeta/dias/1805/01/11/pdfs/GMD-1805-4.pdf","Abrir fascículo")</f>
        <v>Abrir fascículo</v>
      </c>
    </row>
    <row r="8" spans="1:5">
      <c r="A8" s="21">
        <v>5</v>
      </c>
      <c r="B8" s="18" t="s">
        <v>293</v>
      </c>
      <c r="C8" s="24" t="s">
        <v>14461</v>
      </c>
      <c r="D8" s="24">
        <v>46</v>
      </c>
      <c r="E8" s="27" t="str">
        <f>HYPERLINK("https://www.boe.es/gazeta/dias/1805/01/15/pdfs/GMD-1805-5.pdf","Abrir fascículo")</f>
        <v>Abrir fascículo</v>
      </c>
    </row>
    <row r="9" spans="1:5">
      <c r="A9" s="21">
        <v>6</v>
      </c>
      <c r="B9" s="18" t="s">
        <v>1445</v>
      </c>
      <c r="C9" s="24" t="s">
        <v>14462</v>
      </c>
      <c r="D9" s="24">
        <v>45</v>
      </c>
      <c r="E9" s="27" t="str">
        <f>HYPERLINK("https://www.boe.es/gazeta/dias/1805/01/18/pdfs/GMD-1805-6.pdf","Abrir fascículo")</f>
        <v>Abrir fascículo</v>
      </c>
    </row>
    <row r="10" spans="1:5">
      <c r="A10" s="21">
        <v>7</v>
      </c>
      <c r="B10" s="18" t="s">
        <v>649</v>
      </c>
      <c r="C10" s="24" t="s">
        <v>14463</v>
      </c>
      <c r="D10" s="24">
        <v>58</v>
      </c>
      <c r="E10" s="27" t="str">
        <f>HYPERLINK("https://www.boe.es/gazeta/dias/1805/01/22/pdfs/GMD-1805-7.pdf","Abrir fascículo")</f>
        <v>Abrir fascículo</v>
      </c>
    </row>
    <row r="11" spans="1:5">
      <c r="A11" s="21">
        <v>8</v>
      </c>
      <c r="B11" s="18" t="s">
        <v>273</v>
      </c>
      <c r="C11" s="24" t="s">
        <v>14464</v>
      </c>
      <c r="D11" s="24">
        <v>62</v>
      </c>
      <c r="E11" s="27" t="str">
        <f>HYPERLINK("https://www.boe.es/gazeta/dias/1805/01/25/pdfs/GMD-1805-8.pdf","Abrir fascículo")</f>
        <v>Abrir fascículo</v>
      </c>
    </row>
    <row r="12" spans="1:5">
      <c r="A12" s="21">
        <v>9</v>
      </c>
      <c r="B12" s="18" t="s">
        <v>170</v>
      </c>
      <c r="C12" s="24" t="s">
        <v>14465</v>
      </c>
      <c r="D12" s="24">
        <v>58</v>
      </c>
      <c r="E12" s="27" t="str">
        <f>HYPERLINK("https://www.boe.es/gazeta/dias/1805/01/29/pdfs/GMD-1805-9.pdf","Abrir fascículo")</f>
        <v>Abrir fascículo</v>
      </c>
    </row>
    <row r="13" spans="1:5">
      <c r="A13" s="21">
        <v>10</v>
      </c>
      <c r="B13" s="18" t="s">
        <v>327</v>
      </c>
      <c r="C13" s="24" t="s">
        <v>14466</v>
      </c>
      <c r="D13" s="24">
        <v>39</v>
      </c>
      <c r="E13" s="27" t="str">
        <f>HYPERLINK("https://www.boe.es/gazeta/dias/1805/02/01/pdfs/GMD-1805-10.pdf","Abrir fascículo")</f>
        <v>Abrir fascículo</v>
      </c>
    </row>
    <row r="14" spans="1:5">
      <c r="A14" s="21">
        <v>11</v>
      </c>
      <c r="B14" s="18" t="s">
        <v>24</v>
      </c>
      <c r="C14" s="24" t="s">
        <v>14467</v>
      </c>
      <c r="D14" s="24">
        <v>71</v>
      </c>
      <c r="E14" s="27" t="str">
        <f>HYPERLINK("https://www.boe.es/gazeta/dias/1805/02/05/pdfs/GMD-1805-11.pdf","Abrir fascículo")</f>
        <v>Abrir fascículo</v>
      </c>
    </row>
    <row r="15" spans="1:5">
      <c r="A15" s="21">
        <v>12</v>
      </c>
      <c r="B15" s="18" t="s">
        <v>356</v>
      </c>
      <c r="C15" s="24" t="s">
        <v>14468</v>
      </c>
      <c r="D15" s="24">
        <v>27</v>
      </c>
      <c r="E15" s="27" t="str">
        <f>HYPERLINK("https://www.boe.es/gazeta/dias/1805/02/08/pdfs/GMD-1805-12.pdf","Abrir fascículo")</f>
        <v>Abrir fascículo</v>
      </c>
    </row>
    <row r="16" spans="1:5">
      <c r="A16" s="21">
        <v>13</v>
      </c>
      <c r="B16" s="18" t="s">
        <v>95</v>
      </c>
      <c r="C16" s="24" t="s">
        <v>14469</v>
      </c>
      <c r="D16" s="24">
        <v>37</v>
      </c>
      <c r="E16" s="27" t="str">
        <f>HYPERLINK("https://www.boe.es/gazeta/dias/1805/02/12/pdfs/GMD-1805-13.pdf","Abrir fascículo")</f>
        <v>Abrir fascículo</v>
      </c>
    </row>
    <row r="17" spans="1:5">
      <c r="A17" s="21">
        <v>14</v>
      </c>
      <c r="B17" s="18" t="s">
        <v>87</v>
      </c>
      <c r="C17" s="24" t="s">
        <v>14470</v>
      </c>
      <c r="D17" s="24">
        <v>37</v>
      </c>
      <c r="E17" s="27" t="str">
        <f>HYPERLINK("https://www.boe.es/gazeta/dias/1805/02/15/pdfs/GMD-1805-14.pdf","Abrir fascículo")</f>
        <v>Abrir fascículo</v>
      </c>
    </row>
    <row r="18" spans="1:5">
      <c r="A18" s="21">
        <v>15</v>
      </c>
      <c r="B18" s="18" t="s">
        <v>281</v>
      </c>
      <c r="C18" s="24" t="s">
        <v>14471</v>
      </c>
      <c r="D18" s="24">
        <v>55</v>
      </c>
      <c r="E18" s="27" t="str">
        <f>HYPERLINK("https://www.boe.es/gazeta/dias/1805/02/19/pdfs/GMD-1805-15.pdf","Abrir fascículo")</f>
        <v>Abrir fascículo</v>
      </c>
    </row>
    <row r="19" spans="1:5">
      <c r="A19" s="21">
        <v>16</v>
      </c>
      <c r="B19" s="18" t="s">
        <v>112</v>
      </c>
      <c r="C19" s="24" t="s">
        <v>14472</v>
      </c>
      <c r="D19" s="24">
        <v>40</v>
      </c>
      <c r="E19" s="27" t="str">
        <f>HYPERLINK("https://www.boe.es/gazeta/dias/1805/02/22/pdfs/GMD-1805-16.pdf","Abrir fascículo")</f>
        <v>Abrir fascículo</v>
      </c>
    </row>
    <row r="20" spans="1:5">
      <c r="A20" s="21">
        <v>17</v>
      </c>
      <c r="B20" s="18" t="s">
        <v>114</v>
      </c>
      <c r="C20" s="24" t="s">
        <v>14473</v>
      </c>
      <c r="D20" s="24">
        <v>60</v>
      </c>
      <c r="E20" s="27" t="str">
        <f>HYPERLINK("https://www.boe.es/gazeta/dias/1805/02/26/pdfs/GMD-1805-17.pdf","Abrir fascículo")</f>
        <v>Abrir fascículo</v>
      </c>
    </row>
    <row r="21" spans="1:5">
      <c r="A21" s="21">
        <v>18</v>
      </c>
      <c r="B21" s="18" t="s">
        <v>261</v>
      </c>
      <c r="C21" s="24" t="s">
        <v>14474</v>
      </c>
      <c r="D21" s="24">
        <v>33</v>
      </c>
      <c r="E21" s="27" t="str">
        <f>HYPERLINK("https://www.boe.es/gazeta/dias/1805/03/01/pdfs/GMD-1805-18.pdf","Abrir fascículo")</f>
        <v>Abrir fascículo</v>
      </c>
    </row>
    <row r="22" spans="1:5">
      <c r="A22" s="21" t="s">
        <v>14475</v>
      </c>
      <c r="B22" s="18" t="s">
        <v>261</v>
      </c>
      <c r="C22" s="24" t="s">
        <v>14476</v>
      </c>
      <c r="D22" s="24">
        <v>21</v>
      </c>
      <c r="E22" s="27" t="str">
        <f>HYPERLINK("https://www.boe.es/gazeta/dias/1805/03/01/pdfs/GMD-C-1805-18.pdf","Abrir suplemento")</f>
        <v>Abrir suplemento</v>
      </c>
    </row>
    <row r="23" spans="1:5">
      <c r="A23" s="21">
        <v>19</v>
      </c>
      <c r="B23" s="18" t="s">
        <v>107</v>
      </c>
      <c r="C23" s="24" t="s">
        <v>14477</v>
      </c>
      <c r="D23" s="24">
        <v>68</v>
      </c>
      <c r="E23" s="27" t="str">
        <f>HYPERLINK("https://www.boe.es/gazeta/dias/1805/03/05/pdfs/GMD-1805-19.pdf","Abrir fascículo")</f>
        <v>Abrir fascículo</v>
      </c>
    </row>
    <row r="24" spans="1:5">
      <c r="A24" s="21">
        <v>20</v>
      </c>
      <c r="B24" s="18" t="s">
        <v>117</v>
      </c>
      <c r="C24" s="24" t="s">
        <v>14478</v>
      </c>
      <c r="D24" s="24">
        <v>48</v>
      </c>
      <c r="E24" s="27" t="str">
        <f>HYPERLINK("https://www.boe.es/gazeta/dias/1805/03/08/pdfs/GMD-1805-20.pdf","Abrir fascículo")</f>
        <v>Abrir fascículo</v>
      </c>
    </row>
    <row r="25" spans="1:5">
      <c r="A25" s="21">
        <v>21</v>
      </c>
      <c r="B25" s="18" t="s">
        <v>59</v>
      </c>
      <c r="C25" s="24" t="s">
        <v>14479</v>
      </c>
      <c r="D25" s="24">
        <v>71</v>
      </c>
      <c r="E25" s="27" t="str">
        <f>HYPERLINK("https://www.boe.es/gazeta/dias/1805/03/12/pdfs/GMD-1805-21.pdf","Abrir fascículo")</f>
        <v>Abrir fascículo</v>
      </c>
    </row>
    <row r="26" spans="1:5">
      <c r="A26" s="21">
        <v>22</v>
      </c>
      <c r="B26" s="18" t="s">
        <v>471</v>
      </c>
      <c r="C26" s="24" t="s">
        <v>14480</v>
      </c>
      <c r="D26" s="24">
        <v>36</v>
      </c>
      <c r="E26" s="27" t="str">
        <f>HYPERLINK("https://www.boe.es/gazeta/dias/1805/03/15/pdfs/GMD-1805-22.pdf","Abrir fascículo")</f>
        <v>Abrir fascículo</v>
      </c>
    </row>
    <row r="27" spans="1:5">
      <c r="A27" s="21">
        <v>23</v>
      </c>
      <c r="B27" s="18" t="s">
        <v>128</v>
      </c>
      <c r="C27" s="24" t="s">
        <v>14481</v>
      </c>
      <c r="D27" s="24">
        <v>34</v>
      </c>
      <c r="E27" s="27" t="str">
        <f>HYPERLINK("https://www.boe.es/gazeta/dias/1805/03/19/pdfs/GMD-1805-23.pdf","Abrir fascículo")</f>
        <v>Abrir fascículo</v>
      </c>
    </row>
    <row r="28" spans="1:5">
      <c r="A28" s="21">
        <v>24</v>
      </c>
      <c r="B28" s="18" t="s">
        <v>120</v>
      </c>
      <c r="C28" s="24" t="s">
        <v>14482</v>
      </c>
      <c r="D28" s="24">
        <v>74</v>
      </c>
      <c r="E28" s="27" t="str">
        <f>HYPERLINK("https://www.boe.es/gazeta/dias/1805/03/22/pdfs/GMD-1805-24.pdf","Abrir fascículo")</f>
        <v>Abrir fascículo</v>
      </c>
    </row>
    <row r="29" spans="1:5">
      <c r="A29" s="21">
        <v>25</v>
      </c>
      <c r="B29" s="18" t="s">
        <v>82</v>
      </c>
      <c r="C29" s="24" t="s">
        <v>14483</v>
      </c>
      <c r="D29" s="24">
        <v>26</v>
      </c>
      <c r="E29" s="27" t="str">
        <f>HYPERLINK("https://www.boe.es/gazeta/dias/1805/03/26/pdfs/GMD-1805-25.pdf","Abrir fascículo")</f>
        <v>Abrir fascículo</v>
      </c>
    </row>
    <row r="30" spans="1:5">
      <c r="A30" s="21" t="s">
        <v>14484</v>
      </c>
      <c r="B30" s="18" t="s">
        <v>82</v>
      </c>
      <c r="C30" s="24" t="s">
        <v>14485</v>
      </c>
      <c r="D30" s="24">
        <v>54</v>
      </c>
      <c r="E30" s="27" t="str">
        <f>HYPERLINK("https://www.boe.es/gazeta/dias/1805/03/26/pdfs/GMD-C-1805-25.pdf","Abrir suplemento")</f>
        <v>Abrir suplemento</v>
      </c>
    </row>
    <row r="31" spans="1:5">
      <c r="A31" s="21">
        <v>26</v>
      </c>
      <c r="B31" s="18" t="s">
        <v>296</v>
      </c>
      <c r="C31" s="24" t="s">
        <v>14486</v>
      </c>
      <c r="D31" s="24">
        <v>54</v>
      </c>
      <c r="E31" s="27" t="str">
        <f>HYPERLINK("https://www.boe.es/gazeta/dias/1805/03/29/pdfs/GMD-1805-26.pdf","Abrir fascículo")</f>
        <v>Abrir fascículo</v>
      </c>
    </row>
    <row r="32" spans="1:5">
      <c r="A32" s="21">
        <v>27</v>
      </c>
      <c r="B32" s="18" t="s">
        <v>440</v>
      </c>
      <c r="C32" s="24" t="s">
        <v>14487</v>
      </c>
      <c r="D32" s="24">
        <v>55</v>
      </c>
      <c r="E32" s="27" t="str">
        <f>HYPERLINK("https://www.boe.es/gazeta/dias/1805/04/02/pdfs/GMD-1805-27.pdf","Abrir fascículo")</f>
        <v>Abrir fascículo</v>
      </c>
    </row>
    <row r="33" spans="1:5">
      <c r="A33" s="21">
        <v>28</v>
      </c>
      <c r="B33" s="18" t="s">
        <v>91</v>
      </c>
      <c r="C33" s="24" t="s">
        <v>14488</v>
      </c>
      <c r="D33" s="24">
        <v>96</v>
      </c>
      <c r="E33" s="27" t="str">
        <f>HYPERLINK("https://www.boe.es/gazeta/dias/1805/04/05/pdfs/GMD-1805-28.pdf","Abrir fascículo")</f>
        <v>Abrir fascículo</v>
      </c>
    </row>
    <row r="34" spans="1:5">
      <c r="A34" s="21">
        <v>29</v>
      </c>
      <c r="B34" s="18" t="s">
        <v>44</v>
      </c>
      <c r="C34" s="24" t="s">
        <v>14489</v>
      </c>
      <c r="D34" s="24">
        <v>70</v>
      </c>
      <c r="E34" s="27" t="str">
        <f>HYPERLINK("https://www.boe.es/gazeta/dias/1805/04/09/pdfs/GMD-1805-29.pdf","Abrir fascículo")</f>
        <v>Abrir fascículo</v>
      </c>
    </row>
    <row r="35" spans="1:5">
      <c r="A35" s="21">
        <v>30</v>
      </c>
      <c r="B35" s="18" t="s">
        <v>103</v>
      </c>
      <c r="C35" s="24" t="s">
        <v>14490</v>
      </c>
      <c r="D35" s="24">
        <v>29</v>
      </c>
      <c r="E35" s="27" t="str">
        <f>HYPERLINK("https://www.boe.es/gazeta/dias/1805/04/12/pdfs/GMD-1805-30.pdf","Abrir fascículo")</f>
        <v>Abrir fascículo</v>
      </c>
    </row>
    <row r="36" spans="1:5">
      <c r="A36" s="21">
        <v>31</v>
      </c>
      <c r="B36" s="18" t="s">
        <v>1494</v>
      </c>
      <c r="C36" s="24" t="s">
        <v>14491</v>
      </c>
      <c r="D36" s="24">
        <v>41</v>
      </c>
      <c r="E36" s="27" t="str">
        <f>HYPERLINK("https://www.boe.es/gazeta/dias/1805/04/16/pdfs/GMD-1805-31.pdf","Abrir fascículo")</f>
        <v>Abrir fascículo</v>
      </c>
    </row>
    <row r="37" spans="1:5">
      <c r="A37" s="21">
        <v>32</v>
      </c>
      <c r="B37" s="18" t="s">
        <v>673</v>
      </c>
      <c r="C37" s="24" t="s">
        <v>14492</v>
      </c>
      <c r="D37" s="24">
        <v>35</v>
      </c>
      <c r="E37" s="27" t="str">
        <f>HYPERLINK("https://www.boe.es/gazeta/dias/1805/04/19/pdfs/GMD-1805-32.pdf","Abrir fascículo")</f>
        <v>Abrir fascículo</v>
      </c>
    </row>
    <row r="38" spans="1:5">
      <c r="A38" s="21">
        <v>33</v>
      </c>
      <c r="B38" s="18" t="s">
        <v>71</v>
      </c>
      <c r="C38" s="24" t="s">
        <v>14493</v>
      </c>
      <c r="D38" s="24">
        <v>83</v>
      </c>
      <c r="E38" s="27" t="str">
        <f>HYPERLINK("https://www.boe.es/gazeta/dias/1805/04/23/pdfs/GMD-1805-33.pdf","Abrir fascículo")</f>
        <v>Abrir fascículo</v>
      </c>
    </row>
    <row r="39" spans="1:5">
      <c r="A39" s="21">
        <v>34</v>
      </c>
      <c r="B39" s="18" t="s">
        <v>1471</v>
      </c>
      <c r="C39" s="24" t="s">
        <v>14494</v>
      </c>
      <c r="D39" s="24">
        <v>33</v>
      </c>
      <c r="E39" s="27" t="str">
        <f>HYPERLINK("https://www.boe.es/gazeta/dias/1805/04/26/pdfs/GMD-1805-34.pdf","Abrir fascículo")</f>
        <v>Abrir fascículo</v>
      </c>
    </row>
    <row r="40" spans="1:5">
      <c r="A40" s="21" t="s">
        <v>14495</v>
      </c>
      <c r="B40" s="18" t="s">
        <v>1471</v>
      </c>
      <c r="C40" s="24" t="s">
        <v>14496</v>
      </c>
      <c r="D40" s="24">
        <v>3</v>
      </c>
      <c r="E40" s="27" t="str">
        <f>HYPERLINK("https://www.boe.es/gazeta/dias/1805/04/26/pdfs/GMD-C-1805-34.pdf","Abrir suplemento")</f>
        <v>Abrir suplemento</v>
      </c>
    </row>
    <row r="41" spans="1:5">
      <c r="A41" s="21">
        <v>35</v>
      </c>
      <c r="B41" s="18" t="s">
        <v>48</v>
      </c>
      <c r="C41" s="24" t="s">
        <v>14497</v>
      </c>
      <c r="D41" s="24">
        <v>65</v>
      </c>
      <c r="E41" s="27" t="str">
        <f>HYPERLINK("https://www.boe.es/gazeta/dias/1805/04/30/pdfs/GMD-1805-35.pdf","Abrir fascículo")</f>
        <v>Abrir fascículo</v>
      </c>
    </row>
    <row r="42" spans="1:5">
      <c r="A42" s="21">
        <v>36</v>
      </c>
      <c r="B42" s="18" t="s">
        <v>290</v>
      </c>
      <c r="C42" s="24" t="s">
        <v>14498</v>
      </c>
      <c r="D42" s="24">
        <v>71</v>
      </c>
      <c r="E42" s="27" t="str">
        <f>HYPERLINK("https://www.boe.es/gazeta/dias/1805/05/03/pdfs/GMD-1805-36.pdf","Abrir fascículo")</f>
        <v>Abrir fascículo</v>
      </c>
    </row>
    <row r="43" spans="1:5">
      <c r="A43" s="21">
        <v>37</v>
      </c>
      <c r="B43" s="18" t="s">
        <v>27</v>
      </c>
      <c r="C43" s="24" t="s">
        <v>14499</v>
      </c>
      <c r="D43" s="24">
        <v>55</v>
      </c>
      <c r="E43" s="27" t="str">
        <f>HYPERLINK("https://www.boe.es/gazeta/dias/1805/05/07/pdfs/GMD-1805-37.pdf","Abrir fascículo")</f>
        <v>Abrir fascículo</v>
      </c>
    </row>
    <row r="44" spans="1:5">
      <c r="A44" s="21">
        <v>38</v>
      </c>
      <c r="B44" s="18" t="s">
        <v>122</v>
      </c>
      <c r="C44" s="24" t="s">
        <v>14500</v>
      </c>
      <c r="D44" s="24">
        <v>44</v>
      </c>
      <c r="E44" s="27" t="str">
        <f>HYPERLINK("https://www.boe.es/gazeta/dias/1805/05/10/pdfs/GMD-1805-38.pdf","Abrir fascículo")</f>
        <v>Abrir fascículo</v>
      </c>
    </row>
    <row r="45" spans="1:5">
      <c r="A45" s="21">
        <v>39</v>
      </c>
      <c r="B45" s="18" t="s">
        <v>399</v>
      </c>
      <c r="C45" s="24" t="s">
        <v>14501</v>
      </c>
      <c r="D45" s="24">
        <v>60</v>
      </c>
      <c r="E45" s="27" t="str">
        <f>HYPERLINK("https://www.boe.es/gazeta/dias/1805/05/14/pdfs/GMD-1805-39.pdf","Abrir fascículo")</f>
        <v>Abrir fascículo</v>
      </c>
    </row>
    <row r="46" spans="1:5">
      <c r="A46" s="21">
        <v>40</v>
      </c>
      <c r="B46" s="18" t="s">
        <v>1187</v>
      </c>
      <c r="C46" s="24" t="s">
        <v>14502</v>
      </c>
      <c r="D46" s="24">
        <v>28</v>
      </c>
      <c r="E46" s="27" t="str">
        <f>HYPERLINK("https://www.boe.es/gazeta/dias/1805/05/17/pdfs/GMD-1805-40.pdf","Abrir fascículo")</f>
        <v>Abrir fascículo</v>
      </c>
    </row>
    <row r="47" spans="1:5">
      <c r="A47" s="21">
        <v>41</v>
      </c>
      <c r="B47" s="18" t="s">
        <v>1221</v>
      </c>
      <c r="C47" s="24" t="s">
        <v>14503</v>
      </c>
      <c r="D47" s="24">
        <v>46</v>
      </c>
      <c r="E47" s="27" t="str">
        <f>HYPERLINK("https://www.boe.es/gazeta/dias/1805/05/21/pdfs/GMD-1805-41.pdf","Abrir fascículo")</f>
        <v>Abrir fascículo</v>
      </c>
    </row>
    <row r="48" spans="1:5">
      <c r="A48" s="21">
        <v>42</v>
      </c>
      <c r="B48" s="18" t="s">
        <v>850</v>
      </c>
      <c r="C48" s="24" t="s">
        <v>14504</v>
      </c>
      <c r="D48" s="24">
        <v>40</v>
      </c>
      <c r="E48" s="27" t="str">
        <f>HYPERLINK("https://www.boe.es/gazeta/dias/1805/05/24/pdfs/GMD-1805-42.pdf","Abrir fascículo")</f>
        <v>Abrir fascículo</v>
      </c>
    </row>
    <row r="49" spans="1:5">
      <c r="A49" s="21">
        <v>43</v>
      </c>
      <c r="B49" s="18" t="s">
        <v>1292</v>
      </c>
      <c r="C49" s="24" t="s">
        <v>14505</v>
      </c>
      <c r="D49" s="24">
        <v>42</v>
      </c>
      <c r="E49" s="27" t="str">
        <f>HYPERLINK("https://www.boe.es/gazeta/dias/1805/05/28/pdfs/GMD-1805-43.pdf","Abrir fascículo")</f>
        <v>Abrir fascículo</v>
      </c>
    </row>
    <row r="50" spans="1:5">
      <c r="A50" s="21">
        <v>44</v>
      </c>
      <c r="B50" s="18" t="s">
        <v>393</v>
      </c>
      <c r="C50" s="24" t="s">
        <v>14506</v>
      </c>
      <c r="D50" s="24">
        <v>50</v>
      </c>
      <c r="E50" s="27" t="str">
        <f>HYPERLINK("https://www.boe.es/gazeta/dias/1805/05/31/pdfs/GMD-1805-44.pdf","Abrir fascículo")</f>
        <v>Abrir fascículo</v>
      </c>
    </row>
    <row r="51" spans="1:5">
      <c r="A51" s="21">
        <v>45</v>
      </c>
      <c r="B51" s="18" t="s">
        <v>733</v>
      </c>
      <c r="C51" s="24" t="s">
        <v>14507</v>
      </c>
      <c r="D51" s="24">
        <v>33</v>
      </c>
      <c r="E51" s="27" t="str">
        <f>HYPERLINK("https://www.boe.es/gazeta/dias/1805/06/04/pdfs/GMD-1805-45.pdf","Abrir fascículo")</f>
        <v>Abrir fascículo</v>
      </c>
    </row>
    <row r="52" spans="1:5">
      <c r="A52" s="21">
        <v>46</v>
      </c>
      <c r="B52" s="18" t="s">
        <v>854</v>
      </c>
      <c r="C52" s="24" t="s">
        <v>14508</v>
      </c>
      <c r="D52" s="24">
        <v>52</v>
      </c>
      <c r="E52" s="27" t="str">
        <f>HYPERLINK("https://www.boe.es/gazeta/dias/1805/06/07/pdfs/GMD-1805-46.pdf","Abrir fascículo")</f>
        <v>Abrir fascículo</v>
      </c>
    </row>
    <row r="53" spans="1:5">
      <c r="A53" s="21">
        <v>47</v>
      </c>
      <c r="B53" s="18" t="s">
        <v>904</v>
      </c>
      <c r="C53" s="24" t="s">
        <v>14509</v>
      </c>
      <c r="D53" s="24">
        <v>56</v>
      </c>
      <c r="E53" s="27" t="str">
        <f>HYPERLINK("https://www.boe.es/gazeta/dias/1805/06/11/pdfs/GMD-1805-47.pdf","Abrir fascículo")</f>
        <v>Abrir fascículo</v>
      </c>
    </row>
    <row r="54" spans="1:5">
      <c r="A54" s="21">
        <v>48</v>
      </c>
      <c r="B54" s="18" t="s">
        <v>286</v>
      </c>
      <c r="C54" s="24" t="s">
        <v>14510</v>
      </c>
      <c r="D54" s="24">
        <v>56</v>
      </c>
      <c r="E54" s="27" t="str">
        <f>HYPERLINK("https://www.boe.es/gazeta/dias/1805/06/14/pdfs/GMD-1805-48.pdf","Abrir fascículo")</f>
        <v>Abrir fascículo</v>
      </c>
    </row>
    <row r="55" spans="1:5">
      <c r="A55" s="21">
        <v>49</v>
      </c>
      <c r="B55" s="18" t="s">
        <v>567</v>
      </c>
      <c r="C55" s="24" t="s">
        <v>14511</v>
      </c>
      <c r="D55" s="24">
        <v>45</v>
      </c>
      <c r="E55" s="27" t="str">
        <f>HYPERLINK("https://www.boe.es/gazeta/dias/1805/06/18/pdfs/GMD-1805-49.pdf","Abrir fascículo")</f>
        <v>Abrir fascículo</v>
      </c>
    </row>
    <row r="56" spans="1:5">
      <c r="A56" s="21">
        <v>50</v>
      </c>
      <c r="B56" s="18" t="s">
        <v>148</v>
      </c>
      <c r="C56" s="24" t="s">
        <v>14512</v>
      </c>
      <c r="D56" s="24">
        <v>41</v>
      </c>
      <c r="E56" s="27" t="str">
        <f>HYPERLINK("https://www.boe.es/gazeta/dias/1805/06/21/pdfs/GMD-1805-50.pdf","Abrir fascículo")</f>
        <v>Abrir fascículo</v>
      </c>
    </row>
    <row r="57" spans="1:5">
      <c r="A57" s="21">
        <v>51</v>
      </c>
      <c r="B57" s="18" t="s">
        <v>276</v>
      </c>
      <c r="C57" s="24" t="s">
        <v>14513</v>
      </c>
      <c r="D57" s="24">
        <v>57</v>
      </c>
      <c r="E57" s="27" t="str">
        <f>HYPERLINK("https://www.boe.es/gazeta/dias/1805/06/25/pdfs/GMD-1805-51.pdf","Abrir fascículo")</f>
        <v>Abrir fascículo</v>
      </c>
    </row>
    <row r="58" spans="1:5">
      <c r="A58" s="21">
        <v>52</v>
      </c>
      <c r="B58" s="18" t="s">
        <v>1022</v>
      </c>
      <c r="C58" s="24" t="s">
        <v>14514</v>
      </c>
      <c r="D58" s="24">
        <v>32</v>
      </c>
      <c r="E58" s="27" t="str">
        <f>HYPERLINK("https://www.boe.es/gazeta/dias/1805/06/28/pdfs/GMD-1805-52.pdf","Abrir fascículo")</f>
        <v>Abrir fascículo</v>
      </c>
    </row>
    <row r="59" spans="1:5">
      <c r="A59" s="21">
        <v>53</v>
      </c>
      <c r="B59" s="18" t="s">
        <v>1432</v>
      </c>
      <c r="C59" s="24" t="s">
        <v>14515</v>
      </c>
      <c r="D59" s="24">
        <v>36</v>
      </c>
      <c r="E59" s="27" t="str">
        <f>HYPERLINK("https://www.boe.es/gazeta/dias/1805/07/02/pdfs/GMD-1805-53.pdf","Abrir fascículo")</f>
        <v>Abrir fascículo</v>
      </c>
    </row>
    <row r="60" spans="1:5">
      <c r="A60" s="21">
        <v>54</v>
      </c>
      <c r="B60" s="18" t="s">
        <v>37</v>
      </c>
      <c r="C60" s="24" t="s">
        <v>14516</v>
      </c>
      <c r="D60" s="24">
        <v>39</v>
      </c>
      <c r="E60" s="27" t="str">
        <f>HYPERLINK("https://www.boe.es/gazeta/dias/1805/07/05/pdfs/GMD-1805-54.pdf","Abrir fascículo")</f>
        <v>Abrir fascículo</v>
      </c>
    </row>
    <row r="61" spans="1:5">
      <c r="A61" s="21">
        <v>55</v>
      </c>
      <c r="B61" s="18" t="s">
        <v>645</v>
      </c>
      <c r="C61" s="24" t="s">
        <v>14517</v>
      </c>
      <c r="D61" s="24">
        <v>14</v>
      </c>
      <c r="E61" s="27" t="str">
        <f>HYPERLINK("https://www.boe.es/gazeta/dias/1805/07/09/pdfs/GMD-1805-55.pdf","Abrir fascículo")</f>
        <v>Abrir fascículo</v>
      </c>
    </row>
    <row r="62" spans="1:5">
      <c r="A62" s="21" t="s">
        <v>14518</v>
      </c>
      <c r="B62" s="18" t="s">
        <v>645</v>
      </c>
      <c r="C62" s="24" t="s">
        <v>14519</v>
      </c>
      <c r="D62" s="24">
        <v>9</v>
      </c>
      <c r="E62" s="27" t="str">
        <f>HYPERLINK("https://www.boe.es/gazeta/dias/1805/07/09/pdfs/GMD-C-1805-55.pdf","Abrir suplemento")</f>
        <v>Abrir suplemento</v>
      </c>
    </row>
    <row r="63" spans="1:5">
      <c r="A63" s="21">
        <v>56</v>
      </c>
      <c r="B63" s="18" t="s">
        <v>213</v>
      </c>
      <c r="C63" s="24" t="s">
        <v>14520</v>
      </c>
      <c r="D63" s="24">
        <v>46</v>
      </c>
      <c r="E63" s="27" t="str">
        <f>HYPERLINK("https://www.boe.es/gazeta/dias/1805/07/12/pdfs/GMD-1805-56.pdf","Abrir fascículo")</f>
        <v>Abrir fascículo</v>
      </c>
    </row>
    <row r="64" spans="1:5">
      <c r="A64" s="21">
        <v>57</v>
      </c>
      <c r="B64" s="18" t="s">
        <v>303</v>
      </c>
      <c r="C64" s="24" t="s">
        <v>14521</v>
      </c>
      <c r="D64" s="24">
        <v>102</v>
      </c>
      <c r="E64" s="27" t="str">
        <f>HYPERLINK("https://www.boe.es/gazeta/dias/1805/07/16/pdfs/GMD-1805-57.pdf","Abrir fascículo")</f>
        <v>Abrir fascículo</v>
      </c>
    </row>
    <row r="65" spans="1:5">
      <c r="A65" s="21">
        <v>58</v>
      </c>
      <c r="B65" s="18" t="s">
        <v>958</v>
      </c>
      <c r="C65" s="24" t="s">
        <v>14522</v>
      </c>
      <c r="D65" s="24">
        <v>55</v>
      </c>
      <c r="E65" s="27" t="str">
        <f>HYPERLINK("https://www.boe.es/gazeta/dias/1805/07/19/pdfs/GMD-1805-58.pdf","Abrir fascículo")</f>
        <v>Abrir fascículo</v>
      </c>
    </row>
    <row r="66" spans="1:5">
      <c r="A66" s="21" t="s">
        <v>14523</v>
      </c>
      <c r="B66" s="18" t="s">
        <v>958</v>
      </c>
      <c r="C66" s="24" t="s">
        <v>14524</v>
      </c>
      <c r="D66" s="24">
        <v>2</v>
      </c>
      <c r="E66" s="27" t="str">
        <f>HYPERLINK("https://www.boe.es/gazeta/dias/1805/07/19/pdfs/GMD-C-1805-58.pdf","Abrir suplemento")</f>
        <v>Abrir suplemento</v>
      </c>
    </row>
    <row r="67" spans="1:5">
      <c r="A67" s="21">
        <v>59</v>
      </c>
      <c r="B67" s="18" t="s">
        <v>40</v>
      </c>
      <c r="C67" s="24" t="s">
        <v>14525</v>
      </c>
      <c r="D67" s="24">
        <v>47</v>
      </c>
      <c r="E67" s="27" t="str">
        <f>HYPERLINK("https://www.boe.es/gazeta/dias/1805/07/23/pdfs/GMD-1805-59.pdf","Abrir fascículo")</f>
        <v>Abrir fascículo</v>
      </c>
    </row>
    <row r="68" spans="1:5">
      <c r="A68" s="21">
        <v>60</v>
      </c>
      <c r="B68" s="18" t="s">
        <v>352</v>
      </c>
      <c r="C68" s="24" t="s">
        <v>14526</v>
      </c>
      <c r="D68" s="24">
        <v>68</v>
      </c>
      <c r="E68" s="27" t="str">
        <f>HYPERLINK("https://www.boe.es/gazeta/dias/1805/07/26/pdfs/GMD-1805-60.pdf","Abrir fascículo")</f>
        <v>Abrir fascículo</v>
      </c>
    </row>
    <row r="69" spans="1:5">
      <c r="A69" s="21">
        <v>61</v>
      </c>
      <c r="B69" s="18" t="s">
        <v>729</v>
      </c>
      <c r="C69" s="24" t="s">
        <v>14527</v>
      </c>
      <c r="D69" s="24">
        <v>49</v>
      </c>
      <c r="E69" s="27" t="str">
        <f>HYPERLINK("https://www.boe.es/gazeta/dias/1805/07/30/pdfs/GMD-1805-61.pdf","Abrir fascículo")</f>
        <v>Abrir fascículo</v>
      </c>
    </row>
    <row r="70" spans="1:5">
      <c r="A70" s="21">
        <v>62</v>
      </c>
      <c r="B70" s="18" t="s">
        <v>831</v>
      </c>
      <c r="C70" s="24" t="s">
        <v>14528</v>
      </c>
      <c r="D70" s="24">
        <v>34</v>
      </c>
      <c r="E70" s="27" t="str">
        <f>HYPERLINK("https://www.boe.es/gazeta/dias/1805/08/02/pdfs/GMD-1805-62.pdf","Abrir fascículo")</f>
        <v>Abrir fascículo</v>
      </c>
    </row>
    <row r="71" spans="1:5">
      <c r="A71" s="21">
        <v>63</v>
      </c>
      <c r="B71" s="18" t="s">
        <v>711</v>
      </c>
      <c r="C71" s="24" t="s">
        <v>14529</v>
      </c>
      <c r="D71" s="24">
        <v>81</v>
      </c>
      <c r="E71" s="27" t="str">
        <f>HYPERLINK("https://www.boe.es/gazeta/dias/1805/08/06/pdfs/GMD-1805-63.pdf","Abrir fascículo")</f>
        <v>Abrir fascículo</v>
      </c>
    </row>
    <row r="72" spans="1:5">
      <c r="A72" s="21">
        <v>64</v>
      </c>
      <c r="B72" s="18" t="s">
        <v>585</v>
      </c>
      <c r="C72" s="24" t="s">
        <v>14530</v>
      </c>
      <c r="D72" s="24">
        <v>56</v>
      </c>
      <c r="E72" s="27" t="str">
        <f>HYPERLINK("https://www.boe.es/gazeta/dias/1805/08/09/pdfs/GMD-1805-64.pdf","Abrir fascículo")</f>
        <v>Abrir fascículo</v>
      </c>
    </row>
    <row r="73" spans="1:5">
      <c r="A73" s="21">
        <v>65</v>
      </c>
      <c r="B73" s="18" t="s">
        <v>31</v>
      </c>
      <c r="C73" s="24" t="s">
        <v>14531</v>
      </c>
      <c r="D73" s="24">
        <v>48</v>
      </c>
      <c r="E73" s="27" t="str">
        <f>HYPERLINK("https://www.boe.es/gazeta/dias/1805/08/13/pdfs/GMD-1805-65.pdf","Abrir fascículo")</f>
        <v>Abrir fascículo</v>
      </c>
    </row>
    <row r="74" spans="1:5">
      <c r="A74" s="21">
        <v>66</v>
      </c>
      <c r="B74" s="18" t="s">
        <v>76</v>
      </c>
      <c r="C74" s="24" t="s">
        <v>14532</v>
      </c>
      <c r="D74" s="24">
        <v>77</v>
      </c>
      <c r="E74" s="27" t="str">
        <f>HYPERLINK("https://www.boe.es/gazeta/dias/1805/08/16/pdfs/GMD-1805-66.pdf","Abrir fascículo")</f>
        <v>Abrir fascículo</v>
      </c>
    </row>
    <row r="75" spans="1:5">
      <c r="A75" s="21">
        <v>67</v>
      </c>
      <c r="B75" s="18" t="s">
        <v>196</v>
      </c>
      <c r="C75" s="24" t="s">
        <v>14533</v>
      </c>
      <c r="D75" s="24">
        <v>53</v>
      </c>
      <c r="E75" s="27" t="str">
        <f>HYPERLINK("https://www.boe.es/gazeta/dias/1805/08/20/pdfs/GMD-1805-67.pdf","Abrir fascículo")</f>
        <v>Abrir fascículo</v>
      </c>
    </row>
    <row r="76" spans="1:5">
      <c r="A76" s="21">
        <v>68</v>
      </c>
      <c r="B76" s="18" t="s">
        <v>188</v>
      </c>
      <c r="C76" s="24" t="s">
        <v>14534</v>
      </c>
      <c r="D76" s="24">
        <v>64</v>
      </c>
      <c r="E76" s="27" t="str">
        <f>HYPERLINK("https://www.boe.es/gazeta/dias/1805/08/23/pdfs/GMD-1805-68.pdf","Abrir fascículo")</f>
        <v>Abrir fascículo</v>
      </c>
    </row>
    <row r="77" spans="1:5">
      <c r="A77" s="21">
        <v>69</v>
      </c>
      <c r="B77" s="18" t="s">
        <v>409</v>
      </c>
      <c r="C77" s="24" t="s">
        <v>14535</v>
      </c>
      <c r="D77" s="24">
        <v>19</v>
      </c>
      <c r="E77" s="27" t="str">
        <f>HYPERLINK("https://www.boe.es/gazeta/dias/1805/08/27/pdfs/GMD-1805-69.pdf","Abrir fascículo")</f>
        <v>Abrir fascículo</v>
      </c>
    </row>
    <row r="78" spans="1:5">
      <c r="A78" s="21">
        <v>70</v>
      </c>
      <c r="B78" s="18" t="s">
        <v>456</v>
      </c>
      <c r="C78" s="24" t="s">
        <v>14536</v>
      </c>
      <c r="D78" s="24">
        <v>51</v>
      </c>
      <c r="E78" s="27" t="str">
        <f>HYPERLINK("https://www.boe.es/gazeta/dias/1805/08/30/pdfs/GMD-1805-70.pdf","Abrir fascículo")</f>
        <v>Abrir fascículo</v>
      </c>
    </row>
    <row r="79" spans="1:5">
      <c r="A79" s="21">
        <v>71</v>
      </c>
      <c r="B79" s="18" t="s">
        <v>135</v>
      </c>
      <c r="C79" s="24" t="s">
        <v>14537</v>
      </c>
      <c r="D79" s="24">
        <v>74</v>
      </c>
      <c r="E79" s="27" t="str">
        <f>HYPERLINK("https://www.boe.es/gazeta/dias/1805/09/03/pdfs/GMD-1805-71.pdf","Abrir fascículo")</f>
        <v>Abrir fascículo</v>
      </c>
    </row>
    <row r="80" spans="1:5">
      <c r="A80" s="21">
        <v>72</v>
      </c>
      <c r="B80" s="18" t="s">
        <v>1132</v>
      </c>
      <c r="C80" s="24" t="s">
        <v>14538</v>
      </c>
      <c r="D80" s="24">
        <v>38</v>
      </c>
      <c r="E80" s="27" t="str">
        <f>HYPERLINK("https://www.boe.es/gazeta/dias/1805/09/06/pdfs/GMD-1805-72.pdf","Abrir fascículo")</f>
        <v>Abrir fascículo</v>
      </c>
    </row>
    <row r="81" spans="1:5">
      <c r="A81" s="21">
        <v>73</v>
      </c>
      <c r="B81" s="18" t="s">
        <v>226</v>
      </c>
      <c r="C81" s="24" t="s">
        <v>14539</v>
      </c>
      <c r="D81" s="24">
        <v>76</v>
      </c>
      <c r="E81" s="27" t="str">
        <f>HYPERLINK("https://www.boe.es/gazeta/dias/1805/09/10/pdfs/GMD-1805-73.pdf","Abrir fascículo")</f>
        <v>Abrir fascículo</v>
      </c>
    </row>
    <row r="82" spans="1:5">
      <c r="A82" s="21">
        <v>74</v>
      </c>
      <c r="B82" s="18" t="s">
        <v>422</v>
      </c>
      <c r="C82" s="24" t="s">
        <v>14540</v>
      </c>
      <c r="D82" s="24">
        <v>52</v>
      </c>
      <c r="E82" s="27" t="str">
        <f>HYPERLINK("https://www.boe.es/gazeta/dias/1805/09/13/pdfs/GMD-1805-74.pdf","Abrir fascículo")</f>
        <v>Abrir fascículo</v>
      </c>
    </row>
    <row r="83" spans="1:5">
      <c r="A83" s="21">
        <v>75</v>
      </c>
      <c r="B83" s="18" t="s">
        <v>426</v>
      </c>
      <c r="C83" s="24" t="s">
        <v>14541</v>
      </c>
      <c r="D83" s="24">
        <v>52</v>
      </c>
      <c r="E83" s="27" t="str">
        <f>HYPERLINK("https://www.boe.es/gazeta/dias/1805/09/17/pdfs/GMD-1805-75.pdf","Abrir fascículo")</f>
        <v>Abrir fascículo</v>
      </c>
    </row>
    <row r="84" spans="1:5">
      <c r="A84" s="21">
        <v>76</v>
      </c>
      <c r="B84" s="18" t="s">
        <v>207</v>
      </c>
      <c r="C84" s="24" t="s">
        <v>14542</v>
      </c>
      <c r="D84" s="24">
        <v>43</v>
      </c>
      <c r="E84" s="27" t="str">
        <f>HYPERLINK("https://www.boe.es/gazeta/dias/1805/09/20/pdfs/GMD-1805-76.pdf","Abrir fascículo")</f>
        <v>Abrir fascículo</v>
      </c>
    </row>
    <row r="85" spans="1:5">
      <c r="A85" s="21">
        <v>77</v>
      </c>
      <c r="B85" s="18" t="s">
        <v>163</v>
      </c>
      <c r="C85" s="24" t="s">
        <v>14543</v>
      </c>
      <c r="D85" s="24">
        <v>75</v>
      </c>
      <c r="E85" s="27" t="str">
        <f>HYPERLINK("https://www.boe.es/gazeta/dias/1805/09/24/pdfs/GMD-1805-77.pdf","Abrir fascículo")</f>
        <v>Abrir fascículo</v>
      </c>
    </row>
    <row r="86" spans="1:5">
      <c r="A86" s="21" t="s">
        <v>14544</v>
      </c>
      <c r="B86" s="18" t="s">
        <v>163</v>
      </c>
      <c r="C86" s="24" t="s">
        <v>14485</v>
      </c>
      <c r="D86" s="24">
        <v>1</v>
      </c>
      <c r="E86" s="27" t="str">
        <f>HYPERLINK("https://www.boe.es/gazeta/dias/1805/09/24/pdfs/GMD-C-1805-77.pdf","Abrir suplemento")</f>
        <v>Abrir suplemento</v>
      </c>
    </row>
    <row r="87" spans="1:5">
      <c r="A87" s="21">
        <v>78</v>
      </c>
      <c r="B87" s="18" t="s">
        <v>1259</v>
      </c>
      <c r="C87" s="24" t="s">
        <v>14545</v>
      </c>
      <c r="D87" s="24">
        <v>29</v>
      </c>
      <c r="E87" s="27" t="str">
        <f>HYPERLINK("https://www.boe.es/gazeta/dias/1805/09/27/pdfs/GMD-1805-78.pdf","Abrir fascículo")</f>
        <v>Abrir fascículo</v>
      </c>
    </row>
    <row r="88" spans="1:5">
      <c r="A88" s="21">
        <v>79</v>
      </c>
      <c r="B88" s="18" t="s">
        <v>335</v>
      </c>
      <c r="C88" s="24" t="s">
        <v>14546</v>
      </c>
      <c r="D88" s="24">
        <v>51</v>
      </c>
      <c r="E88" s="27" t="str">
        <f>HYPERLINK("https://www.boe.es/gazeta/dias/1805/10/01/pdfs/GMD-1805-79.pdf","Abrir fascículo")</f>
        <v>Abrir fascículo</v>
      </c>
    </row>
    <row r="89" spans="1:5">
      <c r="A89" s="21">
        <v>80</v>
      </c>
      <c r="B89" s="18" t="s">
        <v>506</v>
      </c>
      <c r="C89" s="24" t="s">
        <v>14547</v>
      </c>
      <c r="D89" s="24">
        <v>90</v>
      </c>
      <c r="E89" s="27" t="str">
        <f>HYPERLINK("https://www.boe.es/gazeta/dias/1805/10/04/pdfs/GMD-1805-80.pdf","Abrir fascículo")</f>
        <v>Abrir fascículo</v>
      </c>
    </row>
    <row r="90" spans="1:5">
      <c r="A90" s="21">
        <v>81</v>
      </c>
      <c r="B90" s="18" t="s">
        <v>300</v>
      </c>
      <c r="C90" s="24" t="s">
        <v>14548</v>
      </c>
      <c r="D90" s="24">
        <v>51</v>
      </c>
      <c r="E90" s="27" t="str">
        <f>HYPERLINK("https://www.boe.es/gazeta/dias/1805/10/08/pdfs/GMD-1805-81.pdf","Abrir fascículo")</f>
        <v>Abrir fascículo</v>
      </c>
    </row>
    <row r="91" spans="1:5">
      <c r="A91" s="21">
        <v>82</v>
      </c>
      <c r="B91" s="18" t="s">
        <v>141</v>
      </c>
      <c r="C91" s="24" t="s">
        <v>14549</v>
      </c>
      <c r="D91" s="24">
        <v>44</v>
      </c>
      <c r="E91" s="27" t="str">
        <f>HYPERLINK("https://www.boe.es/gazeta/dias/1805/10/11/pdfs/GMD-1805-82.pdf","Abrir fascículo")</f>
        <v>Abrir fascículo</v>
      </c>
    </row>
    <row r="92" spans="1:5">
      <c r="A92" s="21">
        <v>83</v>
      </c>
      <c r="B92" s="18" t="s">
        <v>99</v>
      </c>
      <c r="C92" s="24" t="s">
        <v>14550</v>
      </c>
      <c r="D92" s="24">
        <v>59</v>
      </c>
      <c r="E92" s="27" t="str">
        <f>HYPERLINK("https://www.boe.es/gazeta/dias/1805/10/15/pdfs/GMD-1805-83.pdf","Abrir fascículo")</f>
        <v>Abrir fascículo</v>
      </c>
    </row>
    <row r="93" spans="1:5">
      <c r="A93" s="21">
        <v>84</v>
      </c>
      <c r="B93" s="18" t="s">
        <v>669</v>
      </c>
      <c r="C93" s="24" t="s">
        <v>14551</v>
      </c>
      <c r="D93" s="24">
        <v>41</v>
      </c>
      <c r="E93" s="27" t="str">
        <f>HYPERLINK("https://www.boe.es/gazeta/dias/1805/10/18/pdfs/GMD-1805-84.pdf","Abrir fascículo")</f>
        <v>Abrir fascículo</v>
      </c>
    </row>
    <row r="94" spans="1:5">
      <c r="A94" s="21" t="s">
        <v>14552</v>
      </c>
      <c r="B94" s="18" t="s">
        <v>669</v>
      </c>
      <c r="C94" s="24" t="s">
        <v>14485</v>
      </c>
      <c r="D94" s="24">
        <v>1</v>
      </c>
      <c r="E94" s="27" t="str">
        <f>HYPERLINK("https://www.boe.es/gazeta/dias/1805/10/18/pdfs/GMD-C-1805-84.pdf","Abrir suplemento")</f>
        <v>Abrir suplemento</v>
      </c>
    </row>
    <row r="95" spans="1:5">
      <c r="A95" s="21">
        <v>85</v>
      </c>
      <c r="B95" s="18" t="s">
        <v>144</v>
      </c>
      <c r="C95" s="24" t="s">
        <v>14553</v>
      </c>
      <c r="D95" s="24">
        <v>51</v>
      </c>
      <c r="E95" s="27" t="str">
        <f>HYPERLINK("https://www.boe.es/gazeta/dias/1805/10/22/pdfs/GMD-1805-85.pdf","Abrir fascículo")</f>
        <v>Abrir fascículo</v>
      </c>
    </row>
    <row r="96" spans="1:5">
      <c r="A96" s="21" t="s">
        <v>14554</v>
      </c>
      <c r="B96" s="18" t="s">
        <v>144</v>
      </c>
      <c r="C96" s="24" t="s">
        <v>14524</v>
      </c>
      <c r="D96" s="24">
        <v>104</v>
      </c>
      <c r="E96" s="27" t="str">
        <f>HYPERLINK("https://www.boe.es/gazeta/dias/1805/10/22/pdfs/GMD-C-1805-85.pdf","Abrir suplemento")</f>
        <v>Abrir suplemento</v>
      </c>
    </row>
    <row r="97" spans="1:5">
      <c r="A97" s="21">
        <v>86</v>
      </c>
      <c r="B97" s="18" t="s">
        <v>19</v>
      </c>
      <c r="C97" s="24" t="s">
        <v>14555</v>
      </c>
      <c r="D97" s="24">
        <v>84</v>
      </c>
      <c r="E97" s="27" t="str">
        <f>HYPERLINK("https://www.boe.es/gazeta/dias/1805/10/25/pdfs/GMD-1805-86.pdf","Abrir fascículo")</f>
        <v>Abrir fascículo</v>
      </c>
    </row>
    <row r="98" spans="1:5">
      <c r="A98" s="21">
        <v>87</v>
      </c>
      <c r="B98" s="18" t="s">
        <v>215</v>
      </c>
      <c r="C98" s="24" t="s">
        <v>14556</v>
      </c>
      <c r="D98" s="24">
        <v>78</v>
      </c>
      <c r="E98" s="27" t="str">
        <f>HYPERLINK("https://www.boe.es/gazeta/dias/1805/10/29/pdfs/GMD-1805-87.pdf","Abrir fascículo")</f>
        <v>Abrir fascículo</v>
      </c>
    </row>
    <row r="99" spans="1:5">
      <c r="A99" s="21">
        <v>88</v>
      </c>
      <c r="B99" s="18" t="s">
        <v>864</v>
      </c>
      <c r="C99" s="24" t="s">
        <v>14557</v>
      </c>
      <c r="D99" s="24">
        <v>62</v>
      </c>
      <c r="E99" s="27" t="str">
        <f>HYPERLINK("https://www.boe.es/gazeta/dias/1805/11/01/pdfs/GMD-1805-88.pdf","Abrir fascículo")</f>
        <v>Abrir fascículo</v>
      </c>
    </row>
    <row r="100" spans="1:5">
      <c r="A100" s="21">
        <v>89</v>
      </c>
      <c r="B100" s="18" t="s">
        <v>209</v>
      </c>
      <c r="C100" s="24" t="s">
        <v>14558</v>
      </c>
      <c r="D100" s="24">
        <v>79</v>
      </c>
      <c r="E100" s="27" t="str">
        <f>HYPERLINK("https://www.boe.es/gazeta/dias/1805/11/05/pdfs/GMD-1805-89.pdf","Abrir fascículo")</f>
        <v>Abrir fascículo</v>
      </c>
    </row>
    <row r="101" spans="1:5">
      <c r="A101" s="21">
        <v>90</v>
      </c>
      <c r="B101" s="18" t="s">
        <v>181</v>
      </c>
      <c r="C101" s="24" t="s">
        <v>14559</v>
      </c>
      <c r="D101" s="24">
        <v>68</v>
      </c>
      <c r="E101" s="27" t="str">
        <f>HYPERLINK("https://www.boe.es/gazeta/dias/1805/11/08/pdfs/GMD-1805-90.pdf","Abrir fascículo")</f>
        <v>Abrir fascículo</v>
      </c>
    </row>
    <row r="102" spans="1:5">
      <c r="A102" s="21">
        <v>91</v>
      </c>
      <c r="B102" s="18" t="s">
        <v>200</v>
      </c>
      <c r="C102" s="24" t="s">
        <v>14560</v>
      </c>
      <c r="D102" s="24">
        <v>96</v>
      </c>
      <c r="E102" s="27" t="str">
        <f>HYPERLINK("https://www.boe.es/gazeta/dias/1805/11/12/pdfs/GMD-1805-91.pdf","Abrir fascículo")</f>
        <v>Abrir fascículo</v>
      </c>
    </row>
    <row r="103" spans="1:5">
      <c r="A103" s="21">
        <v>92</v>
      </c>
      <c r="B103" s="18" t="s">
        <v>817</v>
      </c>
      <c r="C103" s="24" t="s">
        <v>14561</v>
      </c>
      <c r="D103" s="24">
        <v>29</v>
      </c>
      <c r="E103" s="27" t="str">
        <f>HYPERLINK("https://www.boe.es/gazeta/dias/1805/11/15/pdfs/GMD-1805-92.pdf","Abrir fascículo")</f>
        <v>Abrir fascículo</v>
      </c>
    </row>
    <row r="104" spans="1:5">
      <c r="A104" s="21">
        <v>93</v>
      </c>
      <c r="B104" s="18" t="s">
        <v>886</v>
      </c>
      <c r="C104" s="24" t="s">
        <v>14562</v>
      </c>
      <c r="D104" s="24">
        <v>62</v>
      </c>
      <c r="E104" s="27" t="str">
        <f>HYPERLINK("https://www.boe.es/gazeta/dias/1805/11/19/pdfs/GMD-1805-93.pdf","Abrir fascículo")</f>
        <v>Abrir fascículo</v>
      </c>
    </row>
    <row r="105" spans="1:5">
      <c r="A105" s="21">
        <v>94</v>
      </c>
      <c r="B105" s="18" t="s">
        <v>552</v>
      </c>
      <c r="C105" s="24" t="s">
        <v>14563</v>
      </c>
      <c r="D105" s="24">
        <v>55</v>
      </c>
      <c r="E105" s="27" t="str">
        <f>HYPERLINK("https://www.boe.es/gazeta/dias/1805/11/22/pdfs/GMD-1805-94.pdf","Abrir fascículo")</f>
        <v>Abrir fascículo</v>
      </c>
    </row>
    <row r="106" spans="1:5">
      <c r="A106" s="21">
        <v>95</v>
      </c>
      <c r="B106" s="18" t="s">
        <v>787</v>
      </c>
      <c r="C106" s="24" t="s">
        <v>14564</v>
      </c>
      <c r="D106" s="24">
        <v>65</v>
      </c>
      <c r="E106" s="27" t="str">
        <f>HYPERLINK("https://www.boe.es/gazeta/dias/1805/11/26/pdfs/GMD-1805-95.pdf","Abrir fascículo")</f>
        <v>Abrir fascículo</v>
      </c>
    </row>
    <row r="107" spans="1:5">
      <c r="A107" s="21" t="s">
        <v>14565</v>
      </c>
      <c r="B107" s="18" t="s">
        <v>787</v>
      </c>
      <c r="C107" s="24" t="s">
        <v>14485</v>
      </c>
      <c r="D107" s="24">
        <v>1</v>
      </c>
      <c r="E107" s="27" t="str">
        <f>HYPERLINK("https://www.boe.es/gazeta/dias/1805/11/26/pdfs/GMD-C-1805-95.pdf","Abrir suplemento")</f>
        <v>Abrir suplemento</v>
      </c>
    </row>
    <row r="108" spans="1:5">
      <c r="A108" s="21">
        <v>96</v>
      </c>
      <c r="B108" s="18" t="s">
        <v>217</v>
      </c>
      <c r="C108" s="24" t="s">
        <v>14566</v>
      </c>
      <c r="D108" s="24">
        <v>55</v>
      </c>
      <c r="E108" s="27" t="str">
        <f>HYPERLINK("https://www.boe.es/gazeta/dias/1805/11/29/pdfs/GMD-1805-96.pdf","Abrir fascículo")</f>
        <v>Abrir fascículo</v>
      </c>
    </row>
    <row r="109" spans="1:5">
      <c r="A109" s="21" t="s">
        <v>14567</v>
      </c>
      <c r="B109" s="18" t="s">
        <v>217</v>
      </c>
      <c r="C109" s="24" t="s">
        <v>14568</v>
      </c>
      <c r="D109" s="24">
        <v>1</v>
      </c>
      <c r="E109" s="27" t="str">
        <f>HYPERLINK("https://www.boe.es/gazeta/dias/1805/11/29/pdfs/GMD-C-1805-96.pdf","Abrir suplemento")</f>
        <v>Abrir suplemento</v>
      </c>
    </row>
    <row r="110" spans="1:5">
      <c r="A110" s="21">
        <v>97</v>
      </c>
      <c r="B110" s="18" t="s">
        <v>539</v>
      </c>
      <c r="C110" s="24" t="s">
        <v>14569</v>
      </c>
      <c r="D110" s="24">
        <v>136</v>
      </c>
      <c r="E110" s="27" t="str">
        <f>HYPERLINK("https://www.boe.es/gazeta/dias/1805/12/03/pdfs/GMD-1805-97.pdf","Abrir fascículo")</f>
        <v>Abrir fascículo</v>
      </c>
    </row>
    <row r="111" spans="1:5">
      <c r="A111" s="21">
        <v>98</v>
      </c>
      <c r="B111" s="18" t="s">
        <v>67</v>
      </c>
      <c r="C111" s="24" t="s">
        <v>14570</v>
      </c>
      <c r="D111" s="24">
        <v>94</v>
      </c>
      <c r="E111" s="27" t="str">
        <f>HYPERLINK("https://www.boe.es/gazeta/dias/1805/12/06/pdfs/GMD-1805-98.pdf","Abrir fascículo")</f>
        <v>Abrir fascículo</v>
      </c>
    </row>
    <row r="112" spans="1:5">
      <c r="A112" s="21">
        <v>99</v>
      </c>
      <c r="B112" s="18" t="s">
        <v>54</v>
      </c>
      <c r="C112" s="24" t="s">
        <v>14571</v>
      </c>
      <c r="D112" s="24">
        <v>39</v>
      </c>
      <c r="E112" s="27" t="str">
        <f>HYPERLINK("https://www.boe.es/gazeta/dias/1805/12/10/pdfs/GMD-1805-99.pdf","Abrir fascículo")</f>
        <v>Abrir fascículo</v>
      </c>
    </row>
    <row r="113" spans="1:5">
      <c r="A113" s="21" t="s">
        <v>14572</v>
      </c>
      <c r="B113" s="18" t="s">
        <v>54</v>
      </c>
      <c r="C113" s="24" t="s">
        <v>14476</v>
      </c>
      <c r="D113" s="24">
        <v>71</v>
      </c>
      <c r="E113" s="27" t="str">
        <f>HYPERLINK("https://www.boe.es/gazeta/dias/1805/12/10/pdfs/GMD-C-1805-99.pdf","Abrir suplemento")</f>
        <v>Abrir suplemento</v>
      </c>
    </row>
    <row r="114" spans="1:5">
      <c r="A114" s="21">
        <v>100</v>
      </c>
      <c r="B114" s="18" t="s">
        <v>512</v>
      </c>
      <c r="C114" s="24" t="s">
        <v>14573</v>
      </c>
      <c r="D114" s="24">
        <v>81</v>
      </c>
      <c r="E114" s="27" t="str">
        <f>HYPERLINK("https://www.boe.es/gazeta/dias/1805/12/13/pdfs/GMD-1805-100.pdf","Abrir fascículo")</f>
        <v>Abrir fascículo</v>
      </c>
    </row>
    <row r="115" spans="1:5">
      <c r="A115" s="21">
        <v>101</v>
      </c>
      <c r="B115" s="18" t="s">
        <v>63</v>
      </c>
      <c r="C115" s="24" t="s">
        <v>14574</v>
      </c>
      <c r="D115" s="24">
        <v>212</v>
      </c>
      <c r="E115" s="27" t="str">
        <f>HYPERLINK("https://www.boe.es/gazeta/dias/1805/12/17/pdfs/GMD-1805-101.pdf","Abrir fascículo")</f>
        <v>Abrir fascículo</v>
      </c>
    </row>
    <row r="116" spans="1:5">
      <c r="A116" s="21">
        <v>102</v>
      </c>
      <c r="B116" s="18" t="s">
        <v>138</v>
      </c>
      <c r="C116" s="24" t="s">
        <v>14575</v>
      </c>
      <c r="D116" s="24">
        <v>130</v>
      </c>
      <c r="E116" s="27" t="str">
        <f>HYPERLINK("https://www.boe.es/gazeta/dias/1805/12/20/pdfs/GMD-1805-102.pdf","Abrir fascículo")</f>
        <v>Abrir fascículo</v>
      </c>
    </row>
    <row r="117" spans="1:5">
      <c r="A117" s="21">
        <v>103</v>
      </c>
      <c r="B117" s="18" t="s">
        <v>495</v>
      </c>
      <c r="C117" s="24" t="s">
        <v>14576</v>
      </c>
      <c r="D117" s="24">
        <v>69</v>
      </c>
      <c r="E117" s="27" t="str">
        <f>HYPERLINK("https://www.boe.es/gazeta/dias/1805/12/24/pdfs/GMD-1805-103.pdf","Abrir fascículo")</f>
        <v>Abrir fascículo</v>
      </c>
    </row>
    <row r="118" spans="1:5">
      <c r="A118" s="21">
        <v>104</v>
      </c>
      <c r="B118" s="18" t="s">
        <v>789</v>
      </c>
      <c r="C118" s="24" t="s">
        <v>14577</v>
      </c>
      <c r="D118" s="24">
        <v>61</v>
      </c>
      <c r="E118" s="27" t="str">
        <f>HYPERLINK("https://www.boe.es/gazeta/dias/1805/12/27/pdfs/GMD-1805-104.pdf","Abrir fascículo")</f>
        <v>Abrir fascículo</v>
      </c>
    </row>
    <row r="119" spans="1:5">
      <c r="A119" s="22">
        <v>105</v>
      </c>
      <c r="B119" s="19" t="s">
        <v>192</v>
      </c>
      <c r="C119" s="25" t="s">
        <v>14578</v>
      </c>
      <c r="D119" s="25">
        <v>94</v>
      </c>
      <c r="E119" s="28" t="str">
        <f>HYPERLINK("https://www.boe.es/gazeta/dias/1805/12/31/pdfs/GMD-1805-105.pdf","Abrir fascículo")</f>
        <v>Abrir fascículo</v>
      </c>
    </row>
    <row r="121" spans="1:5" ht="48" customHeight="1">
      <c r="A121" s="29" t="s">
        <v>14579</v>
      </c>
      <c r="B121" s="34" t="s">
        <v>14580</v>
      </c>
      <c r="C121" s="34"/>
      <c r="D121" s="34"/>
      <c r="E121" s="34"/>
    </row>
    <row r="122" spans="1:5" ht="48" customHeight="1">
      <c r="A122" s="29" t="s">
        <v>14581</v>
      </c>
      <c r="B122" s="34" t="s">
        <v>14582</v>
      </c>
      <c r="C122" s="34"/>
      <c r="D122" s="34"/>
      <c r="E122" s="34"/>
    </row>
    <row r="123" spans="1:5" ht="48" customHeight="1">
      <c r="A123" s="29" t="s">
        <v>14583</v>
      </c>
      <c r="B123" s="34" t="s">
        <v>14584</v>
      </c>
      <c r="C123" s="34"/>
      <c r="D123" s="34"/>
      <c r="E123" s="34"/>
    </row>
    <row r="124" spans="1:5" ht="48" customHeight="1">
      <c r="A124" s="29" t="s">
        <v>14585</v>
      </c>
      <c r="B124" s="34" t="s">
        <v>14586</v>
      </c>
      <c r="C124" s="34"/>
      <c r="D124" s="34"/>
      <c r="E124" s="34"/>
    </row>
    <row r="125" spans="1:5" ht="48" customHeight="1">
      <c r="A125" s="29" t="s">
        <v>14587</v>
      </c>
      <c r="B125" s="34" t="s">
        <v>14588</v>
      </c>
      <c r="C125" s="34"/>
      <c r="D125" s="34"/>
      <c r="E125" s="34"/>
    </row>
    <row r="126" spans="1:5" ht="48" customHeight="1">
      <c r="A126" s="29" t="s">
        <v>14589</v>
      </c>
      <c r="B126" s="34" t="s">
        <v>14590</v>
      </c>
      <c r="C126" s="34"/>
      <c r="D126" s="34"/>
      <c r="E126" s="34"/>
    </row>
    <row r="127" spans="1:5" ht="48" customHeight="1">
      <c r="A127" s="29" t="s">
        <v>14591</v>
      </c>
      <c r="B127" s="34" t="s">
        <v>14592</v>
      </c>
      <c r="C127" s="34"/>
      <c r="D127" s="34"/>
      <c r="E127" s="34"/>
    </row>
    <row r="128" spans="1:5" ht="48" customHeight="1">
      <c r="A128" s="29" t="s">
        <v>14593</v>
      </c>
      <c r="B128" s="34" t="s">
        <v>14594</v>
      </c>
      <c r="C128" s="34"/>
      <c r="D128" s="34"/>
      <c r="E128" s="34"/>
    </row>
    <row r="129" spans="1:5" ht="48" customHeight="1">
      <c r="A129" s="29" t="s">
        <v>14595</v>
      </c>
      <c r="B129" s="34" t="s">
        <v>14596</v>
      </c>
      <c r="C129" s="34"/>
      <c r="D129" s="34"/>
      <c r="E129" s="34"/>
    </row>
    <row r="130" spans="1:5" ht="48" customHeight="1">
      <c r="A130" s="29" t="s">
        <v>14597</v>
      </c>
      <c r="B130" s="34" t="s">
        <v>14598</v>
      </c>
      <c r="C130" s="34"/>
      <c r="D130" s="34"/>
      <c r="E130" s="34"/>
    </row>
    <row r="131" spans="1:5" ht="48" customHeight="1">
      <c r="A131" s="29" t="s">
        <v>14599</v>
      </c>
      <c r="B131" s="34" t="s">
        <v>14600</v>
      </c>
      <c r="C131" s="34"/>
      <c r="D131" s="34"/>
      <c r="E131" s="34"/>
    </row>
  </sheetData>
  <mergeCells count="12">
    <mergeCell ref="B130:E130"/>
    <mergeCell ref="B131:E131"/>
    <mergeCell ref="B125:E125"/>
    <mergeCell ref="B126:E126"/>
    <mergeCell ref="B127:E127"/>
    <mergeCell ref="B128:E128"/>
    <mergeCell ref="B129:E129"/>
    <mergeCell ref="A1:E1"/>
    <mergeCell ref="B121:E121"/>
    <mergeCell ref="B122:E122"/>
    <mergeCell ref="B123:E123"/>
    <mergeCell ref="B124:E124"/>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2026-09-25T07:13:18Z</dcterms:created>
  <dcterms:modified xsi:type="dcterms:W3CDTF">2026-09-25T07:13:18Z</dcterms:modified>
</cp:coreProperties>
</file>